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16.40.5\users$\gabriele.ferreira\Desktop\Projetos\EMEB SAUL ATHAYDE\"/>
    </mc:Choice>
  </mc:AlternateContent>
  <bookViews>
    <workbookView xWindow="0" yWindow="0" windowWidth="28800" windowHeight="12135"/>
  </bookViews>
  <sheets>
    <sheet name="ORÇAMENTO " sheetId="1" r:id="rId1"/>
    <sheet name="Plan3" sheetId="8" state="hidden" r:id="rId2"/>
    <sheet name="Referências" sheetId="4" r:id="rId3"/>
    <sheet name="CRONOGRAMA" sheetId="2" r:id="rId4"/>
    <sheet name="BDI" sheetId="3" r:id="rId5"/>
    <sheet name="Plan1" sheetId="6" state="hidden" r:id="rId6"/>
    <sheet name="Plan2" sheetId="7" state="hidden" r:id="rId7"/>
  </sheets>
  <definedNames>
    <definedName name="_xlnm.Print_Area" localSheetId="4">BDI!$A$1:$L$52</definedName>
    <definedName name="_xlnm.Print_Area" localSheetId="3">CRONOGRAMA!$A$1:$O$22</definedName>
    <definedName name="matriz">BDI!$Q$17:$V$21</definedName>
    <definedName name="matriz2">BDI!$Q$23:$V$27</definedName>
    <definedName name="TESTE">BDI!XEV:XEV*BDI!XEW:XEW</definedName>
  </definedNames>
  <calcPr calcId="152511"/>
</workbook>
</file>

<file path=xl/calcChain.xml><?xml version="1.0" encoding="utf-8"?>
<calcChain xmlns="http://schemas.openxmlformats.org/spreadsheetml/2006/main">
  <c r="F70" i="1" l="1"/>
  <c r="F42" i="1"/>
  <c r="G49" i="1" l="1"/>
  <c r="B48" i="1"/>
  <c r="I26" i="1" l="1"/>
  <c r="I25" i="1"/>
  <c r="H25" i="1"/>
  <c r="G25" i="1"/>
  <c r="G119" i="1" l="1"/>
  <c r="H119" i="1" s="1"/>
  <c r="I119" i="1" s="1"/>
  <c r="F68" i="1"/>
  <c r="F67" i="1"/>
  <c r="F71" i="1"/>
  <c r="G71" i="1"/>
  <c r="H71" i="1" s="1"/>
  <c r="I71" i="1" s="1"/>
  <c r="H70" i="1"/>
  <c r="F66" i="1"/>
  <c r="H14" i="1"/>
  <c r="H95" i="1"/>
  <c r="I95" i="1" s="1"/>
  <c r="F94" i="1"/>
  <c r="G91" i="1"/>
  <c r="H91" i="1" s="1"/>
  <c r="I91" i="1" s="1"/>
  <c r="G92" i="1"/>
  <c r="H92" i="1" s="1"/>
  <c r="I92" i="1" s="1"/>
  <c r="G93" i="1"/>
  <c r="H93" i="1" s="1"/>
  <c r="I93" i="1" s="1"/>
  <c r="F10" i="1"/>
  <c r="F15" i="1"/>
  <c r="G90" i="1"/>
  <c r="H90" i="1" s="1"/>
  <c r="I90" i="1" s="1"/>
  <c r="F89" i="1"/>
  <c r="G89" i="1"/>
  <c r="H89" i="1" s="1"/>
  <c r="I89" i="1" s="1"/>
  <c r="G88" i="1"/>
  <c r="H88" i="1" s="1"/>
  <c r="I88" i="1" s="1"/>
  <c r="F69" i="1"/>
  <c r="G101" i="1" l="1"/>
  <c r="F115" i="1"/>
  <c r="G115" i="1"/>
  <c r="F47" i="1"/>
  <c r="F48" i="1" s="1"/>
  <c r="G47" i="1"/>
  <c r="F52" i="1"/>
  <c r="F41" i="1"/>
  <c r="F31" i="1"/>
  <c r="F29" i="1"/>
  <c r="F36" i="1"/>
  <c r="F35" i="1"/>
  <c r="F34" i="1"/>
  <c r="F37" i="1" s="1"/>
  <c r="F32" i="1"/>
  <c r="F30" i="1"/>
  <c r="F19" i="1" l="1"/>
  <c r="F43" i="1"/>
  <c r="F20" i="1"/>
  <c r="F118" i="1"/>
  <c r="B76" i="1"/>
  <c r="F60" i="1"/>
  <c r="F59" i="1"/>
  <c r="F117" i="1" s="1"/>
  <c r="F58" i="1"/>
  <c r="F53" i="1"/>
  <c r="I70" i="1" s="1"/>
  <c r="F51" i="1"/>
  <c r="F49" i="1"/>
  <c r="F50" i="1" s="1"/>
  <c r="F109" i="1" s="1"/>
  <c r="F110" i="1" s="1"/>
  <c r="F111" i="1" s="1"/>
  <c r="G105" i="1" l="1"/>
  <c r="C51" i="6" l="1"/>
  <c r="C4" i="8" l="1"/>
  <c r="C3" i="8"/>
  <c r="C2" i="8"/>
  <c r="C1" i="8"/>
  <c r="A9" i="8"/>
  <c r="A6" i="8"/>
  <c r="A2" i="8"/>
  <c r="A1" i="8"/>
  <c r="C48" i="6" l="1"/>
  <c r="K42" i="7"/>
  <c r="K41" i="7"/>
  <c r="K40" i="7"/>
  <c r="K39" i="7"/>
  <c r="K33" i="7"/>
  <c r="K32" i="7"/>
  <c r="K31" i="7"/>
  <c r="R42" i="7"/>
  <c r="S42" i="7" s="1"/>
  <c r="U42" i="7" s="1"/>
  <c r="M11" i="7"/>
  <c r="K23" i="7"/>
  <c r="K21" i="7"/>
  <c r="K20" i="7"/>
  <c r="K19" i="7"/>
  <c r="K18" i="7"/>
  <c r="K17" i="7"/>
  <c r="K16" i="7"/>
  <c r="K15" i="7"/>
  <c r="M13" i="7"/>
  <c r="L10" i="7"/>
  <c r="M10" i="7"/>
  <c r="N4" i="7"/>
  <c r="N7" i="7" s="1"/>
  <c r="L4" i="7"/>
  <c r="M4" i="7"/>
  <c r="M3" i="7"/>
  <c r="L3" i="7"/>
  <c r="N3" i="7" s="1"/>
  <c r="N2" i="7"/>
  <c r="M2" i="7"/>
  <c r="L2" i="7"/>
  <c r="N1" i="7"/>
  <c r="L1" i="7"/>
  <c r="A12" i="7"/>
  <c r="F28" i="7"/>
  <c r="B28" i="7"/>
  <c r="B26" i="7"/>
  <c r="D15" i="7"/>
  <c r="G7" i="7"/>
  <c r="G6" i="7"/>
  <c r="G2" i="7"/>
  <c r="G4" i="7"/>
  <c r="F2" i="7"/>
  <c r="F3" i="7"/>
  <c r="D10" i="7"/>
  <c r="B10" i="7"/>
  <c r="B9" i="7"/>
  <c r="B8" i="7"/>
  <c r="B7" i="7"/>
  <c r="C7" i="7"/>
  <c r="D3" i="7"/>
  <c r="D2" i="7"/>
  <c r="C3" i="7"/>
  <c r="C2" i="7"/>
  <c r="D5" i="7"/>
  <c r="C5" i="7"/>
  <c r="U38" i="6" l="1"/>
  <c r="J55" i="6"/>
  <c r="J60" i="6"/>
  <c r="J53" i="6"/>
  <c r="G53" i="6"/>
  <c r="J57" i="6"/>
  <c r="J52" i="6"/>
  <c r="G51" i="6" l="1"/>
  <c r="G52" i="6" s="1"/>
  <c r="G54" i="6" s="1"/>
  <c r="J54" i="6" s="1"/>
  <c r="J56" i="6" s="1"/>
  <c r="J58" i="6" s="1"/>
  <c r="A59" i="6"/>
  <c r="W31" i="6"/>
  <c r="W30" i="6"/>
  <c r="W29" i="6"/>
  <c r="W27" i="6"/>
  <c r="W26" i="6"/>
  <c r="U39" i="6"/>
  <c r="U40" i="6" s="1"/>
  <c r="U41" i="6" s="1"/>
  <c r="U37" i="6"/>
  <c r="S51" i="6"/>
  <c r="S50" i="6"/>
  <c r="W18" i="6"/>
  <c r="W17" i="6"/>
  <c r="W15" i="6"/>
  <c r="W14" i="6"/>
  <c r="T19" i="6"/>
  <c r="T18" i="6"/>
  <c r="T17" i="6"/>
  <c r="T13" i="6"/>
  <c r="T14" i="6" s="1"/>
  <c r="T15" i="6" s="1"/>
  <c r="U4" i="6"/>
  <c r="U3" i="6"/>
  <c r="B45" i="6"/>
  <c r="E45" i="6" s="1"/>
  <c r="T21" i="6" l="1"/>
  <c r="N36" i="6"/>
  <c r="N35" i="6"/>
  <c r="N34" i="6"/>
  <c r="N33" i="6"/>
  <c r="N37" i="6" s="1"/>
  <c r="N38" i="6" s="1"/>
  <c r="N32" i="6"/>
  <c r="N31" i="6"/>
  <c r="N30" i="6"/>
  <c r="L42" i="6"/>
  <c r="L41" i="6"/>
  <c r="L40" i="6"/>
  <c r="L39" i="6"/>
  <c r="L43" i="6" s="1"/>
  <c r="J3" i="2" l="1"/>
  <c r="A43" i="3" s="1"/>
  <c r="H105" i="1" l="1"/>
  <c r="I105" i="1" s="1"/>
  <c r="J34" i="6" l="1"/>
  <c r="B44" i="6"/>
  <c r="C44" i="6" s="1"/>
  <c r="J33" i="6" s="1"/>
  <c r="H101" i="1"/>
  <c r="I101" i="1" s="1"/>
  <c r="H100" i="1"/>
  <c r="I100" i="1" s="1"/>
  <c r="G96" i="1"/>
  <c r="H96" i="1" s="1"/>
  <c r="I96" i="1" s="1"/>
  <c r="B96" i="1"/>
  <c r="H94" i="1"/>
  <c r="I94" i="1" s="1"/>
  <c r="B94" i="1"/>
  <c r="M80" i="4"/>
  <c r="M81" i="4"/>
  <c r="M82" i="4"/>
  <c r="M83" i="4"/>
  <c r="M84" i="4"/>
  <c r="M85" i="4"/>
  <c r="M86" i="4"/>
  <c r="M87" i="4"/>
  <c r="M88" i="4"/>
  <c r="M89" i="4"/>
  <c r="M18" i="4"/>
  <c r="M19" i="4"/>
  <c r="M20" i="4"/>
  <c r="M21" i="4"/>
  <c r="M22" i="4"/>
  <c r="M23" i="4"/>
  <c r="M24" i="4"/>
  <c r="M25" i="4"/>
  <c r="M26" i="4"/>
  <c r="M27" i="4"/>
  <c r="M28" i="4"/>
  <c r="M29" i="4"/>
  <c r="M30" i="4"/>
  <c r="M31" i="4"/>
  <c r="M32" i="4"/>
  <c r="M33" i="4"/>
  <c r="M34" i="4"/>
  <c r="M35" i="4"/>
  <c r="M36" i="4"/>
  <c r="M37" i="4"/>
  <c r="M38" i="4"/>
  <c r="M39" i="4"/>
  <c r="M40" i="4"/>
  <c r="M41" i="4"/>
  <c r="M42" i="4"/>
  <c r="M43" i="4"/>
  <c r="M44" i="4"/>
  <c r="M45" i="4"/>
  <c r="M46" i="4"/>
  <c r="M47" i="4"/>
  <c r="M48" i="4"/>
  <c r="M49" i="4"/>
  <c r="M50" i="4"/>
  <c r="M51" i="4"/>
  <c r="M52" i="4"/>
  <c r="M53" i="4"/>
  <c r="M54" i="4"/>
  <c r="M55" i="4"/>
  <c r="M56" i="4"/>
  <c r="M57" i="4"/>
  <c r="M58" i="4"/>
  <c r="M59" i="4"/>
  <c r="M60" i="4"/>
  <c r="M61" i="4"/>
  <c r="M62" i="4"/>
  <c r="M63" i="4"/>
  <c r="M64" i="4"/>
  <c r="M65" i="4"/>
  <c r="M66" i="4"/>
  <c r="M67" i="4"/>
  <c r="M68" i="4"/>
  <c r="M69" i="4"/>
  <c r="M70" i="4"/>
  <c r="M71" i="4"/>
  <c r="M72" i="4"/>
  <c r="M73" i="4"/>
  <c r="M74" i="4"/>
  <c r="M75" i="4"/>
  <c r="M76" i="4"/>
  <c r="M77" i="4"/>
  <c r="M78" i="4"/>
  <c r="M79" i="4"/>
  <c r="M15" i="4"/>
  <c r="M16" i="4"/>
  <c r="M17" i="4"/>
  <c r="G75" i="1"/>
  <c r="G86" i="1"/>
  <c r="M14" i="4"/>
  <c r="M4" i="4"/>
  <c r="M5" i="4"/>
  <c r="M6" i="4"/>
  <c r="M7" i="4"/>
  <c r="M8" i="4"/>
  <c r="M9" i="4"/>
  <c r="M10" i="4"/>
  <c r="M11" i="4"/>
  <c r="M12" i="4"/>
  <c r="M13" i="4"/>
  <c r="B86" i="1"/>
  <c r="H87" i="1"/>
  <c r="I87" i="1" s="1"/>
  <c r="B87" i="1"/>
  <c r="E32" i="6"/>
  <c r="F30" i="6"/>
  <c r="F32" i="6" s="1"/>
  <c r="F34" i="6" s="1"/>
  <c r="E30" i="6"/>
  <c r="B43" i="6"/>
  <c r="B42" i="6"/>
  <c r="C42" i="6" s="1"/>
  <c r="B41" i="6"/>
  <c r="B40" i="6"/>
  <c r="C40" i="6" s="1"/>
  <c r="B39" i="6"/>
  <c r="C39" i="6" s="1"/>
  <c r="B38" i="6"/>
  <c r="B37" i="6"/>
  <c r="C37" i="6" s="1"/>
  <c r="J32" i="6" s="1"/>
  <c r="C38" i="6"/>
  <c r="C41" i="6"/>
  <c r="C43" i="6"/>
  <c r="B36" i="6"/>
  <c r="C36" i="6" s="1"/>
  <c r="J31" i="6" s="1"/>
  <c r="B35" i="6"/>
  <c r="B33" i="6"/>
  <c r="C33" i="6" s="1"/>
  <c r="B34" i="6"/>
  <c r="C34" i="6" s="1"/>
  <c r="C35" i="6"/>
  <c r="J30" i="6" s="1"/>
  <c r="J35" i="6" s="1"/>
  <c r="J36" i="6" s="1"/>
  <c r="B32" i="6"/>
  <c r="C32" i="6" s="1"/>
  <c r="B31" i="6"/>
  <c r="C31" i="6" s="1"/>
  <c r="B30" i="6"/>
  <c r="C30" i="6" s="1"/>
  <c r="B82" i="1"/>
  <c r="G81" i="1"/>
  <c r="B81" i="1"/>
  <c r="H78" i="1"/>
  <c r="B79" i="1"/>
  <c r="B80" i="1"/>
  <c r="B78" i="1"/>
  <c r="H77" i="1"/>
  <c r="B77" i="1"/>
  <c r="B75" i="1"/>
  <c r="C49" i="6" l="1"/>
  <c r="C50" i="6" s="1"/>
  <c r="I77" i="1"/>
  <c r="I78" i="1"/>
  <c r="H82" i="1"/>
  <c r="I82" i="1" s="1"/>
  <c r="H79" i="1"/>
  <c r="I79" i="1" s="1"/>
  <c r="H80" i="1"/>
  <c r="I80" i="1" s="1"/>
  <c r="H81" i="1"/>
  <c r="I81" i="1" s="1"/>
  <c r="H76" i="1"/>
  <c r="I76" i="1" s="1"/>
  <c r="G58" i="1" l="1"/>
  <c r="G60" i="1"/>
  <c r="L11" i="6"/>
  <c r="L12" i="6" s="1"/>
  <c r="L13" i="6" s="1"/>
  <c r="P16" i="6"/>
  <c r="P15" i="6"/>
  <c r="P14" i="6"/>
  <c r="Q12" i="6"/>
  <c r="Q4" i="6"/>
  <c r="Q3" i="6"/>
  <c r="Q5" i="6" s="1"/>
  <c r="O9" i="6"/>
  <c r="Q9" i="6" s="1"/>
  <c r="Q10" i="6" s="1"/>
  <c r="D21" i="6"/>
  <c r="D22" i="6"/>
  <c r="D23" i="6"/>
  <c r="D24" i="6"/>
  <c r="D20" i="6"/>
  <c r="C17" i="6"/>
  <c r="C11" i="6"/>
  <c r="C12" i="6"/>
  <c r="C13" i="6"/>
  <c r="C14" i="6"/>
  <c r="C15" i="6"/>
  <c r="C16" i="6"/>
  <c r="C10" i="6"/>
  <c r="G32" i="1"/>
  <c r="E5" i="6"/>
  <c r="E4" i="6"/>
  <c r="E6" i="6" s="1"/>
  <c r="F14" i="1"/>
  <c r="I14" i="1" s="1"/>
  <c r="A6" i="6"/>
  <c r="Q18" i="6" l="1"/>
  <c r="D26" i="6"/>
  <c r="C18" i="6"/>
  <c r="B20" i="2"/>
  <c r="B19" i="2"/>
  <c r="B17" i="2"/>
  <c r="B16" i="2"/>
  <c r="B15" i="2"/>
  <c r="B14" i="2"/>
  <c r="B13" i="2"/>
  <c r="B12" i="2"/>
  <c r="B11" i="2"/>
  <c r="B10" i="2"/>
  <c r="B9" i="2"/>
  <c r="B8" i="2"/>
  <c r="G20" i="1"/>
  <c r="H20" i="1" s="1"/>
  <c r="I20" i="1" s="1"/>
  <c r="G116" i="1"/>
  <c r="H116" i="1" s="1"/>
  <c r="I116" i="1" s="1"/>
  <c r="B116" i="1"/>
  <c r="B104" i="1"/>
  <c r="B103" i="1"/>
  <c r="B102" i="1"/>
  <c r="G102" i="1"/>
  <c r="H102" i="1" s="1"/>
  <c r="I102" i="1" s="1"/>
  <c r="G103" i="1"/>
  <c r="H103" i="1" s="1"/>
  <c r="I103" i="1" s="1"/>
  <c r="G104" i="1"/>
  <c r="H104" i="1" s="1"/>
  <c r="I104" i="1" s="1"/>
  <c r="F22" i="6" l="1"/>
  <c r="B61" i="1"/>
  <c r="G30" i="1" l="1"/>
  <c r="B30" i="1"/>
  <c r="B69" i="1"/>
  <c r="G53" i="1"/>
  <c r="B53" i="1"/>
  <c r="H32" i="1"/>
  <c r="I32" i="1" s="1"/>
  <c r="G51" i="1"/>
  <c r="B51" i="1"/>
  <c r="B52" i="1"/>
  <c r="G50" i="1"/>
  <c r="B50" i="1"/>
  <c r="G31" i="1"/>
  <c r="B31" i="1"/>
  <c r="G117" i="1"/>
  <c r="B117" i="1"/>
  <c r="B66" i="1"/>
  <c r="G19" i="1"/>
  <c r="B19" i="1"/>
  <c r="B60" i="1"/>
  <c r="G43" i="1"/>
  <c r="H43" i="1" s="1"/>
  <c r="I43" i="1" s="1"/>
  <c r="B43" i="1"/>
  <c r="G111" i="1"/>
  <c r="B111" i="1"/>
  <c r="G110" i="1"/>
  <c r="B110" i="1"/>
  <c r="G109" i="1"/>
  <c r="B109" i="1"/>
  <c r="G68" i="1"/>
  <c r="B68" i="1"/>
  <c r="B67" i="1"/>
  <c r="H61" i="1" l="1"/>
  <c r="I61" i="1" s="1"/>
  <c r="H34" i="1"/>
  <c r="I34" i="1" s="1"/>
  <c r="H35" i="1"/>
  <c r="I35" i="1" s="1"/>
  <c r="H36" i="1"/>
  <c r="I36" i="1" s="1"/>
  <c r="H37" i="1"/>
  <c r="I37" i="1" s="1"/>
  <c r="H33" i="1"/>
  <c r="I33" i="1" s="1"/>
  <c r="B34" i="1"/>
  <c r="B35" i="1"/>
  <c r="B36" i="1"/>
  <c r="B37" i="1"/>
  <c r="B33" i="1"/>
  <c r="H75" i="1" l="1"/>
  <c r="I75" i="1" s="1"/>
  <c r="H66" i="1"/>
  <c r="I66" i="1" s="1"/>
  <c r="H67" i="1"/>
  <c r="I67" i="1" s="1"/>
  <c r="H68" i="1"/>
  <c r="I68" i="1" s="1"/>
  <c r="H69" i="1"/>
  <c r="I69" i="1" s="1"/>
  <c r="H60" i="1"/>
  <c r="I60" i="1" s="1"/>
  <c r="G42" i="1" l="1"/>
  <c r="B42" i="1"/>
  <c r="H24" i="1" l="1"/>
  <c r="I24" i="1" s="1"/>
  <c r="G13" i="1"/>
  <c r="H13" i="1" s="1"/>
  <c r="B13" i="1"/>
  <c r="G15" i="1"/>
  <c r="H15" i="1" s="1"/>
  <c r="I15" i="1" s="1"/>
  <c r="B15" i="1"/>
  <c r="F13" i="1"/>
  <c r="F8" i="1"/>
  <c r="I13" i="1" l="1"/>
  <c r="C10" i="2"/>
  <c r="M10" i="2" s="1"/>
  <c r="G41" i="1"/>
  <c r="B41" i="1"/>
  <c r="H58" i="1"/>
  <c r="I58" i="1" s="1"/>
  <c r="B58" i="1"/>
  <c r="H48" i="1"/>
  <c r="I48" i="1" s="1"/>
  <c r="H49" i="1"/>
  <c r="I49" i="1" s="1"/>
  <c r="H50" i="1"/>
  <c r="I50" i="1" s="1"/>
  <c r="H51" i="1"/>
  <c r="I51" i="1" s="1"/>
  <c r="H52" i="1"/>
  <c r="I52" i="1" s="1"/>
  <c r="H53" i="1"/>
  <c r="I53" i="1" s="1"/>
  <c r="H30" i="1"/>
  <c r="I30" i="1" s="1"/>
  <c r="H31" i="1"/>
  <c r="I31" i="1" s="1"/>
  <c r="B59" i="1"/>
  <c r="H59" i="1"/>
  <c r="I59" i="1" s="1"/>
  <c r="G118" i="1"/>
  <c r="B118" i="1"/>
  <c r="G12" i="1"/>
  <c r="H12" i="1" s="1"/>
  <c r="B12" i="1"/>
  <c r="G11" i="1"/>
  <c r="H11" i="1" s="1"/>
  <c r="B11" i="1"/>
  <c r="B10" i="1"/>
  <c r="G10" i="1"/>
  <c r="H10" i="1" s="1"/>
  <c r="I10" i="1" s="1"/>
  <c r="I106" i="1" l="1"/>
  <c r="C18" i="2" s="1"/>
  <c r="G8" i="1"/>
  <c r="M18" i="2" l="1"/>
  <c r="O18" i="2"/>
  <c r="K18" i="2"/>
  <c r="I18" i="2"/>
  <c r="G18" i="2"/>
  <c r="E18" i="2"/>
  <c r="F11" i="1"/>
  <c r="I11" i="1" s="1"/>
  <c r="F12" i="1"/>
  <c r="I12" i="1" s="1"/>
  <c r="H118" i="1"/>
  <c r="H117" i="1"/>
  <c r="I117" i="1" s="1"/>
  <c r="H115" i="1"/>
  <c r="I115" i="1" s="1"/>
  <c r="H111" i="1"/>
  <c r="I111" i="1" s="1"/>
  <c r="H110" i="1"/>
  <c r="I110" i="1" s="1"/>
  <c r="H109" i="1"/>
  <c r="I109" i="1" s="1"/>
  <c r="I83" i="1"/>
  <c r="C16" i="2" s="1"/>
  <c r="M16" i="2" s="1"/>
  <c r="H86" i="1"/>
  <c r="I86" i="1" s="1"/>
  <c r="I97" i="1" s="1"/>
  <c r="C17" i="2" s="1"/>
  <c r="M17" i="2" s="1"/>
  <c r="H65" i="1"/>
  <c r="I65" i="1" s="1"/>
  <c r="I72" i="1" s="1"/>
  <c r="I118" i="1" l="1"/>
  <c r="I120" i="1" s="1"/>
  <c r="I112" i="1"/>
  <c r="C19" i="2" s="1"/>
  <c r="M19" i="2" s="1"/>
  <c r="C15" i="2"/>
  <c r="M15" i="2" s="1"/>
  <c r="C20" i="2" l="1"/>
  <c r="M20" i="2" s="1"/>
  <c r="O19" i="2"/>
  <c r="O15" i="2"/>
  <c r="E15" i="2"/>
  <c r="K15" i="2"/>
  <c r="G15" i="2"/>
  <c r="I15" i="2"/>
  <c r="H3" i="2"/>
  <c r="H42" i="1"/>
  <c r="I42" i="1" s="1"/>
  <c r="H41" i="1"/>
  <c r="H29" i="1"/>
  <c r="G19" i="2" l="1"/>
  <c r="I19" i="2"/>
  <c r="E19" i="2"/>
  <c r="K19" i="2"/>
  <c r="O20" i="2"/>
  <c r="I20" i="2"/>
  <c r="E20" i="2"/>
  <c r="K20" i="2"/>
  <c r="G20" i="2"/>
  <c r="I29" i="1"/>
  <c r="I38" i="1" l="1"/>
  <c r="H19" i="1"/>
  <c r="C11" i="2" l="1"/>
  <c r="M11" i="2" s="1"/>
  <c r="H57" i="1"/>
  <c r="G9" i="1"/>
  <c r="H9" i="1" s="1"/>
  <c r="I9" i="1" s="1"/>
  <c r="M3" i="4"/>
  <c r="H8" i="1" s="1"/>
  <c r="K11" i="2" l="1"/>
  <c r="O11" i="2"/>
  <c r="I11" i="2"/>
  <c r="G11" i="2"/>
  <c r="H47" i="1"/>
  <c r="I19" i="1"/>
  <c r="I21" i="1" s="1"/>
  <c r="C9" i="2" s="1"/>
  <c r="M9" i="2" s="1"/>
  <c r="I9" i="2" l="1"/>
  <c r="G9" i="2"/>
  <c r="O9" i="2"/>
  <c r="K9" i="2"/>
  <c r="I57" i="1"/>
  <c r="I62" i="1" s="1"/>
  <c r="C14" i="2" s="1"/>
  <c r="M14" i="2" s="1"/>
  <c r="G14" i="2" l="1"/>
  <c r="O14" i="2"/>
  <c r="E14" i="2"/>
  <c r="I14" i="2"/>
  <c r="K14" i="2"/>
  <c r="I41" i="1"/>
  <c r="I44" i="1" s="1"/>
  <c r="C12" i="2" s="1"/>
  <c r="M12" i="2" s="1"/>
  <c r="K12" i="2" l="1"/>
  <c r="O12" i="2"/>
  <c r="I12" i="2"/>
  <c r="G12" i="2"/>
  <c r="R37" i="3"/>
  <c r="Q37" i="3"/>
  <c r="N34" i="3"/>
  <c r="N31" i="3"/>
  <c r="N30" i="3"/>
  <c r="N32" i="3" s="1"/>
  <c r="N33" i="3" s="1"/>
  <c r="N35" i="3" s="1"/>
  <c r="G42" i="3" s="1"/>
  <c r="H25" i="3"/>
  <c r="N24" i="3"/>
  <c r="I23" i="3" s="1"/>
  <c r="I24" i="3"/>
  <c r="H24" i="3"/>
  <c r="G24" i="3"/>
  <c r="F24" i="3"/>
  <c r="F23" i="3"/>
  <c r="G22" i="3"/>
  <c r="G21" i="3"/>
  <c r="I20" i="3"/>
  <c r="I19" i="3"/>
  <c r="H19" i="3"/>
  <c r="I18" i="3"/>
  <c r="H18" i="3"/>
  <c r="G18" i="3" s="1"/>
  <c r="I17" i="3"/>
  <c r="H17" i="3"/>
  <c r="I16" i="3"/>
  <c r="H16" i="3"/>
  <c r="G16" i="3" s="1"/>
  <c r="I15" i="3"/>
  <c r="H15" i="3"/>
  <c r="P10" i="3"/>
  <c r="C13" i="3" s="1"/>
  <c r="G17" i="3" l="1"/>
  <c r="G19" i="3"/>
  <c r="G15" i="3"/>
  <c r="F20" i="3"/>
  <c r="J21" i="3"/>
  <c r="H23" i="3"/>
  <c r="G23" i="3" s="1"/>
  <c r="A8" i="3"/>
  <c r="H20" i="3"/>
  <c r="G20" i="3" s="1"/>
  <c r="B40" i="3"/>
  <c r="B39" i="3"/>
  <c r="N18" i="3" l="1"/>
  <c r="F27" i="3"/>
  <c r="N59" i="3" l="1"/>
  <c r="Q43" i="3"/>
  <c r="R43" i="3"/>
  <c r="R42" i="3"/>
  <c r="Q42" i="3"/>
  <c r="N20" i="3"/>
  <c r="R44" i="3" l="1"/>
  <c r="N28" i="3" s="1"/>
  <c r="Q44" i="3"/>
  <c r="N27" i="3" s="1"/>
  <c r="N22" i="3"/>
  <c r="N19" i="3" s="1"/>
  <c r="B36" i="3" s="1"/>
  <c r="Q39" i="3"/>
  <c r="N57" i="3" l="1"/>
  <c r="N58" i="3"/>
  <c r="N54" i="3" l="1"/>
  <c r="G27" i="3" s="1"/>
  <c r="I47" i="1" l="1"/>
  <c r="I54" i="1" s="1"/>
  <c r="C13" i="2" s="1"/>
  <c r="M13" i="2" s="1"/>
  <c r="G13" i="2" l="1"/>
  <c r="E13" i="2"/>
  <c r="K13" i="2"/>
  <c r="O13" i="2"/>
  <c r="I13" i="2"/>
  <c r="I8" i="1"/>
  <c r="I16" i="1" l="1"/>
  <c r="C8" i="2" s="1"/>
  <c r="M8" i="2" s="1"/>
  <c r="E10" i="2"/>
  <c r="E9" i="2"/>
  <c r="E12" i="2"/>
  <c r="E11" i="2"/>
  <c r="I122" i="1" l="1"/>
  <c r="O10" i="2"/>
  <c r="K10" i="2"/>
  <c r="G10" i="2"/>
  <c r="I10" i="2"/>
  <c r="E8" i="2" l="1"/>
  <c r="K8" i="2"/>
  <c r="I8" i="2"/>
  <c r="G8" i="2"/>
  <c r="O8" i="2"/>
  <c r="O16" i="2" l="1"/>
  <c r="G16" i="2"/>
  <c r="K16" i="2"/>
  <c r="E16" i="2"/>
  <c r="I16" i="2"/>
  <c r="H3" i="1"/>
  <c r="L3" i="2" s="1"/>
  <c r="K17" i="2"/>
  <c r="K21" i="2" l="1"/>
  <c r="G17" i="2"/>
  <c r="G21" i="2" s="1"/>
  <c r="I17" i="2"/>
  <c r="I21" i="2" s="1"/>
  <c r="E17" i="2"/>
  <c r="C21" i="2"/>
  <c r="O17" i="2"/>
  <c r="O21" i="2" s="1"/>
  <c r="N21" i="2" l="1"/>
  <c r="H21" i="2"/>
  <c r="F21" i="2"/>
  <c r="J21" i="2"/>
  <c r="E21" i="2"/>
  <c r="M21" i="2"/>
  <c r="L21" i="2" s="1"/>
  <c r="E22" i="2" l="1"/>
  <c r="G22" i="2" s="1"/>
  <c r="I22" i="2" s="1"/>
  <c r="K22" i="2" s="1"/>
  <c r="M22" i="2" s="1"/>
  <c r="O22" i="2" s="1"/>
  <c r="D21" i="2"/>
  <c r="D22" i="2" s="1"/>
  <c r="F22" i="2" s="1"/>
  <c r="H22" i="2" s="1"/>
  <c r="J22" i="2" s="1"/>
  <c r="L22" i="2" l="1"/>
  <c r="N22" i="2" s="1"/>
</calcChain>
</file>

<file path=xl/sharedStrings.xml><?xml version="1.0" encoding="utf-8"?>
<sst xmlns="http://schemas.openxmlformats.org/spreadsheetml/2006/main" count="1010" uniqueCount="598">
  <si>
    <t>ITEM</t>
  </si>
  <si>
    <t>1.1</t>
  </si>
  <si>
    <t>2.1</t>
  </si>
  <si>
    <t>3.1</t>
  </si>
  <si>
    <t>5.1</t>
  </si>
  <si>
    <t>CRONOGRAMA FÍSICO/FINANCEIRO</t>
  </si>
  <si>
    <t>Valor Acumulado</t>
  </si>
  <si>
    <t>Mês 01</t>
  </si>
  <si>
    <t>Mês 02</t>
  </si>
  <si>
    <t>Mês 03</t>
  </si>
  <si>
    <t>No mês</t>
  </si>
  <si>
    <t>Valor Medido</t>
  </si>
  <si>
    <t>ACUMULADO</t>
  </si>
  <si>
    <t>4.1</t>
  </si>
  <si>
    <t>4.2</t>
  </si>
  <si>
    <t>7.1</t>
  </si>
  <si>
    <t>BDI</t>
  </si>
  <si>
    <t>DATA</t>
  </si>
  <si>
    <t>VALOR DA OBRA C/ BDI:</t>
  </si>
  <si>
    <t>CÓDIGO</t>
  </si>
  <si>
    <t>FONTE</t>
  </si>
  <si>
    <t>DESCRIÇÃO DOS SERVIÇOS</t>
  </si>
  <si>
    <t>UND</t>
  </si>
  <si>
    <t>QTDADE</t>
  </si>
  <si>
    <t>PR. UNIT. S/ BDI  (R$)</t>
  </si>
  <si>
    <t>PREÇO UNIT. C/ BDI (R$)</t>
  </si>
  <si>
    <t>VALOR (R$)</t>
  </si>
  <si>
    <t>1.</t>
  </si>
  <si>
    <t>SERVIÇOS PRELIMINARES</t>
  </si>
  <si>
    <t>DEINFRA</t>
  </si>
  <si>
    <t>m²</t>
  </si>
  <si>
    <t>2.</t>
  </si>
  <si>
    <t>Subtotal item 2.0</t>
  </si>
  <si>
    <t>3.</t>
  </si>
  <si>
    <t>4.</t>
  </si>
  <si>
    <t>Subtotal item 1.0</t>
  </si>
  <si>
    <t>5.</t>
  </si>
  <si>
    <t>Subtotal item 3.0</t>
  </si>
  <si>
    <t>7.</t>
  </si>
  <si>
    <t>SERVIÇOS DIVERSOS</t>
  </si>
  <si>
    <t>Locação de obra</t>
  </si>
  <si>
    <t>PLANILHA ORÇAMENTÁRIA</t>
  </si>
  <si>
    <t>m</t>
  </si>
  <si>
    <t>SEINFRA</t>
  </si>
  <si>
    <t>1.2</t>
  </si>
  <si>
    <t>1.4</t>
  </si>
  <si>
    <t>2.2</t>
  </si>
  <si>
    <t>Subtotal item 4.0</t>
  </si>
  <si>
    <t>6.1</t>
  </si>
  <si>
    <t>6.2</t>
  </si>
  <si>
    <t>6.3</t>
  </si>
  <si>
    <t>Subtotal item 6.0</t>
  </si>
  <si>
    <t>7.2</t>
  </si>
  <si>
    <t>Subtotal item 7.0</t>
  </si>
  <si>
    <t>_______________________________________</t>
  </si>
  <si>
    <t>Agente Promotor</t>
  </si>
  <si>
    <t>Número do Contrato</t>
  </si>
  <si>
    <t>.</t>
  </si>
  <si>
    <t>Empreendimento</t>
  </si>
  <si>
    <t>Localização</t>
  </si>
  <si>
    <t>Programa</t>
  </si>
  <si>
    <t>VERSÃO 1.18 (Dez/2015)</t>
  </si>
  <si>
    <t>TIPO DE OBRA</t>
  </si>
  <si>
    <t>Construção de Edifícios</t>
  </si>
  <si>
    <t>Construção de Rodovias e Ferrovias</t>
  </si>
  <si>
    <t>Construção de Redes de Abastecimento de Água, Coleta de Esgoto e Construções Correlatas</t>
  </si>
  <si>
    <t>Construção e Manutenção de Estações e Redes de Distribuição de Energia Elétrica</t>
  </si>
  <si>
    <t>DESCRIÇÃO ANALÍTICA</t>
  </si>
  <si>
    <t>SIGLAS</t>
  </si>
  <si>
    <t>PERCENTUAL</t>
  </si>
  <si>
    <t>SITUAÇÃO</t>
  </si>
  <si>
    <t>1º QUARTIL (MÍNIMO)</t>
  </si>
  <si>
    <t>3º QUARTIL (MÁXIMO)</t>
  </si>
  <si>
    <t>Obras Portuárias, Marítimas e Fluviais</t>
  </si>
  <si>
    <t>ADMINISTRAÇÃO CENTRAL</t>
  </si>
  <si>
    <t>AC</t>
  </si>
  <si>
    <t>Fornecimento de Materiais e Equipamentos</t>
  </si>
  <si>
    <t>SEGURO E GARANTIA</t>
  </si>
  <si>
    <t>S + G</t>
  </si>
  <si>
    <t>minimos</t>
  </si>
  <si>
    <t>RISCO</t>
  </si>
  <si>
    <t>R</t>
  </si>
  <si>
    <t>DESPESAS FINANCEIRAS</t>
  </si>
  <si>
    <t>DF</t>
  </si>
  <si>
    <t>LUCRO</t>
  </si>
  <si>
    <t>L</t>
  </si>
  <si>
    <t>TAXA REPRESENTATIVA DE TRIBUTOS</t>
  </si>
  <si>
    <t>I = PIS+COFINS+ISS+CPRB</t>
  </si>
  <si>
    <t>PIS</t>
  </si>
  <si>
    <t>%</t>
  </si>
  <si>
    <t>Alíquota ISS:</t>
  </si>
  <si>
    <t>Base de cálculo:</t>
  </si>
  <si>
    <t>COFINS</t>
  </si>
  <si>
    <t>maximos</t>
  </si>
  <si>
    <t>CONTRIBUIÇÃO PREVIDENCIÁRIA SOBRE A RECEITA BRUTA</t>
  </si>
  <si>
    <t>CPRB</t>
  </si>
  <si>
    <t>6.4</t>
  </si>
  <si>
    <t>ISS</t>
  </si>
  <si>
    <t>LIMITE CONFORME ACÓRDÃO TCU 2.622/2013</t>
  </si>
  <si>
    <t>Composição do BDI para obras com mão-de-obra desonerada (conforme Lei 13.161 de 2015)</t>
  </si>
  <si>
    <t>Fórmula - Acórdão TCU 2.622/2013:</t>
  </si>
  <si>
    <t>Composição do BDI para obras com mão-de-obra onerada</t>
  </si>
  <si>
    <t>de 20,34% a 25,00%</t>
  </si>
  <si>
    <t>Justificativas e Observações:</t>
  </si>
  <si>
    <t>de 19,60% a 24,23%</t>
  </si>
  <si>
    <t>de 20,76% a 26,44%</t>
  </si>
  <si>
    <t>de 24,00% a 27,86%</t>
  </si>
  <si>
    <t>de 22,80% a 30,95%</t>
  </si>
  <si>
    <t>de 11,10% a 16,80%</t>
  </si>
  <si>
    <t>LIMITES DE BDI</t>
  </si>
  <si>
    <t>Obs¹: Para pagamento de material em canteiro, quando possível nos programas do Gestor, o BDI de Materiais deve ser limitado a 12,00%.</t>
  </si>
  <si>
    <t>Calculo real:</t>
  </si>
  <si>
    <t>Declaração do Tomador dos Recursos:</t>
  </si>
  <si>
    <t>1= abaixo</t>
  </si>
  <si>
    <t>2= dentro</t>
  </si>
  <si>
    <t>3= acima</t>
  </si>
  <si>
    <t>real</t>
  </si>
  <si>
    <t>OK</t>
  </si>
  <si>
    <t>final</t>
  </si>
  <si>
    <t>Data</t>
  </si>
  <si>
    <t>Percentual do BDI inferior ao limite estipulado pelo Acórdão TCU 2.622/2013.</t>
  </si>
  <si>
    <t>2= final abaixo</t>
  </si>
  <si>
    <t>Percentual do BDI quando calculado sem desoneração é inferior ao limite estipulado pelo Acórdão TCU 2.622/2013.</t>
  </si>
  <si>
    <t>3= final dentro real abaixo</t>
  </si>
  <si>
    <t>OK!</t>
  </si>
  <si>
    <t>4= final dentro real dentro</t>
  </si>
  <si>
    <t>OK! Percentual do BDI quando calculado sem desoneração atende ao limite estipulado pelo Acórdão TCU 2.622/2013.</t>
  </si>
  <si>
    <t>5= final acima real dentro</t>
  </si>
  <si>
    <t>Responsável Técnico pela Composição do BDI</t>
  </si>
  <si>
    <t>Responsável indicado pelo Tomador</t>
  </si>
  <si>
    <t>Percentual do BDI superior ao limite estipulado pelo Acórdão TCU 2.622/2013.</t>
  </si>
  <si>
    <t>6= final acima real acima</t>
  </si>
  <si>
    <t xml:space="preserve">Nome: </t>
  </si>
  <si>
    <t>Nome:</t>
  </si>
  <si>
    <t>Registro:</t>
  </si>
  <si>
    <t>Cargo:</t>
  </si>
  <si>
    <t>Eu, responsável técnico pelo orçamento, declaro para os devidos fins, que a opção pela desoneração sobre a folha de pagamento é mais adequada para a administração pública.</t>
  </si>
  <si>
    <t>ART/RRT:</t>
  </si>
  <si>
    <t>CPF:</t>
  </si>
  <si>
    <t>Eu, responsável técnico pelo orçamento, declaro para os devidos fins, que a opção pela oneração sobre a folha de pagamento é mais adequada para a administração pública.</t>
  </si>
  <si>
    <t>onerado</t>
  </si>
  <si>
    <t>desonerado</t>
  </si>
  <si>
    <t>5.2</t>
  </si>
  <si>
    <t>Mês 04</t>
  </si>
  <si>
    <t>Mês 05</t>
  </si>
  <si>
    <t>M2</t>
  </si>
  <si>
    <t>UNIDADE</t>
  </si>
  <si>
    <t>CODIGO  DA COMPOSICAO</t>
  </si>
  <si>
    <t>DESCRICAO DA COMPOSICAO</t>
  </si>
  <si>
    <t>ORIGEM DE PREÇO</t>
  </si>
  <si>
    <t>CUSTO TOTAL</t>
  </si>
  <si>
    <t>M3</t>
  </si>
  <si>
    <t>Placa obra pintada e fixada em estrutura madeira</t>
  </si>
  <si>
    <t>CODIGO</t>
  </si>
  <si>
    <t>DESCRIÇÃO</t>
  </si>
  <si>
    <t>CUSTO EXECUÇÃO</t>
  </si>
  <si>
    <t>CUSTO MATERIAL</t>
  </si>
  <si>
    <t>PREÇO UNITÁRIO</t>
  </si>
  <si>
    <t xml:space="preserve">Locação da Obra </t>
  </si>
  <si>
    <t>Projeto Elétrico</t>
  </si>
  <si>
    <t>PREÇO UNITÁRIO (+25%)</t>
  </si>
  <si>
    <t xml:space="preserve"> M2 </t>
  </si>
  <si>
    <t>M</t>
  </si>
  <si>
    <t>COEFICIENTE DE REPRESENTATIVIDADE</t>
  </si>
  <si>
    <t>UN</t>
  </si>
  <si>
    <t>Abrigo provisorio de pinus</t>
  </si>
  <si>
    <t xml:space="preserve">Limpeza da obra </t>
  </si>
  <si>
    <t xml:space="preserve">M2 </t>
  </si>
  <si>
    <t>7.3</t>
  </si>
  <si>
    <t>Subtotal item 5.0</t>
  </si>
  <si>
    <t>6.</t>
  </si>
  <si>
    <t>1.5</t>
  </si>
  <si>
    <t>5.3</t>
  </si>
  <si>
    <t>1.3</t>
  </si>
  <si>
    <t>1.6</t>
  </si>
  <si>
    <t>1.7</t>
  </si>
  <si>
    <t>1.8</t>
  </si>
  <si>
    <t>Retirada de portas, janelas e caixilhos</t>
  </si>
  <si>
    <t>Obra: AMPLIAÇÃO E REFORMA - CEIM SEPÉ TIARAJU SÃO CARLOS - COM FORNECIMENTO DE MATERIAL</t>
  </si>
  <si>
    <t>IMPERMEABILIZAÇÃO</t>
  </si>
  <si>
    <t>COBERTURA</t>
  </si>
  <si>
    <t>ELÉTRICA</t>
  </si>
  <si>
    <t>8.</t>
  </si>
  <si>
    <t>9.</t>
  </si>
  <si>
    <t>10.</t>
  </si>
  <si>
    <t>11.</t>
  </si>
  <si>
    <t>Forma para estruturas em concreto (Reaproveitamento 2x)</t>
  </si>
  <si>
    <t>Lastro de Brita 6cm</t>
  </si>
  <si>
    <t>Contrapiso, concreto espessura 6cm</t>
  </si>
  <si>
    <t>PINTURA E ACABAMENTOS</t>
  </si>
  <si>
    <t>Aplicação manual de fundo selador acrílico</t>
  </si>
  <si>
    <t>Limpeza final da obra</t>
  </si>
  <si>
    <t>Subtotal item 8.0</t>
  </si>
  <si>
    <t>Subtotal item 9.0</t>
  </si>
  <si>
    <t>Subtotal item 10.0</t>
  </si>
  <si>
    <t>Subtotal item 11.0</t>
  </si>
  <si>
    <t>8.1</t>
  </si>
  <si>
    <t>8.2</t>
  </si>
  <si>
    <t>8.3</t>
  </si>
  <si>
    <t>8.4</t>
  </si>
  <si>
    <t>9.1</t>
  </si>
  <si>
    <t>10.1</t>
  </si>
  <si>
    <t>10.2</t>
  </si>
  <si>
    <t>11.1</t>
  </si>
  <si>
    <t>11.2</t>
  </si>
  <si>
    <t>unid</t>
  </si>
  <si>
    <t>Placa obra pintada e fixada em estrutura de madeira (1,50x2,50)</t>
  </si>
  <si>
    <t xml:space="preserve">TOTAL COM BDI </t>
  </si>
  <si>
    <t>Demolicao de alvenaria de tijolos furado</t>
  </si>
  <si>
    <t>Projeto Prevenção Incêndio Completo</t>
  </si>
  <si>
    <t>Projeto estrutural</t>
  </si>
  <si>
    <t>Tanque de aco inox fixo em alv. sifonado c/ metais</t>
  </si>
  <si>
    <t>UNID</t>
  </si>
  <si>
    <t>Lavatório de louça simples sifonado c/ torneira Pressmati</t>
  </si>
  <si>
    <t xml:space="preserve"> UNID</t>
  </si>
  <si>
    <t>95469</t>
  </si>
  <si>
    <t>VASO SANITARIO SIFONADO CONVENCIONAL COM  LOUÇA BRANCA - FORNECIMENTO E INSTALAÇÃO. AF_01/2020</t>
  </si>
  <si>
    <t>SINAPI</t>
  </si>
  <si>
    <t>89482</t>
  </si>
  <si>
    <t>CAIXA SIFONADA, PVC, DN 100 X 100 X 50 MM, FORNECIDA E INSTALADA EM RAMAIS DE ENCAMINHAMENTO DE ÁGUA PLUVIAL. AF_12/2014</t>
  </si>
  <si>
    <t>86914</t>
  </si>
  <si>
    <t>TORNEIRA CROMADA 1/2 OU 3/4 PARA TANQUE, PADRÃO MÉDIO - FORNECIMENTO E INSTALAÇÃO. AF_01/2020</t>
  </si>
  <si>
    <t>86915</t>
  </si>
  <si>
    <t>TORNEIRA CROMADA DE MESA, 1/2 OU 3/4, PARA LAVATÓRIO, PADRÃO MÉDIO - FORNECIMENTO E INSTALAÇÃO. AF_01/2020</t>
  </si>
  <si>
    <t>Tubo PVC rigido soldavel 40 mm</t>
  </si>
  <si>
    <t>Tubo PVC rigido soldavel 50mm</t>
  </si>
  <si>
    <t>Tubo PVC rigido soldavel 75mm</t>
  </si>
  <si>
    <t>Tubo PVC rigido 100mm esgoto primario</t>
  </si>
  <si>
    <t xml:space="preserve">Joelho 45 PVC rigido soldavel 40mm </t>
  </si>
  <si>
    <t xml:space="preserve">Joelho 45 PVC rigido soldavel 50mm </t>
  </si>
  <si>
    <t xml:space="preserve">Joelho 45 PVC rigido soldavel 75 mm </t>
  </si>
  <si>
    <t xml:space="preserve">Joelho 45 esgoto primario 100mm </t>
  </si>
  <si>
    <t>9.2</t>
  </si>
  <si>
    <t>9.3</t>
  </si>
  <si>
    <t>9.4</t>
  </si>
  <si>
    <t>9.5</t>
  </si>
  <si>
    <t>9.6</t>
  </si>
  <si>
    <t>9.7</t>
  </si>
  <si>
    <t>9.8</t>
  </si>
  <si>
    <t>Tubo PVC rigido soldavel 25 mm</t>
  </si>
  <si>
    <t>89986</t>
  </si>
  <si>
    <t>REGISTRO DE GAVETA BRUTO, LATÃO, ROSCÁVEL, 1/2", COM ACABAMENTO E CANOPLA CROMADOS - FORNECIMENTO E INSTALAÇÃO. AF_08/2021</t>
  </si>
  <si>
    <t>Joelho 90 PVC rigido soldavel 25mm</t>
  </si>
  <si>
    <t>Te 90 PVC rigido soldavel 25mm</t>
  </si>
  <si>
    <t>89714</t>
  </si>
  <si>
    <t>TUBO PVC, SERIE NORMAL, ESGOTO PREDIAL, DN 100 MM, FORNECIDO E INSTALADO EM RAMAL DE DESCARGA OU RAMAL DE ESGOTO SANITÁRIO. AF_12/2014</t>
  </si>
  <si>
    <t xml:space="preserve">Cuba inox 55x33x14 cm em bancada c/ sifão de pvc </t>
  </si>
  <si>
    <t xml:space="preserve">Demolicao de pavimentacao de taco de madeira </t>
  </si>
  <si>
    <t>Demolicao piso ceramico</t>
  </si>
  <si>
    <t xml:space="preserve">Porta chapeada de madeira angelim c/ forra, vistas e ferragens </t>
  </si>
  <si>
    <t>94569</t>
  </si>
  <si>
    <t>JANELA DE ALUMÍNIO TIPO MAXIM-AR, COM VIDROS, BATENTE E FERRAGENS. EXCLUSIVE ALIZAR, ACABAMENTO E CONTRAMARCO. FORNECIMENTO E INSTALAÇÃO. AF_12/2019</t>
  </si>
  <si>
    <t>Janela de alumínio - inlcuso vidros, batente e ferragem</t>
  </si>
  <si>
    <t>6.5</t>
  </si>
  <si>
    <t>91338</t>
  </si>
  <si>
    <t>PORTA DE ALUMÍNIO DE ABRIR COM LAMBRI, COM GUARNIÇÃO, FIXAÇÃO COM PARAFUSOS - FORNECIMENTO E INSTALAÇÃO. AF_12/2019</t>
  </si>
  <si>
    <t>Porta de ferro chapa lisa completa</t>
  </si>
  <si>
    <t xml:space="preserve"> M2</t>
  </si>
  <si>
    <t>6.6</t>
  </si>
  <si>
    <t xml:space="preserve"> Porta de Vidro Temperado 10mm Liso c/ Ferragens Colocado</t>
  </si>
  <si>
    <t>98557</t>
  </si>
  <si>
    <t>IMPERMEABILIZAÇÃO DE SUPERFÍCIE COM EMULSÃO ASFÁLTICA, 2 DEMÃOS AF_06/2018</t>
  </si>
  <si>
    <t>102605</t>
  </si>
  <si>
    <t>CAIXA D´ÁGUA EM POLIETILENO, 500 LITROS - FORNECIMENTO E INSTALAÇÃO. AF_06/2021</t>
  </si>
  <si>
    <t xml:space="preserve">Extintor de incendio PQS 4KG </t>
  </si>
  <si>
    <t>Abrigo em alumínio para extintores padrão</t>
  </si>
  <si>
    <t xml:space="preserve">Placa de sinalizacao acrilico 16x25 cm </t>
  </si>
  <si>
    <t xml:space="preserve">Sumidouro </t>
  </si>
  <si>
    <t>m³</t>
  </si>
  <si>
    <t>Filtro anaerobio</t>
  </si>
  <si>
    <t>Fossa Septica</t>
  </si>
  <si>
    <t xml:space="preserve"> M3</t>
  </si>
  <si>
    <t>Tapume em madeira</t>
  </si>
  <si>
    <t>Tapume de madeira</t>
  </si>
  <si>
    <t>Abrigo provisório de pinus, sem divisórias internas e sem sanitário</t>
  </si>
  <si>
    <t>Projeto Completo - Estrutural c/ fundações</t>
  </si>
  <si>
    <t>Projeto elétrico - completo</t>
  </si>
  <si>
    <t>Projeto hidrossanitário - completo</t>
  </si>
  <si>
    <t>Projeto Hidro-Sanitario</t>
  </si>
  <si>
    <t xml:space="preserve">SERVIÇOS EM CONCRETO </t>
  </si>
  <si>
    <t>SISTEMA DE VEDAÇÃO E REVESTIMENTOS</t>
  </si>
  <si>
    <t>ESQUADRIAS</t>
  </si>
  <si>
    <t>Escavação manual e reaterro - Fundações/Hidro</t>
  </si>
  <si>
    <t>Carga e transporte de entulho e posterior transporte /10km</t>
  </si>
  <si>
    <t>Retirada de aparelhos sanitarios</t>
  </si>
  <si>
    <t>Impermabilização de alvenaria com cimento cristalizante - 3 demãos</t>
  </si>
  <si>
    <t>Impermeabilizacao rig. c/ arg. cristalizante -reservatórios</t>
  </si>
  <si>
    <t>Reboco</t>
  </si>
  <si>
    <t>Piso ceramico Extra antiderrapante PEI-5 c/argamassa
colante AC III</t>
  </si>
  <si>
    <t>90843</t>
  </si>
  <si>
    <t>KIT DE PORTA DE MADEIRA PARA PINTURA, SEMI-OCA (LEVE OU MÉDIA), PADRÃO MÉDIO, 80X210CM, ESPESSURA DE 3,5CM, ITENS INCLUSOS: DOBRADIÇAS, MONTAGEM E INSTALAÇÃO DO BATENTE, FECHADURA COM EXECUÇÃO DO FURO - FORNECIMENTO E INSTALAÇÃO. AF_12/2019</t>
  </si>
  <si>
    <t>Fechadura de embutir com cilindro para portas externas, completa, acabamento padrão médio, incluso furo</t>
  </si>
  <si>
    <t>Trama de madeira para telhado - ripas, caibros e terças</t>
  </si>
  <si>
    <t>Calha em chapa de aço galvanizado n°24 - incluso descidas</t>
  </si>
  <si>
    <t>Testeira de madeira pintada</t>
  </si>
  <si>
    <t>91341</t>
  </si>
  <si>
    <t>PORTA EM ALUMÍNIO DE ABRIR TIPO VENEZIANA COM GUARNIÇÃO, FIXAÇÃO COM PARAFUSOS - FORNECIMENTO E INSTALAÇÃO. AF_12/2019</t>
  </si>
  <si>
    <t>93199</t>
  </si>
  <si>
    <t>CONTRAVERGA MOLDADA IN LOCO COM UTILIZAÇÃO DE BLOCOS CANALETA PARA VÃOS DE MAIS DE 1,5 M DE COMPRIMENTO. AF_03/2016</t>
  </si>
  <si>
    <t>93188</t>
  </si>
  <si>
    <t>VERGA MOLDADA IN LOCO EM CONCRETO PARA PORTAS COM ATÉ 1,5 M DE VÃO. AF_03/2016</t>
  </si>
  <si>
    <t>ATRIBUÍDO SÃO PAULO</t>
  </si>
  <si>
    <t>93187</t>
  </si>
  <si>
    <t>VERGA MOLDADA IN LOCO EM CONCRETO PARA JANELAS COM MAIS DE 1,5 M DE VÃO. AF_03/2016</t>
  </si>
  <si>
    <t>93186</t>
  </si>
  <si>
    <t>VERGA MOLDADA IN LOCO EM CONCRETO PARA JANELAS COM ATÉ 1,5 M DE VÃO. AF_03/2016</t>
  </si>
  <si>
    <t>93196</t>
  </si>
  <si>
    <t>CONTRAVERGA MOLDADA IN LOCO EM CONCRETO PARA VÃOS DE ATÉ 1,5 M DE COMPRIMENTO. AF_03/2016</t>
  </si>
  <si>
    <t>Verga moldada in loco em concreto para janelas até 1,5m</t>
  </si>
  <si>
    <t>Verga moldada in loco em concreto para janelas com mais de 1,5m</t>
  </si>
  <si>
    <t>Verga moldada in loco em concreto para portas com até 1,5m</t>
  </si>
  <si>
    <t>Contraverga moldada in loco em concreto para vãos de até 1,5m</t>
  </si>
  <si>
    <t>93189</t>
  </si>
  <si>
    <t>VERGA MOLDADA IN LOCO EM CONCRETO PARA PORTAS COM MAIS DE 1,5 M DE VÃO. AF_03/2016</t>
  </si>
  <si>
    <t>93197</t>
  </si>
  <si>
    <t>CONTRAVERGA MOLDADA IN LOCO EM CONCRETO PARA VÃOS DE MAIS DE 1,5 M DE COMPRIMENTO. AF_03/2016</t>
  </si>
  <si>
    <t>Contraverga moldada in loco em concreto para vãos com mais de 1,5m</t>
  </si>
  <si>
    <t>6.7</t>
  </si>
  <si>
    <t>Cobertura com telha fibrocimento 6 mm</t>
  </si>
  <si>
    <t>94227</t>
  </si>
  <si>
    <t>CALHA EM CHAPA DE AÇO GALVANIZADO NÚMERO 24, DESENVOLVIMENTO DE 33 CM, INCLUSO TRANSPORTE VERTICAL. AF_07/2019</t>
  </si>
  <si>
    <t>92543</t>
  </si>
  <si>
    <t>TRAMA DE MADEIRA COMPOSTA POR TERÇAS PARA TELHADOS DE ATÉ 2 ÁGUAS PARA TELHA ONDULADA DE FIBROCIMENTO, METÁLICA, PLÁSTICA OU TERMOACÚSTICA, INCLUSO TRANSPORTE VERTICAL. AF_07/2019</t>
  </si>
  <si>
    <t>94223</t>
  </si>
  <si>
    <t>CUMEEIRA PARA TELHA DE FIBROCIMENTO ONDULADA E = 6 MM, INCLUSO ACESSÓRIOS DE FIXAÇÃO E IÇAMENTO. AF_07/2019</t>
  </si>
  <si>
    <t>Testeira de madeira/beiral 17 cm</t>
  </si>
  <si>
    <t>Pintura acrilica - 2 demaos</t>
  </si>
  <si>
    <t xml:space="preserve">Selador acrilico alvenaria int/ext </t>
  </si>
  <si>
    <t>Massa acrílica para interior e exterior</t>
  </si>
  <si>
    <t>Massa acrilica para interior e exterior</t>
  </si>
  <si>
    <t>10.3</t>
  </si>
  <si>
    <t>Impermeabilização de superfície com emulsão asfáltica - 2 demãos</t>
  </si>
  <si>
    <t>Soleira de Granito 17cm</t>
  </si>
  <si>
    <t xml:space="preserve">Movimento manual de terra (escavação e reaterro) </t>
  </si>
  <si>
    <t>Movimento manual de terra (escavação e reaterro)</t>
  </si>
  <si>
    <t>Cobertura com telha Romana</t>
  </si>
  <si>
    <t>Alvenaria tijolos 6 furos 12 cm</t>
  </si>
  <si>
    <t>87879</t>
  </si>
  <si>
    <t>CHAPISCO APLICADO EM ALVENARIAS E ESTRUTURAS DE CONCRETO INTERNAS, COM COLHER DE PEDREIRO.  ARGAMASSA TRAÇO 1:3 COM PREPARO EM BETONEIRA 400L. AF_06/2014</t>
  </si>
  <si>
    <t>Gradil Janelas</t>
  </si>
  <si>
    <t>Grade simples-ferro para protecao de janelas</t>
  </si>
  <si>
    <t>Lastro de brita</t>
  </si>
  <si>
    <t>94224</t>
  </si>
  <si>
    <t>EMBOÇAMENTO COM ARGAMASSA TRAÇO 1:2:9 (CIMENTO, CAL E AREIA). AF_07/2019</t>
  </si>
  <si>
    <t>87273</t>
  </si>
  <si>
    <t>REVESTIMENTO CERÂMICO PARA PAREDES INTERNAS COM PLACAS TIPO ESMALTADA EXTRA DE DIMENSÕES 33X45 CM APLICADAS EM AMBIENTES DE ÁREA MAIOR QUE 5 M² NA ALTURA INTEIRA DAS PAREDES. AF_06/2014</t>
  </si>
  <si>
    <t>DEINFRA 01/2021</t>
  </si>
  <si>
    <t>Piso ceramico Extra antiderrapante PEI-5 c/argamassa colante AC III</t>
  </si>
  <si>
    <t>IVANA MICHALTCHUK</t>
  </si>
  <si>
    <t>SECRETARIA DA EDUCAÇÃO</t>
  </si>
  <si>
    <t>88648</t>
  </si>
  <si>
    <t>RODAPÉ CERÂMICO DE 7CM DE ALTURA COM PLACAS TIPO ESMALTADA EXTRA  DE DIMENSÕES 35X35CM. AF_06/2014</t>
  </si>
  <si>
    <t>Contrapiso e=6cm / concreto magro 1:3:6</t>
  </si>
  <si>
    <t>7.4</t>
  </si>
  <si>
    <t>7.5</t>
  </si>
  <si>
    <t>Eletroduto tipo mangueira corrugada de 1/2"</t>
  </si>
  <si>
    <t xml:space="preserve"> M </t>
  </si>
  <si>
    <t>Forma de Madeira Tábuas de Pinus 2 utilizações</t>
  </si>
  <si>
    <t xml:space="preserve">Concreto armado 25Mpa usinado /bombeado </t>
  </si>
  <si>
    <t>99814</t>
  </si>
  <si>
    <t>LIMPEZA DE SUPERFÍCIE COM JATO DE ALTA PRESSÃO. AF_04/2019</t>
  </si>
  <si>
    <t>10.4</t>
  </si>
  <si>
    <t>90830</t>
  </si>
  <si>
    <t>FECHADURA DE EMBUTIR COM CILINDRO, EXTERNA, COMPLETA, ACABAMENTO PADRÃO MÉDIO, INCLUSO EXECUÇÃO DE FURO - FORNECIMENTO E INSTALAÇÃO. AF_12/2019</t>
  </si>
  <si>
    <t>101875</t>
  </si>
  <si>
    <t>QUADRO DE DISTRIBUIÇÃO DE ENERGIA EM CHAPA DE AÇO GALVANIZADO, DE EMBUTIR, COM BARRAMENTO TRIFÁSICO, PARA 12 DISJUNTORES DIN 100A - FORNECIMENTO E INSTALAÇÃO. AF_10/2020</t>
  </si>
  <si>
    <t>93141</t>
  </si>
  <si>
    <t>PONTO DE TOMADA RESIDENCIAL INCLUINDO TOMADA 10A/250V, CAIXA ELÉTRICA, ELETRODUTO, CABO, RASGO, QUEBRA E CHUMBAMENTO. AF_01/2016</t>
  </si>
  <si>
    <t>93128</t>
  </si>
  <si>
    <t>PONTO DE ILUMINAÇÃO RESIDENCIAL INCLUINDO INTERRUPTOR SIMPLES, CAIXA ELÉTRICA, ELETRODUTO, CABO, RASGO, QUEBRA E CHUMBAMENTO (EXCLUINDO LUMINÁRIA E LÂMPADA). AF_01/2016</t>
  </si>
  <si>
    <t>Raspagem de Contra Piso</t>
  </si>
  <si>
    <t>Bancada alvenaria/concreto padrao laboratorio 2,1x0,8m,
completa</t>
  </si>
  <si>
    <t>Sondagem a percussão - SPT</t>
  </si>
  <si>
    <t>Granito polido 3 cm</t>
  </si>
  <si>
    <t>Saboneteira tipo dispenser para sabonete líquido</t>
  </si>
  <si>
    <t>Toalheiro plástico tipo dispenser para papel toalha interfolhado</t>
  </si>
  <si>
    <t>TOALHEIRO PLASTICO TIPO DISPENSER PARA PAPEL TOALHA INTERFOLHADO</t>
  </si>
  <si>
    <t>AS</t>
  </si>
  <si>
    <t>PAPELEIRA DE PAREDE EM METAL CROMADO SEM TAMPA</t>
  </si>
  <si>
    <t>CR</t>
  </si>
  <si>
    <t>Papeleira de parede em metal cromado</t>
  </si>
  <si>
    <t>SABONETEIRA PLASTICA TIPO DISPENSER PARA SABONETE LIQUIDO COM RESERVATORIO 800 A 1500 ML</t>
  </si>
  <si>
    <t>DEMOLIÇÃO</t>
  </si>
  <si>
    <t>MOVIMENTAÇÃO DE TERRAS E TRANSPORTE</t>
  </si>
  <si>
    <t>Aterro externo com aquisição de aterro</t>
  </si>
  <si>
    <t>Chapisco aplicado com colher de pedreiro, argamassa, traço 1:3 - prepero em betoneira</t>
  </si>
  <si>
    <t>Emboço, em argamassa - traço 1:2:9 (cimento, cal e areia)</t>
  </si>
  <si>
    <t>4.4</t>
  </si>
  <si>
    <t>4.5</t>
  </si>
  <si>
    <t>8.6</t>
  </si>
  <si>
    <t>10.5</t>
  </si>
  <si>
    <t>10.6</t>
  </si>
  <si>
    <t>10.7</t>
  </si>
  <si>
    <t>10.8</t>
  </si>
  <si>
    <t>10.9</t>
  </si>
  <si>
    <t>10.10</t>
  </si>
  <si>
    <t>10.11</t>
  </si>
  <si>
    <t>12.</t>
  </si>
  <si>
    <t>12.1</t>
  </si>
  <si>
    <t>12.2</t>
  </si>
  <si>
    <t>12.3</t>
  </si>
  <si>
    <t>Subtotal item 12.0</t>
  </si>
  <si>
    <t>Luminária de emergência - 30 LED's</t>
  </si>
  <si>
    <t>97599</t>
  </si>
  <si>
    <t>LUMINÁRIA DE EMERGÊNCIA, COM 30 LÂMPADAS LED DE 2 W, SEM REATOR - FORNECIMENTO E INSTALAÇÃO. AF_02/2020</t>
  </si>
  <si>
    <t>101908</t>
  </si>
  <si>
    <t>EXTINTOR DE INCÊNDIO PORTÁTIL COM CARGA DE PQS DE 4 KG, CLASSE BC - FORNECIMENTO E INSTALAÇÃO. AF_10/2020_P</t>
  </si>
  <si>
    <t>Aterro externo com aquisicao de aterro</t>
  </si>
  <si>
    <t>Mês 06</t>
  </si>
  <si>
    <t>Gabriele Sganzerla Ferreira</t>
  </si>
  <si>
    <t>CREA SC: 188680-0</t>
  </si>
  <si>
    <t>Responsável Técnico: Gabriele Sganzerla Ferrreira</t>
  </si>
  <si>
    <t>fund</t>
  </si>
  <si>
    <t>Retirada de forro de PVC Sem Reaproveitamento</t>
  </si>
  <si>
    <t>97647</t>
  </si>
  <si>
    <t>REMOÇÃO DE TELHAS, DE FIBROCIMENTO, METÁLICA E CERÂMICA, DE FORMA MANUAL, SEM REAPROVEITAMENTO. AF_12/2017</t>
  </si>
  <si>
    <t>97650</t>
  </si>
  <si>
    <t>REMOÇÃO DE TRAMA DE MADEIRA PARA COBERTURA, DE FORMA MANUAL, SEM REAPROVEITAMENTO. AF_12/2017</t>
  </si>
  <si>
    <t>Demolicao de contra piso concreto 8cm</t>
  </si>
  <si>
    <t>CJ</t>
  </si>
  <si>
    <t>Conjunto de 03 barras de apoio metálicas cromadas p/
BWC de Deficientes</t>
  </si>
  <si>
    <t>Estaca tipo broca 25cm - concreto armado 15MPa</t>
  </si>
  <si>
    <t xml:space="preserve"> Broca de concreto armado 15Mpa - 25 cm</t>
  </si>
  <si>
    <t xml:space="preserve"> M</t>
  </si>
  <si>
    <t>Concreto armado 25Mpa usinado/bombeado - incluindo armação</t>
  </si>
  <si>
    <t>Impermeabilização de estruturas enterradas com tinta asfáltica, duas demãos</t>
  </si>
  <si>
    <t>4.6</t>
  </si>
  <si>
    <t>4.7</t>
  </si>
  <si>
    <t>4.8</t>
  </si>
  <si>
    <t>4.9</t>
  </si>
  <si>
    <t>90844</t>
  </si>
  <si>
    <t>KIT DE PORTA DE MADEIRA PARA PINTURA, SEMI-OCA (LEVE OU MÉDIA), PADRÃO MÉDIO, 90X210CM, ESPESSURA DE 3,5CM, ITENS INCLUSOS: DOBRADIÇAS, MONTAGEM E INSTALAÇÃO DO BATENTE, FECHADURA COM EXECUÇÃO DO FURO - FORNECIMENTO E INSTALAÇÃO. AF_12/2019</t>
  </si>
  <si>
    <t>SINAPI - MAR/2022 ABR/2022</t>
  </si>
  <si>
    <t>94207</t>
  </si>
  <si>
    <t>TELHAMENTO COM TELHA ONDULADA DE FIBROCIMENTO E = 6 MM, COM RECOBRIMENTO LATERAL DE 1/4 DE ONDA PARA TELHADO COM INCLINAÇÃO MAIOR QUE 10°, COM ATÉ 2 ÁGUAS, INCLUSO IÇAMENTO. AF_07/2019</t>
  </si>
  <si>
    <t>Telhamento com telha ondulada de fibrocimento e=6mm, com recobrimento lateral de 1/4 de onda</t>
  </si>
  <si>
    <t>94993</t>
  </si>
  <si>
    <t>EXECUÇÃO DE PASSEIO (CALÇADA) OU PISO DE CONCRETO COM CONCRETO MOLDADO IN LOCO, USINADO, ACABAMENTO CONVENCIONAL, ESPESSURA 6 CM, ARMADO. AF_07/2016</t>
  </si>
  <si>
    <t>Cumeeira para telha de fibrocimento ondulada e=6mm, incluso acessórios de fixação e içamento</t>
  </si>
  <si>
    <t>100435</t>
  </si>
  <si>
    <t>RUFO EM FIBROCIMENTO PARA TELHA ONDULADA E = 6 MM, ABA DE 26 CM, INCLUSO TRANSPORTE VERTICAL, EXCETO CONTRARRUFO. AF_07/2019</t>
  </si>
  <si>
    <t>101879</t>
  </si>
  <si>
    <t>QUADRO DE DISTRIBUIÇÃO DE ENERGIA EM CHAPA DE AÇO GALVANIZADO, DE EMBUTIR, COM BARRAMENTO TRIFÁSICO, PARA 24 DISJUNTORES DIN 100A - FORNECIMENTO E INSTALAÇÃO. AF_10/2020</t>
  </si>
  <si>
    <t>Disjuntor termomagnético, monopolar - 15A</t>
  </si>
  <si>
    <t>101895</t>
  </si>
  <si>
    <t>DISJUNTOR TERMOMAGNÉTICO TRIPOLAR , CORRENTE NOMINAL DE 125A - FORNECIMENTO E INSTALAÇÃO. AF_10/2020</t>
  </si>
  <si>
    <t>Disjuntor monopolar DQ 15A</t>
  </si>
  <si>
    <t>Disjuntor monopolar DQ 30A</t>
  </si>
  <si>
    <t>Disjuntor monopolar DQ 35A</t>
  </si>
  <si>
    <t>Ponto de iluminação residencial incluindo interruptor simples, caixa elétrica, eletroduto, cabo, rasgo, quedra e chumbamento</t>
  </si>
  <si>
    <t>Ponto de tomada residencial, incluindo tomada 10A/250V, caixa elétrica, eletroduto, cabo, rasgo, quebra e chumbamento</t>
  </si>
  <si>
    <t>Ponto de tomada residencial, incluindo tomada (2 módulos) 10A/250V, caixa elétrica, eletroduto, cabo, rasgo, quebra e chumbamento</t>
  </si>
  <si>
    <t>Ponto de tomada residencial, incluindo tomada 20A/250V, caixa elétrica, eletroduto, cabo, rasgo, quebra e chumbamento</t>
  </si>
  <si>
    <t>93142</t>
  </si>
  <si>
    <t>PONTO DE TOMADA RESIDENCIAL INCLUINDO TOMADA (2 MÓDULOS) 10A/250V, CAIXA ELÉTRICA, ELETRODUTO, CABO, RASGO, QUEBRA E CHUMBAMENTO. AF_01/2016</t>
  </si>
  <si>
    <t>93143</t>
  </si>
  <si>
    <t>PONTO DE TOMADA RESIDENCIAL INCLUINDO TOMADA 20A/250V, CAIXA ELÉTRICA, ELETRODUTO, CABO, RASGO, QUEBRA E CHUMBAMENTO. AF_01/2016</t>
  </si>
  <si>
    <t>Luminária Tubular tipo calha, LED 2x16W - 120cm - Completa - Fornecimento e Instalação - branca</t>
  </si>
  <si>
    <t>Luminária Tubular LED 2 X 16W - 120 cm - Completa -
Fornecimento e Instalação</t>
  </si>
  <si>
    <t>Luminária tipo plafon com vidro fosco, de sobrepor - 2 lâmpadas 15W</t>
  </si>
  <si>
    <t>97591</t>
  </si>
  <si>
    <t>LUMINÁRIA TIPO PLAFON REDONDO COM VIDRO FOSCO, DE SOBREPOR, COM 2 LÂMPADAS FLUORESCENTES DE 15 W, SEM REATOR - FORNECIMENTO E INSTALAÇÃO. AF_02/2020</t>
  </si>
  <si>
    <t>PINTURA</t>
  </si>
  <si>
    <t>FACHADA</t>
  </si>
  <si>
    <t>MURO NOVO</t>
  </si>
  <si>
    <t>ATRAS</t>
  </si>
  <si>
    <t>WCS</t>
  </si>
  <si>
    <t>DEP</t>
  </si>
  <si>
    <t>SALA</t>
  </si>
  <si>
    <t>BERÇ</t>
  </si>
  <si>
    <t>DIREÇ</t>
  </si>
  <si>
    <t>CIRC NOV</t>
  </si>
  <si>
    <t>CIRC ANTIG</t>
  </si>
  <si>
    <t>A.SERV</t>
  </si>
  <si>
    <t>COZ</t>
  </si>
  <si>
    <t>SALA NOV</t>
  </si>
  <si>
    <t>TOTAL</t>
  </si>
  <si>
    <t>A. PORT 80</t>
  </si>
  <si>
    <t>A. JANELA</t>
  </si>
  <si>
    <t>DEINFRA+SINAPI</t>
  </si>
  <si>
    <t>COMP-01</t>
  </si>
  <si>
    <t>INSTALAÇÕES HIDROSSANITÁRIAS</t>
  </si>
  <si>
    <t>Ponto de consumo terminal de água fria com tubulação de PVC, DN 25mm, instalado em ramal de água, inclusos rasgo e chumbamento em alvenaria</t>
  </si>
  <si>
    <t>89957</t>
  </si>
  <si>
    <t>PONTO DE CONSUMO TERMINAL DE ÁGUA FRIA (SUBRAMAL) COM TUBULAÇÃO DE PVC, DN 25 MM, INSTALADO EM RAMAL DE ÁGUA, INCLUSOS RASGO E CHUMBAMENTO EM ALVENARIA. AF_12/2014</t>
  </si>
  <si>
    <t xml:space="preserve">LOUÇAS E ACESSÓRIOS </t>
  </si>
  <si>
    <t>13.1</t>
  </si>
  <si>
    <t>13.2</t>
  </si>
  <si>
    <t>13.3</t>
  </si>
  <si>
    <t>13.4</t>
  </si>
  <si>
    <t>13.5</t>
  </si>
  <si>
    <t>Subtotal item 13.0</t>
  </si>
  <si>
    <t>Registro de gaveta metálico c/ canopla 3/4"</t>
  </si>
  <si>
    <t>Registro gaveta metalico c/ canopla 3/4"</t>
  </si>
  <si>
    <t>Caixa de inspecao 30x30x40 cm em alvenaria</t>
  </si>
  <si>
    <t>Caixa de inspecao 60x60x60 cm em alvenaria</t>
  </si>
  <si>
    <t>98107</t>
  </si>
  <si>
    <t>CAIXA DE GORDURA SIMPLES (CAPACIDADE: 36 L), RETANGULAR, EM ALVENARIA COM BLOCOS DE CONCRETO, DIMENSÕES INTERNAS = 0,2X0,4 M, ALTURA INTERNA = 0,8 M. AF_12/2020</t>
  </si>
  <si>
    <t>98064</t>
  </si>
  <si>
    <t>SUMIDOURO CIRCULAR, EM CONCRETO PRÉ-MOLDADO, DIÂMETRO INTERNO = 2,38 M, ALTURA INTERNA = 3,0 M, ÁREA DE INFILTRAÇÃO: 25 M² (PARA 10 CONTRIBUINTES). AF_12/2020</t>
  </si>
  <si>
    <t>102989</t>
  </si>
  <si>
    <t>CANALETA MEIA CANA PRÉ-MOLDADA DE CONCRETO (D = 20 CM) - FORNECIMENTO E INSTALAÇÃO. AF_08/2021</t>
  </si>
  <si>
    <t>Grelha de Ferro Fundido L= 20cm Para Canaleta</t>
  </si>
  <si>
    <t>Tubo PVC, série R, água pluvial, DN 100mm</t>
  </si>
  <si>
    <t>89512</t>
  </si>
  <si>
    <t>TUBO PVC, SÉRIE R, ÁGUA PLUVIAL, DN 100 MM, FORNECIDO E INSTALADO EM RAMAL DE ENCAMINHAMENTO. AF_12/2014</t>
  </si>
  <si>
    <t>89712</t>
  </si>
  <si>
    <t>TUBO PVC, SERIE NORMAL, ESGOTO PREDIAL, DN 50 MM, FORNECIDO E INSTALADO EM RAMAL DE DESCARGA OU RAMAL DE ESGOTO SANITÁRIO. AF_12/2014</t>
  </si>
  <si>
    <t>89713</t>
  </si>
  <si>
    <t>TUBO PVC, SERIE NORMAL, ESGOTO PREDIAL, DN 75 MM, FORNECIDO E INSTALADO EM RAMAL DE DESCARGA OU RAMAL DE ESGOTO SANITÁRIO. AF_12/2014</t>
  </si>
  <si>
    <t>Caixa sifonada PVC 150x150x50mm</t>
  </si>
  <si>
    <t>Ralo sinonado PVC quadrado 100x53x40mm</t>
  </si>
  <si>
    <t>Ralo seco PVC quadrado 100X53X40mm</t>
  </si>
  <si>
    <t>95472</t>
  </si>
  <si>
    <t>VASO SANITARIO SIFONADO CONVENCIONAL PARA PCD SEM FURO FRONTAL COM LOUÇA BRANCA SEM ASSENTO, INCLUSO CONJUNTO DE LIGAÇÃO PARA BACIA SANITÁRIA AJUSTÁVEL - FORNECIMENTO E INSTALAÇÃO. AF_01/2020</t>
  </si>
  <si>
    <t>Espelho com moldura de alumínio fixado com bucha</t>
  </si>
  <si>
    <t>corredor</t>
  </si>
  <si>
    <t>massa</t>
  </si>
  <si>
    <t>DIR</t>
  </si>
  <si>
    <t>Lavatorio de louça em bancada sifonado c/ torneira
Pressmatic</t>
  </si>
  <si>
    <t>86903</t>
  </si>
  <si>
    <t>LAVATÓRIO LOUÇA BRANCA COM COLUNA, 45 X 55CM OU EQUIVALENTE, PADRÃO MÉDIO - FORNECIMENTO E INSTALAÇÃO. AF_01/2020</t>
  </si>
  <si>
    <t>Torneira Pressmatic</t>
  </si>
  <si>
    <t>Torneira Elétrica 220v</t>
  </si>
  <si>
    <t>[= SINAPI MAR]</t>
  </si>
  <si>
    <t>C2507</t>
  </si>
  <si>
    <t>Torneira Elétrica Automática 220v-2800W (Instalado)</t>
  </si>
  <si>
    <t>LOUÇAS E ACESSÓRIOS</t>
  </si>
  <si>
    <t>Preço base: MAR/ABR/2022 - SINAPI/DESONERADO | JAN/2021 - DEINFRA | SEINFRA 27.1 - DESONERADO</t>
  </si>
  <si>
    <t>PISO</t>
  </si>
  <si>
    <t>RODAPE</t>
  </si>
  <si>
    <t>OBS: Todos os referenciais de preços constantes nesta planilha foram retirados na tabela SINAPI do mês de Março/Abril de 2022, conforme o Decreto nº 7.983, Art. 3o, de 8 de abril de 2013. Quando não constante em tabela SINAPI, a referência de preço foi retirada da tabela DEINFRA e SEINFRA, conforme disposto no Decreto nº 7.983, Art. 6o, de 8 de abril de 2013.</t>
  </si>
  <si>
    <t>Fundos</t>
  </si>
  <si>
    <t>impermeb</t>
  </si>
  <si>
    <t>fundaçoes</t>
  </si>
  <si>
    <t>bloco 1</t>
  </si>
  <si>
    <t>bloco 2</t>
  </si>
  <si>
    <t>pilar</t>
  </si>
  <si>
    <t>soma</t>
  </si>
  <si>
    <t>baldrame</t>
  </si>
  <si>
    <t>total</t>
  </si>
  <si>
    <t>hidro</t>
  </si>
  <si>
    <t>drangem</t>
  </si>
  <si>
    <t>aterro</t>
  </si>
  <si>
    <t>alt</t>
  </si>
  <si>
    <t>piso</t>
  </si>
  <si>
    <t>imp alv</t>
  </si>
  <si>
    <t>a.serv</t>
  </si>
  <si>
    <t>coz</t>
  </si>
  <si>
    <t>s.dir</t>
  </si>
  <si>
    <t>lado fora</t>
  </si>
  <si>
    <t>imp bald</t>
  </si>
  <si>
    <t>lados</t>
  </si>
  <si>
    <t>chapisco</t>
  </si>
  <si>
    <t>piso cer</t>
  </si>
  <si>
    <t>DESP</t>
  </si>
  <si>
    <t>93137</t>
  </si>
  <si>
    <t>PONTO DE ILUMINAÇÃO RESIDENCIAL INCLUINDO INTERRUPTOR SIMPLES (2 MÓDULOS), CAIXA ELÉTRICA, ELETRODUTO, CABO, RASGO, QUEBRA E CHUMBAMENTO (EXCLUINDO LUMINÁRIA E LÂMPADA). AF_01/2016</t>
  </si>
  <si>
    <t>Ponto de iluminação residencial incluindo interruptor simples (2 módulos), caixa elétrica, eletroduto, cabo, rasgo, quedra e chumbamento</t>
  </si>
  <si>
    <t>Kit porta de madeira para pintura completa, semi-oca (média), padrão médio, 80x210cm, espessura de 3,5cm, pintada na cor indicada - inlcuso: dobradiças e fechadura</t>
  </si>
  <si>
    <t>Soleira de granito 17cm - portas e janelas</t>
  </si>
  <si>
    <t>Demolicao de area construida</t>
  </si>
  <si>
    <t>Revestimento cerâmico de paredes - extra - 30x40cm (aproximada) - incluso rejunte - banheiro + sala</t>
  </si>
  <si>
    <t>Alvenaria de tijolo 2F a vista 11cm</t>
  </si>
  <si>
    <t>Pintura acrílica sobre paredes internas, 2 demãos</t>
  </si>
  <si>
    <t>Muro de alvenaria 15cm c/fund.em concr.rebocado e pint.</t>
  </si>
  <si>
    <t>86931</t>
  </si>
  <si>
    <t>VASO SANITÁRIO SIFONADO COM CAIXA ACOPLADA LOUÇA BRANCA, INCLUSO ENGATE FLEXÍVEL EM PLÁSTICO BRANCO, 1/2  X 40CM - FORNECIMENTO E INSTALAÇÃO. AF_01/2020</t>
  </si>
  <si>
    <t>Vaso sanitário sifonado com caixa acoplada louça branca, incluso engate flexível em plástico branco, 1/2  x 40cm</t>
  </si>
  <si>
    <t>Tanque séptico em alvenaria de blocos de concreto, rebocado, com ponto de limpeza e tampa de inspeção</t>
  </si>
  <si>
    <t>Filtro anaeróbio em alvenaria de blocos de concreto, rebocado, com ponto para limpeza e tampa de inspeção</t>
  </si>
  <si>
    <t>Caixa de inspecao 60x60x60 - com tampa</t>
  </si>
  <si>
    <t>4.3</t>
  </si>
  <si>
    <t>8.5</t>
  </si>
  <si>
    <t>11.3</t>
  </si>
  <si>
    <t>11.4</t>
  </si>
  <si>
    <t>11.5</t>
  </si>
  <si>
    <t>11.6</t>
  </si>
  <si>
    <t>Ponto de esgoto em PVC - lavatórios, pias, tanques e semelhantes</t>
  </si>
  <si>
    <t>Ponto de esgoto em PVC - DN 100mm (sanitários)</t>
  </si>
  <si>
    <t>Ponto de ventilação 50mm com 1 saída</t>
  </si>
  <si>
    <t>Tubo PVC, série normal, esgoto predial, DN 100mm</t>
  </si>
  <si>
    <t>Obra: SALA DE AULA - EMEB SAUL DE ATHAYDE - COM FORNECIMENTO DE MATERIAL</t>
  </si>
  <si>
    <t>Forro em réguas PVC, frisado, inclusive estrutura de fixação</t>
  </si>
  <si>
    <t>96111</t>
  </si>
  <si>
    <t>FORRO EM RÉGUAS DE PVC, FRISADO, PARA AMBIENTES RESIDENCIAIS, INCLUSIVE ESTRUTURA DE FIXAÇÃO. AF_05/2017_P</t>
  </si>
  <si>
    <t>Roda forro de PVC 5cm com bucha e parafusos</t>
  </si>
  <si>
    <t>8.7</t>
  </si>
  <si>
    <t>DEINFRA + SEINFRA</t>
  </si>
  <si>
    <t>43715 + C2478</t>
  </si>
  <si>
    <t>Toldo com cobertura em chapa de policarbonato</t>
  </si>
  <si>
    <t>EMEB SAUL DE ATHAYDE</t>
  </si>
  <si>
    <t>na Av. Mal. Castelo Branco, 1840 - Ferrovia, Lages SC</t>
  </si>
  <si>
    <t>TOTAL C/BDI (26,50%)</t>
  </si>
  <si>
    <t>Carga manual e transporte entulho/ caminhao 10 Km</t>
  </si>
  <si>
    <t>3.2</t>
  </si>
  <si>
    <t>8318027-5</t>
  </si>
  <si>
    <t>Preço base: MAR/MAIO/2022 - SINAPI/DESONERADO | JAN/2021 - DEINFRA | SEINFRA 27.1 DESONERADO</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</si>
</sst>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R$&quot;* #,##0.00_-;\-&quot;R$&quot;* #,##0.00_-;_-&quot;R$&quot;* &quot;-&quot;??_-;_-@_-"/>
    <numFmt numFmtId="164" formatCode="_-&quot;R$&quot;\ * #,##0.00_-;\-&quot;R$&quot;\ * #,##0.00_-;_-&quot;R$&quot;\ * &quot;-&quot;??_-;_-@_-"/>
    <numFmt numFmtId="165" formatCode="_(* #,##0.00_);_(* \(#,##0.00\);_(* &quot;-&quot;??_);_(@_)"/>
    <numFmt numFmtId="166" formatCode="&quot;R$&quot;#,##0.00"/>
  </numFmts>
  <fonts count="42"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sz val="11"/>
      <name val="Arial"/>
      <family val="2"/>
    </font>
    <font>
      <b/>
      <sz val="9"/>
      <name val="Arial"/>
      <family val="2"/>
    </font>
    <font>
      <sz val="8"/>
      <name val="Arial"/>
      <family val="2"/>
    </font>
    <font>
      <b/>
      <sz val="8"/>
      <name val="Arial"/>
      <family val="2"/>
    </font>
    <font>
      <sz val="9"/>
      <name val="Arial"/>
      <family val="2"/>
    </font>
    <font>
      <b/>
      <sz val="16"/>
      <color theme="1"/>
      <name val="Arial"/>
      <family val="2"/>
    </font>
    <font>
      <sz val="10"/>
      <name val="Arial"/>
      <family val="2"/>
    </font>
    <font>
      <b/>
      <sz val="11"/>
      <name val="Arial"/>
      <family val="2"/>
    </font>
    <font>
      <sz val="12"/>
      <color theme="1"/>
      <name val="Calibri"/>
      <family val="2"/>
      <scheme val="minor"/>
    </font>
    <font>
      <b/>
      <sz val="11"/>
      <color rgb="FFFF0000"/>
      <name val="Arial"/>
      <family val="2"/>
    </font>
    <font>
      <sz val="8"/>
      <color rgb="FF000000"/>
      <name val="Tahoma"/>
      <family val="2"/>
    </font>
    <font>
      <b/>
      <sz val="7"/>
      <name val="Arial"/>
      <family val="2"/>
    </font>
    <font>
      <sz val="7"/>
      <name val="Arial"/>
      <family val="2"/>
    </font>
    <font>
      <sz val="11"/>
      <color indexed="8"/>
      <name val="Arial"/>
      <family val="2"/>
    </font>
    <font>
      <sz val="7"/>
      <color indexed="9"/>
      <name val="Arial"/>
      <family val="2"/>
    </font>
    <font>
      <sz val="7.5"/>
      <name val="Arial"/>
      <family val="2"/>
    </font>
    <font>
      <sz val="7.5"/>
      <color indexed="9"/>
      <name val="Arial"/>
      <family val="2"/>
    </font>
    <font>
      <sz val="10"/>
      <color indexed="41"/>
      <name val="Arial"/>
      <family val="2"/>
    </font>
    <font>
      <b/>
      <sz val="12"/>
      <color indexed="9"/>
      <name val="Arial"/>
      <family val="2"/>
    </font>
    <font>
      <sz val="10"/>
      <color indexed="9"/>
      <name val="Arial"/>
      <family val="2"/>
    </font>
    <font>
      <b/>
      <sz val="12"/>
      <name val="Arial"/>
      <family val="2"/>
    </font>
    <font>
      <sz val="8"/>
      <color indexed="10"/>
      <name val="Arial"/>
      <family val="2"/>
    </font>
    <font>
      <b/>
      <sz val="10"/>
      <name val="Arial"/>
      <family val="2"/>
    </font>
    <font>
      <b/>
      <sz val="11"/>
      <color indexed="8"/>
      <name val="Arial"/>
      <family val="2"/>
    </font>
    <font>
      <b/>
      <sz val="14"/>
      <name val="Arial"/>
      <family val="2"/>
    </font>
    <font>
      <sz val="10"/>
      <color indexed="8"/>
      <name val="Arial"/>
      <family val="2"/>
    </font>
    <font>
      <sz val="8"/>
      <color indexed="8"/>
      <name val="Arial"/>
      <family val="2"/>
    </font>
    <font>
      <b/>
      <sz val="10"/>
      <color indexed="9"/>
      <name val="Arial"/>
      <family val="2"/>
    </font>
    <font>
      <sz val="9"/>
      <color indexed="8"/>
      <name val="Arial"/>
      <family val="2"/>
    </font>
    <font>
      <b/>
      <sz val="9"/>
      <color theme="1"/>
      <name val="Arial"/>
      <family val="2"/>
    </font>
    <font>
      <b/>
      <sz val="20"/>
      <color theme="1"/>
      <name val="Arial"/>
      <family val="2"/>
    </font>
    <font>
      <b/>
      <sz val="12"/>
      <color theme="1"/>
      <name val="Arial"/>
      <family val="2"/>
    </font>
    <font>
      <b/>
      <sz val="14"/>
      <color theme="1"/>
      <name val="Arial"/>
      <family val="2"/>
    </font>
    <font>
      <b/>
      <sz val="24"/>
      <color theme="1"/>
      <name val="Arial"/>
      <family val="2"/>
    </font>
    <font>
      <b/>
      <sz val="11"/>
      <color theme="1"/>
      <name val="Calibri"/>
      <family val="2"/>
      <scheme val="minor"/>
    </font>
    <font>
      <b/>
      <sz val="12"/>
      <name val="Calibri"/>
      <family val="2"/>
      <scheme val="minor"/>
    </font>
    <font>
      <sz val="11"/>
      <color rgb="FFFF0000"/>
      <name val="Calibri"/>
      <family val="2"/>
      <scheme val="minor"/>
    </font>
    <font>
      <b/>
      <sz val="14"/>
      <color theme="1"/>
      <name val="Calibri"/>
      <family val="2"/>
      <scheme val="minor"/>
    </font>
  </fonts>
  <fills count="19">
    <fill>
      <patternFill patternType="none"/>
    </fill>
    <fill>
      <patternFill patternType="gray125"/>
    </fill>
    <fill>
      <patternFill patternType="solid">
        <fgColor theme="3" tint="0.79998168889431442"/>
        <bgColor indexed="64"/>
      </patternFill>
    </fill>
    <fill>
      <patternFill patternType="solid">
        <fgColor theme="3" tint="0.59999389629810485"/>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0"/>
        <bgColor indexed="64"/>
      </patternFill>
    </fill>
    <fill>
      <patternFill patternType="solid">
        <fgColor indexed="22"/>
        <bgColor indexed="64"/>
      </patternFill>
    </fill>
    <fill>
      <patternFill patternType="solid">
        <fgColor indexed="43"/>
        <bgColor indexed="64"/>
      </patternFill>
    </fill>
    <fill>
      <patternFill patternType="solid">
        <fgColor indexed="17"/>
        <bgColor indexed="64"/>
      </patternFill>
    </fill>
    <fill>
      <patternFill patternType="solid">
        <fgColor indexed="41"/>
        <bgColor indexed="64"/>
      </patternFill>
    </fill>
    <fill>
      <patternFill patternType="solid">
        <fgColor indexed="9"/>
        <bgColor indexed="64"/>
      </patternFill>
    </fill>
    <fill>
      <patternFill patternType="solid">
        <fgColor indexed="42"/>
        <bgColor indexed="64"/>
      </patternFill>
    </fill>
    <fill>
      <patternFill patternType="solid">
        <fgColor indexed="10"/>
        <bgColor indexed="64"/>
      </patternFill>
    </fill>
    <fill>
      <patternFill patternType="solid">
        <fgColor rgb="FFFFFF00"/>
        <bgColor indexed="64"/>
      </patternFill>
    </fill>
    <fill>
      <patternFill patternType="solid">
        <fgColor theme="4" tint="0.79998168889431442"/>
        <bgColor indexed="64"/>
      </patternFill>
    </fill>
    <fill>
      <patternFill patternType="solid">
        <fgColor theme="3" tint="0.39997558519241921"/>
        <bgColor indexed="64"/>
      </patternFill>
    </fill>
    <fill>
      <patternFill patternType="solid">
        <fgColor theme="5" tint="0.39997558519241921"/>
        <bgColor indexed="64"/>
      </patternFill>
    </fill>
    <fill>
      <patternFill patternType="solid">
        <fgColor theme="5" tint="0.59999389629810485"/>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top/>
      <bottom style="thin">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54"/>
      </left>
      <right style="hair">
        <color indexed="64"/>
      </right>
      <top style="medium">
        <color indexed="54"/>
      </top>
      <bottom style="hair">
        <color indexed="64"/>
      </bottom>
      <diagonal/>
    </border>
    <border>
      <left style="hair">
        <color indexed="64"/>
      </left>
      <right style="medium">
        <color indexed="54"/>
      </right>
      <top style="medium">
        <color indexed="54"/>
      </top>
      <bottom style="hair">
        <color indexed="64"/>
      </bottom>
      <diagonal/>
    </border>
    <border>
      <left style="medium">
        <color indexed="54"/>
      </left>
      <right style="hair">
        <color indexed="64"/>
      </right>
      <top style="hair">
        <color indexed="64"/>
      </top>
      <bottom style="hair">
        <color indexed="64"/>
      </bottom>
      <diagonal/>
    </border>
    <border>
      <left style="hair">
        <color indexed="64"/>
      </left>
      <right style="medium">
        <color indexed="54"/>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thin">
        <color indexed="64"/>
      </top>
      <bottom/>
      <diagonal/>
    </border>
    <border>
      <left style="medium">
        <color indexed="54"/>
      </left>
      <right style="hair">
        <color indexed="64"/>
      </right>
      <top style="hair">
        <color indexed="64"/>
      </top>
      <bottom style="medium">
        <color indexed="54"/>
      </bottom>
      <diagonal/>
    </border>
    <border>
      <left style="hair">
        <color indexed="64"/>
      </left>
      <right/>
      <top style="hair">
        <color indexed="64"/>
      </top>
      <bottom style="medium">
        <color indexed="54"/>
      </bottom>
      <diagonal/>
    </border>
    <border>
      <left/>
      <right/>
      <top style="medium">
        <color indexed="54"/>
      </top>
      <bottom style="medium">
        <color indexed="54"/>
      </bottom>
      <diagonal/>
    </border>
    <border>
      <left/>
      <right style="hair">
        <color indexed="64"/>
      </right>
      <top style="medium">
        <color indexed="54"/>
      </top>
      <bottom style="medium">
        <color indexed="54"/>
      </bottom>
      <diagonal/>
    </border>
    <border>
      <left style="hair">
        <color indexed="64"/>
      </left>
      <right style="medium">
        <color indexed="54"/>
      </right>
      <top style="medium">
        <color indexed="54"/>
      </top>
      <bottom style="medium">
        <color indexed="54"/>
      </bottom>
      <diagonal/>
    </border>
    <border>
      <left/>
      <right style="hair">
        <color indexed="64"/>
      </right>
      <top style="hair">
        <color indexed="64"/>
      </top>
      <bottom style="thin">
        <color indexed="64"/>
      </bottom>
      <diagonal/>
    </border>
    <border>
      <left style="hair">
        <color indexed="64"/>
      </left>
      <right/>
      <top style="thin">
        <color indexed="64"/>
      </top>
      <bottom style="thin">
        <color indexed="64"/>
      </bottom>
      <diagonal/>
    </border>
    <border>
      <left/>
      <right style="thin">
        <color indexed="64"/>
      </right>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right/>
      <top/>
      <bottom style="medium">
        <color indexed="64"/>
      </bottom>
      <diagonal/>
    </border>
    <border>
      <left/>
      <right/>
      <top style="medium">
        <color indexed="64"/>
      </top>
      <bottom/>
      <diagonal/>
    </border>
    <border>
      <left/>
      <right/>
      <top style="hair">
        <color indexed="64"/>
      </top>
      <bottom style="hair">
        <color indexed="64"/>
      </bottom>
      <diagonal/>
    </border>
    <border>
      <left style="thick">
        <color indexed="64"/>
      </left>
      <right/>
      <top/>
      <bottom style="thick">
        <color indexed="64"/>
      </bottom>
      <diagonal/>
    </border>
    <border>
      <left/>
      <right/>
      <top style="hair">
        <color indexed="64"/>
      </top>
      <bottom style="thick">
        <color indexed="64"/>
      </bottom>
      <diagonal/>
    </border>
    <border>
      <left/>
      <right style="thick">
        <color indexed="64"/>
      </right>
      <top/>
      <bottom style="thick">
        <color indexed="64"/>
      </bottom>
      <diagonal/>
    </border>
    <border>
      <left style="thin">
        <color indexed="64"/>
      </left>
      <right style="thin">
        <color indexed="64"/>
      </right>
      <top/>
      <bottom/>
      <diagonal/>
    </border>
  </borders>
  <cellStyleXfs count="14">
    <xf numFmtId="0" fontId="0" fillId="0" borderId="0"/>
    <xf numFmtId="164" fontId="1" fillId="0" borderId="0" applyFont="0" applyFill="0" applyBorder="0" applyAlignment="0" applyProtection="0"/>
    <xf numFmtId="9" fontId="1"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0" fontId="10" fillId="0" borderId="0"/>
    <xf numFmtId="0" fontId="10" fillId="0" borderId="0"/>
    <xf numFmtId="0" fontId="17" fillId="0" borderId="0"/>
    <xf numFmtId="0" fontId="8" fillId="0" borderId="0"/>
    <xf numFmtId="0" fontId="10" fillId="0" borderId="0"/>
    <xf numFmtId="0" fontId="10" fillId="0" borderId="0"/>
    <xf numFmtId="9" fontId="17" fillId="0" borderId="0" applyFont="0" applyFill="0" applyBorder="0" applyAlignment="0" applyProtection="0"/>
    <xf numFmtId="165" fontId="10" fillId="0" borderId="0" applyFont="0" applyFill="0" applyBorder="0" applyAlignment="0" applyProtection="0"/>
  </cellStyleXfs>
  <cellXfs count="365">
    <xf numFmtId="0" fontId="0" fillId="0" borderId="0" xfId="0"/>
    <xf numFmtId="0" fontId="4" fillId="0" borderId="1" xfId="0" applyFont="1" applyFill="1" applyBorder="1" applyAlignment="1">
      <alignment horizontal="center" vertical="center"/>
    </xf>
    <xf numFmtId="0" fontId="6" fillId="0" borderId="0" xfId="0" applyFont="1" applyFill="1"/>
    <xf numFmtId="0" fontId="7" fillId="0" borderId="0" xfId="0" applyFont="1" applyFill="1"/>
    <xf numFmtId="0" fontId="5" fillId="0" borderId="1" xfId="0" applyFont="1" applyFill="1" applyBorder="1" applyAlignment="1">
      <alignment horizontal="center" vertical="center"/>
    </xf>
    <xf numFmtId="0" fontId="5" fillId="0" borderId="1" xfId="0" applyFont="1" applyFill="1" applyBorder="1" applyAlignment="1">
      <alignment vertical="center" wrapText="1"/>
    </xf>
    <xf numFmtId="4" fontId="6" fillId="0" borderId="0" xfId="0" applyNumberFormat="1" applyFont="1" applyFill="1"/>
    <xf numFmtId="164" fontId="6" fillId="0" borderId="0" xfId="0" applyNumberFormat="1" applyFont="1" applyFill="1"/>
    <xf numFmtId="0" fontId="6" fillId="0" borderId="0" xfId="0" applyFont="1" applyFill="1" applyAlignment="1">
      <alignment horizontal="center"/>
    </xf>
    <xf numFmtId="0" fontId="6" fillId="0" borderId="0" xfId="0" applyFont="1" applyFill="1" applyAlignment="1">
      <alignment wrapText="1"/>
    </xf>
    <xf numFmtId="0" fontId="6" fillId="0" borderId="0" xfId="0" applyFont="1" applyFill="1" applyAlignment="1"/>
    <xf numFmtId="0" fontId="6" fillId="0" borderId="0" xfId="0" applyFont="1" applyFill="1" applyAlignment="1">
      <alignment horizontal="right"/>
    </xf>
    <xf numFmtId="0" fontId="6" fillId="0" borderId="0" xfId="0" applyFont="1" applyFill="1" applyBorder="1" applyAlignment="1">
      <alignment vertical="center" wrapText="1"/>
    </xf>
    <xf numFmtId="0" fontId="6" fillId="0" borderId="0" xfId="0" applyFont="1" applyProtection="1"/>
    <xf numFmtId="0" fontId="3" fillId="0" borderId="1" xfId="0" applyFont="1" applyFill="1" applyBorder="1" applyAlignment="1">
      <alignment horizontal="center" vertical="center"/>
    </xf>
    <xf numFmtId="164" fontId="8" fillId="0" borderId="1" xfId="1" applyFont="1" applyFill="1" applyBorder="1" applyAlignment="1">
      <alignment horizontal="left" vertical="center"/>
    </xf>
    <xf numFmtId="9" fontId="8" fillId="2" borderId="1" xfId="2" applyFont="1" applyFill="1" applyBorder="1" applyAlignment="1">
      <alignment horizontal="center" vertical="center"/>
    </xf>
    <xf numFmtId="164" fontId="8" fillId="0" borderId="1" xfId="1" applyFont="1" applyFill="1" applyBorder="1" applyAlignment="1">
      <alignment horizontal="center" vertical="center"/>
    </xf>
    <xf numFmtId="0" fontId="5" fillId="0" borderId="1" xfId="0" applyFont="1" applyFill="1" applyBorder="1" applyAlignment="1">
      <alignment horizontal="left" vertical="center" wrapText="1"/>
    </xf>
    <xf numFmtId="0" fontId="2" fillId="2" borderId="1" xfId="0" applyFont="1" applyFill="1" applyBorder="1" applyAlignment="1">
      <alignment horizontal="center" vertical="center"/>
    </xf>
    <xf numFmtId="0" fontId="2" fillId="5" borderId="1" xfId="0" applyFont="1" applyFill="1" applyBorder="1" applyAlignment="1">
      <alignment horizontal="center" vertical="center"/>
    </xf>
    <xf numFmtId="0" fontId="4" fillId="0" borderId="1" xfId="3" applyFont="1" applyFill="1" applyBorder="1" applyAlignment="1">
      <alignment horizontal="center" vertical="center"/>
    </xf>
    <xf numFmtId="0" fontId="4" fillId="0" borderId="1" xfId="0" applyFont="1" applyFill="1" applyBorder="1" applyAlignment="1">
      <alignment horizontal="left" vertical="center" wrapText="1"/>
    </xf>
    <xf numFmtId="164" fontId="4" fillId="0" borderId="1" xfId="4" applyNumberFormat="1" applyFont="1" applyFill="1" applyBorder="1" applyAlignment="1">
      <alignment horizontal="left" vertical="center"/>
    </xf>
    <xf numFmtId="164" fontId="2" fillId="5" borderId="1" xfId="0" applyNumberFormat="1" applyFont="1" applyFill="1" applyBorder="1" applyAlignment="1">
      <alignment vertical="center"/>
    </xf>
    <xf numFmtId="0" fontId="2" fillId="5" borderId="2" xfId="0" applyFont="1" applyFill="1" applyBorder="1" applyAlignment="1">
      <alignment horizontal="center" vertical="center"/>
    </xf>
    <xf numFmtId="44" fontId="4" fillId="0" borderId="1" xfId="0" applyNumberFormat="1" applyFont="1" applyFill="1" applyBorder="1" applyAlignment="1">
      <alignment horizontal="left" vertical="center"/>
    </xf>
    <xf numFmtId="164" fontId="3" fillId="0" borderId="1" xfId="0" applyNumberFormat="1" applyFont="1" applyFill="1" applyBorder="1" applyAlignment="1">
      <alignment horizontal="center" vertical="center"/>
    </xf>
    <xf numFmtId="0" fontId="3" fillId="6" borderId="1" xfId="0" applyFont="1" applyFill="1" applyBorder="1" applyAlignment="1">
      <alignment horizontal="center" vertical="center"/>
    </xf>
    <xf numFmtId="164" fontId="3" fillId="0" borderId="1" xfId="1" applyNumberFormat="1" applyFont="1" applyFill="1" applyBorder="1" applyAlignment="1" applyProtection="1">
      <alignment horizontal="center" vertical="center"/>
      <protection locked="0"/>
    </xf>
    <xf numFmtId="2" fontId="4" fillId="0" borderId="1" xfId="0" applyNumberFormat="1" applyFont="1" applyFill="1" applyBorder="1" applyAlignment="1">
      <alignment horizontal="center" vertical="center"/>
    </xf>
    <xf numFmtId="0" fontId="10" fillId="0" borderId="0" xfId="6" applyBorder="1" applyAlignment="1" applyProtection="1"/>
    <xf numFmtId="0" fontId="10" fillId="0" borderId="0" xfId="6" applyNumberFormat="1" applyBorder="1" applyAlignment="1" applyProtection="1"/>
    <xf numFmtId="0" fontId="15" fillId="0" borderId="0" xfId="7" applyNumberFormat="1" applyFont="1" applyBorder="1" applyAlignment="1" applyProtection="1">
      <protection hidden="1"/>
    </xf>
    <xf numFmtId="0" fontId="16" fillId="0" borderId="0" xfId="7" applyNumberFormat="1" applyFont="1" applyBorder="1" applyAlignment="1" applyProtection="1">
      <protection hidden="1"/>
    </xf>
    <xf numFmtId="0" fontId="18" fillId="0" borderId="0" xfId="8" applyFont="1" applyBorder="1" applyAlignment="1" applyProtection="1">
      <alignment horizontal="center"/>
    </xf>
    <xf numFmtId="0" fontId="10" fillId="0" borderId="0" xfId="6" applyAlignment="1" applyProtection="1"/>
    <xf numFmtId="0" fontId="10" fillId="7" borderId="0" xfId="6" applyFill="1" applyAlignment="1" applyProtection="1"/>
    <xf numFmtId="2" fontId="19" fillId="8" borderId="15" xfId="9" applyNumberFormat="1" applyFont="1" applyFill="1" applyBorder="1" applyAlignment="1" applyProtection="1">
      <alignment horizontal="left"/>
      <protection locked="0"/>
    </xf>
    <xf numFmtId="0" fontId="20" fillId="0" borderId="0" xfId="8" applyFont="1" applyBorder="1" applyAlignment="1" applyProtection="1">
      <alignment horizontal="center"/>
    </xf>
    <xf numFmtId="0" fontId="15" fillId="0" borderId="0" xfId="7" applyNumberFormat="1" applyFont="1" applyFill="1" applyAlignment="1" applyProtection="1">
      <protection hidden="1"/>
    </xf>
    <xf numFmtId="0" fontId="16" fillId="0" borderId="0" xfId="7" applyNumberFormat="1" applyFont="1" applyFill="1" applyAlignment="1" applyProtection="1">
      <protection hidden="1"/>
    </xf>
    <xf numFmtId="0" fontId="10" fillId="0" borderId="0" xfId="6" applyFont="1" applyBorder="1" applyAlignment="1" applyProtection="1"/>
    <xf numFmtId="0" fontId="15" fillId="0" borderId="0" xfId="7" applyNumberFormat="1" applyFont="1" applyAlignment="1" applyProtection="1">
      <protection hidden="1"/>
    </xf>
    <xf numFmtId="0" fontId="10" fillId="0" borderId="0" xfId="6" applyFont="1" applyAlignment="1" applyProtection="1">
      <alignment horizontal="left"/>
    </xf>
    <xf numFmtId="0" fontId="21" fillId="0" borderId="0" xfId="6" applyFont="1" applyAlignment="1" applyProtection="1">
      <alignment horizontal="right"/>
    </xf>
    <xf numFmtId="0" fontId="10" fillId="0" borderId="0" xfId="6" applyBorder="1" applyAlignment="1" applyProtection="1">
      <alignment horizontal="left"/>
    </xf>
    <xf numFmtId="0" fontId="10" fillId="0" borderId="0" xfId="6" applyProtection="1"/>
    <xf numFmtId="0" fontId="10" fillId="0" borderId="0" xfId="6" applyNumberFormat="1" applyAlignment="1" applyProtection="1"/>
    <xf numFmtId="0" fontId="10" fillId="0" borderId="0" xfId="6" applyFill="1" applyProtection="1"/>
    <xf numFmtId="0" fontId="10" fillId="7" borderId="0" xfId="6" applyFill="1" applyProtection="1"/>
    <xf numFmtId="0" fontId="23" fillId="0" borderId="0" xfId="6" applyFont="1" applyFill="1" applyProtection="1"/>
    <xf numFmtId="0" fontId="23" fillId="0" borderId="0" xfId="6" applyFont="1" applyFill="1" applyAlignment="1" applyProtection="1">
      <alignment horizontal="left"/>
      <protection locked="0"/>
    </xf>
    <xf numFmtId="0" fontId="23" fillId="7" borderId="0" xfId="6" applyFont="1" applyFill="1" applyProtection="1"/>
    <xf numFmtId="14" fontId="7" fillId="0" borderId="0" xfId="10" applyNumberFormat="1" applyFont="1" applyBorder="1" applyAlignment="1" applyProtection="1">
      <alignment horizontal="center" vertical="center" textRotation="180" wrapText="1"/>
      <protection hidden="1"/>
    </xf>
    <xf numFmtId="0" fontId="7" fillId="0" borderId="0" xfId="10" applyNumberFormat="1" applyFont="1" applyBorder="1" applyAlignment="1" applyProtection="1">
      <alignment horizontal="center" vertical="center" wrapText="1"/>
      <protection hidden="1"/>
    </xf>
    <xf numFmtId="14" fontId="7" fillId="0" borderId="0" xfId="10" applyNumberFormat="1" applyFont="1" applyBorder="1" applyAlignment="1" applyProtection="1">
      <alignment vertical="center" textRotation="180" wrapText="1"/>
      <protection hidden="1"/>
    </xf>
    <xf numFmtId="0" fontId="10" fillId="0" borderId="0" xfId="6" applyBorder="1" applyAlignment="1" applyProtection="1">
      <alignment horizontal="left" wrapText="1"/>
    </xf>
    <xf numFmtId="0" fontId="10" fillId="0" borderId="0" xfId="6" applyBorder="1" applyProtection="1"/>
    <xf numFmtId="14" fontId="7" fillId="0" borderId="0" xfId="10" applyNumberFormat="1" applyFont="1" applyBorder="1" applyAlignment="1" applyProtection="1">
      <alignment vertical="center" wrapText="1"/>
      <protection hidden="1"/>
    </xf>
    <xf numFmtId="14" fontId="7" fillId="0" borderId="0" xfId="10" applyNumberFormat="1" applyFont="1" applyFill="1" applyBorder="1" applyAlignment="1" applyProtection="1">
      <alignment horizontal="center" vertical="center" wrapText="1"/>
      <protection hidden="1"/>
    </xf>
    <xf numFmtId="0" fontId="10" fillId="0" borderId="0" xfId="6" applyFont="1" applyBorder="1" applyProtection="1"/>
    <xf numFmtId="0" fontId="10" fillId="0" borderId="8" xfId="6" applyFill="1" applyBorder="1" applyProtection="1">
      <protection locked="0"/>
    </xf>
    <xf numFmtId="0" fontId="10" fillId="7" borderId="0" xfId="6" applyFill="1" applyBorder="1" applyProtection="1"/>
    <xf numFmtId="10" fontId="10" fillId="0" borderId="0" xfId="6" applyNumberFormat="1" applyFill="1" applyBorder="1" applyAlignment="1" applyProtection="1">
      <alignment horizontal="center" wrapText="1"/>
    </xf>
    <xf numFmtId="0" fontId="7" fillId="0" borderId="5" xfId="10" applyNumberFormat="1" applyFont="1" applyBorder="1" applyAlignment="1" applyProtection="1">
      <alignment horizontal="center" vertical="center" wrapText="1"/>
      <protection hidden="1"/>
    </xf>
    <xf numFmtId="14" fontId="7" fillId="0" borderId="5" xfId="10" applyNumberFormat="1" applyFont="1" applyBorder="1" applyAlignment="1" applyProtection="1">
      <alignment horizontal="center" vertical="center" wrapText="1"/>
      <protection hidden="1"/>
    </xf>
    <xf numFmtId="14" fontId="7" fillId="0" borderId="22" xfId="10" applyNumberFormat="1" applyFont="1" applyBorder="1" applyAlignment="1" applyProtection="1">
      <alignment horizontal="center" vertical="center" wrapText="1"/>
      <protection hidden="1"/>
    </xf>
    <xf numFmtId="0" fontId="6" fillId="0" borderId="23" xfId="10" applyNumberFormat="1" applyFont="1" applyBorder="1" applyAlignment="1" applyProtection="1">
      <alignment horizontal="center" vertical="center" wrapText="1"/>
      <protection hidden="1"/>
    </xf>
    <xf numFmtId="14" fontId="6" fillId="0" borderId="24" xfId="10" applyNumberFormat="1" applyFont="1" applyBorder="1" applyAlignment="1" applyProtection="1">
      <alignment vertical="center" wrapText="1"/>
      <protection hidden="1"/>
    </xf>
    <xf numFmtId="0" fontId="6" fillId="0" borderId="24" xfId="6" applyFont="1" applyBorder="1" applyAlignment="1" applyProtection="1">
      <alignment horizontal="center" wrapText="1"/>
    </xf>
    <xf numFmtId="10" fontId="10" fillId="0" borderId="24" xfId="6" applyNumberFormat="1" applyFill="1" applyBorder="1" applyAlignment="1" applyProtection="1">
      <alignment horizontal="center" wrapText="1"/>
      <protection locked="0"/>
    </xf>
    <xf numFmtId="0" fontId="10" fillId="0" borderId="24" xfId="6" applyBorder="1" applyAlignment="1" applyProtection="1">
      <alignment horizontal="center" wrapText="1"/>
    </xf>
    <xf numFmtId="10" fontId="4" fillId="10" borderId="25" xfId="8" applyNumberFormat="1" applyFont="1" applyFill="1" applyBorder="1" applyAlignment="1" applyProtection="1">
      <alignment horizontal="center" wrapText="1"/>
    </xf>
    <xf numFmtId="0" fontId="6" fillId="0" borderId="26" xfId="10" applyNumberFormat="1" applyFont="1" applyBorder="1" applyAlignment="1" applyProtection="1">
      <alignment horizontal="center" vertical="center" wrapText="1"/>
      <protection hidden="1"/>
    </xf>
    <xf numFmtId="14" fontId="6" fillId="0" borderId="27" xfId="10" applyNumberFormat="1" applyFont="1" applyBorder="1" applyAlignment="1" applyProtection="1">
      <alignment vertical="center" wrapText="1"/>
      <protection hidden="1"/>
    </xf>
    <xf numFmtId="0" fontId="6" fillId="0" borderId="27" xfId="6" applyFont="1" applyBorder="1" applyAlignment="1" applyProtection="1">
      <alignment horizontal="center" wrapText="1"/>
    </xf>
    <xf numFmtId="10" fontId="10" fillId="0" borderId="27" xfId="6" applyNumberFormat="1" applyFill="1" applyBorder="1" applyAlignment="1" applyProtection="1">
      <alignment horizontal="center" wrapText="1"/>
      <protection locked="0"/>
    </xf>
    <xf numFmtId="0" fontId="10" fillId="0" borderId="27" xfId="6" applyBorder="1" applyAlignment="1" applyProtection="1">
      <alignment horizontal="center" wrapText="1"/>
    </xf>
    <xf numFmtId="10" fontId="17" fillId="0" borderId="0" xfId="8" applyNumberFormat="1" applyFill="1" applyBorder="1" applyAlignment="1" applyProtection="1">
      <alignment horizontal="left" wrapText="1"/>
    </xf>
    <xf numFmtId="0" fontId="10" fillId="0" borderId="0" xfId="6" applyFont="1" applyBorder="1" applyAlignment="1" applyProtection="1">
      <alignment horizontal="left"/>
    </xf>
    <xf numFmtId="10" fontId="10" fillId="0" borderId="0" xfId="6" applyNumberFormat="1" applyBorder="1" applyProtection="1"/>
    <xf numFmtId="10" fontId="10" fillId="0" borderId="0" xfId="6" applyNumberFormat="1" applyFont="1" applyBorder="1" applyAlignment="1" applyProtection="1">
      <alignment horizontal="left"/>
    </xf>
    <xf numFmtId="10" fontId="10" fillId="0" borderId="27" xfId="6" applyNumberFormat="1" applyBorder="1" applyAlignment="1" applyProtection="1">
      <alignment horizontal="center" wrapText="1"/>
    </xf>
    <xf numFmtId="2" fontId="10" fillId="0" borderId="0" xfId="6" applyNumberFormat="1" applyFont="1" applyBorder="1" applyAlignment="1" applyProtection="1">
      <alignment horizontal="left"/>
    </xf>
    <xf numFmtId="0" fontId="10" fillId="0" borderId="0" xfId="6" applyAlignment="1" applyProtection="1">
      <alignment horizontal="left"/>
    </xf>
    <xf numFmtId="0" fontId="10" fillId="0" borderId="0" xfId="6" applyFont="1" applyProtection="1"/>
    <xf numFmtId="0" fontId="6" fillId="0" borderId="32" xfId="10" applyNumberFormat="1" applyFont="1" applyBorder="1" applyAlignment="1" applyProtection="1">
      <alignment horizontal="center" vertical="center" wrapText="1"/>
      <protection hidden="1"/>
    </xf>
    <xf numFmtId="14" fontId="6" fillId="0" borderId="33" xfId="10" applyNumberFormat="1" applyFont="1" applyBorder="1" applyAlignment="1" applyProtection="1">
      <alignment vertical="center" wrapText="1"/>
      <protection hidden="1"/>
    </xf>
    <xf numFmtId="0" fontId="6" fillId="0" borderId="33" xfId="6" applyFont="1" applyBorder="1" applyAlignment="1" applyProtection="1">
      <alignment horizontal="center" wrapText="1"/>
    </xf>
    <xf numFmtId="10" fontId="10" fillId="0" borderId="33" xfId="6" applyNumberFormat="1" applyFont="1" applyBorder="1" applyAlignment="1" applyProtection="1">
      <alignment horizontal="center" wrapText="1"/>
    </xf>
    <xf numFmtId="10" fontId="4" fillId="10" borderId="34" xfId="8" applyNumberFormat="1" applyFont="1" applyFill="1" applyBorder="1" applyAlignment="1" applyProtection="1">
      <alignment horizontal="center" wrapText="1"/>
    </xf>
    <xf numFmtId="0" fontId="10" fillId="0" borderId="3" xfId="6" applyBorder="1" applyProtection="1"/>
    <xf numFmtId="10" fontId="10" fillId="0" borderId="35" xfId="6" applyNumberFormat="1" applyFill="1" applyBorder="1" applyAlignment="1" applyProtection="1">
      <alignment horizontal="center" wrapText="1"/>
      <protection locked="0"/>
    </xf>
    <xf numFmtId="10" fontId="10" fillId="0" borderId="36" xfId="6" applyNumberFormat="1" applyFill="1" applyBorder="1" applyAlignment="1" applyProtection="1">
      <alignment horizontal="center" wrapText="1"/>
      <protection locked="0"/>
    </xf>
    <xf numFmtId="0" fontId="6" fillId="0" borderId="37" xfId="10" applyNumberFormat="1" applyFont="1" applyBorder="1" applyAlignment="1" applyProtection="1">
      <alignment horizontal="center" vertical="center" wrapText="1"/>
      <protection hidden="1"/>
    </xf>
    <xf numFmtId="14" fontId="6" fillId="0" borderId="37" xfId="10" applyNumberFormat="1" applyFont="1" applyBorder="1" applyAlignment="1" applyProtection="1">
      <alignment vertical="center" wrapText="1"/>
      <protection hidden="1"/>
    </xf>
    <xf numFmtId="0" fontId="6" fillId="0" borderId="38" xfId="6" applyFont="1" applyBorder="1" applyAlignment="1" applyProtection="1">
      <alignment horizontal="center" wrapText="1"/>
    </xf>
    <xf numFmtId="10" fontId="10" fillId="11" borderId="39" xfId="6" applyNumberFormat="1" applyFill="1" applyBorder="1" applyAlignment="1" applyProtection="1">
      <alignment horizontal="center" wrapText="1"/>
    </xf>
    <xf numFmtId="0" fontId="10" fillId="0" borderId="40" xfId="6" applyBorder="1" applyAlignment="1" applyProtection="1">
      <alignment horizontal="center" wrapText="1"/>
    </xf>
    <xf numFmtId="10" fontId="4" fillId="10" borderId="41" xfId="8" applyNumberFormat="1" applyFont="1" applyFill="1" applyBorder="1" applyAlignment="1" applyProtection="1">
      <alignment horizontal="center" wrapText="1"/>
    </xf>
    <xf numFmtId="0" fontId="25" fillId="0" borderId="13" xfId="6" applyFont="1" applyBorder="1" applyAlignment="1" applyProtection="1">
      <alignment vertical="center" wrapText="1"/>
    </xf>
    <xf numFmtId="0" fontId="10" fillId="0" borderId="1" xfId="6" applyFont="1" applyBorder="1" applyAlignment="1" applyProtection="1">
      <alignment horizontal="left"/>
    </xf>
    <xf numFmtId="0" fontId="25" fillId="0" borderId="0" xfId="6" applyFont="1" applyAlignment="1" applyProtection="1">
      <alignment vertical="center" wrapText="1"/>
    </xf>
    <xf numFmtId="0" fontId="17" fillId="0" borderId="0" xfId="8" applyAlignment="1" applyProtection="1"/>
    <xf numFmtId="0" fontId="17" fillId="0" borderId="0" xfId="8" applyBorder="1" applyAlignment="1" applyProtection="1"/>
    <xf numFmtId="0" fontId="26" fillId="0" borderId="0" xfId="11" applyFont="1" applyBorder="1" applyAlignment="1" applyProtection="1">
      <alignment horizontal="center" vertical="center"/>
    </xf>
    <xf numFmtId="0" fontId="17" fillId="0" borderId="45" xfId="8" applyBorder="1" applyAlignment="1" applyProtection="1">
      <alignment horizontal="center" vertical="center"/>
    </xf>
    <xf numFmtId="0" fontId="17" fillId="0" borderId="0" xfId="8" applyBorder="1" applyAlignment="1" applyProtection="1">
      <alignment horizontal="center" vertical="center"/>
    </xf>
    <xf numFmtId="0" fontId="17" fillId="0" borderId="0" xfId="8" applyAlignment="1" applyProtection="1">
      <alignment horizontal="center" vertical="center"/>
    </xf>
    <xf numFmtId="0" fontId="17" fillId="0" borderId="16" xfId="8" applyBorder="1" applyAlignment="1" applyProtection="1">
      <alignment horizontal="center" vertical="center"/>
    </xf>
    <xf numFmtId="0" fontId="17" fillId="0" borderId="17" xfId="8" applyBorder="1" applyAlignment="1" applyProtection="1">
      <alignment horizontal="center" vertical="center"/>
    </xf>
    <xf numFmtId="14" fontId="7" fillId="0" borderId="18" xfId="10" applyNumberFormat="1" applyFont="1" applyBorder="1" applyAlignment="1" applyProtection="1">
      <alignment vertical="center" wrapText="1"/>
      <protection hidden="1"/>
    </xf>
    <xf numFmtId="10" fontId="10" fillId="0" borderId="0" xfId="6" applyNumberFormat="1" applyProtection="1"/>
    <xf numFmtId="0" fontId="5" fillId="0" borderId="0" xfId="6" applyFont="1" applyProtection="1"/>
    <xf numFmtId="0" fontId="8" fillId="0" borderId="0" xfId="6" applyNumberFormat="1" applyFont="1" applyBorder="1" applyAlignment="1" applyProtection="1"/>
    <xf numFmtId="0" fontId="8" fillId="0" borderId="0" xfId="6" applyFont="1" applyBorder="1" applyProtection="1"/>
    <xf numFmtId="0" fontId="8" fillId="0" borderId="0" xfId="6" applyFont="1" applyProtection="1"/>
    <xf numFmtId="0" fontId="8" fillId="0" borderId="0" xfId="6" applyNumberFormat="1" applyFont="1" applyAlignment="1" applyProtection="1"/>
    <xf numFmtId="0" fontId="8" fillId="0" borderId="0" xfId="6" applyFont="1" applyFill="1" applyProtection="1"/>
    <xf numFmtId="0" fontId="6" fillId="0" borderId="0" xfId="6" applyFont="1" applyFill="1" applyAlignment="1" applyProtection="1"/>
    <xf numFmtId="0" fontId="30" fillId="0" borderId="0" xfId="8" applyFont="1" applyAlignment="1" applyProtection="1"/>
    <xf numFmtId="0" fontId="7" fillId="0" borderId="0" xfId="6" applyNumberFormat="1" applyFont="1" applyFill="1" applyBorder="1" applyAlignment="1" applyProtection="1">
      <alignment horizontal="left" wrapText="1"/>
    </xf>
    <xf numFmtId="0" fontId="10" fillId="0" borderId="0" xfId="6" applyNumberFormat="1" applyFill="1" applyAlignment="1" applyProtection="1"/>
    <xf numFmtId="0" fontId="10" fillId="0" borderId="0" xfId="6" applyFill="1" applyBorder="1" applyAlignment="1" applyProtection="1">
      <alignment horizontal="left"/>
    </xf>
    <xf numFmtId="0" fontId="10" fillId="0" borderId="1" xfId="6" applyBorder="1" applyAlignment="1" applyProtection="1">
      <alignment horizontal="left"/>
    </xf>
    <xf numFmtId="0" fontId="10" fillId="0" borderId="0" xfId="6" applyFill="1" applyBorder="1" applyProtection="1"/>
    <xf numFmtId="0" fontId="8" fillId="0" borderId="1" xfId="6" applyFont="1" applyBorder="1" applyAlignment="1" applyProtection="1">
      <alignment horizontal="left"/>
    </xf>
    <xf numFmtId="0" fontId="5" fillId="0" borderId="0" xfId="7" applyFont="1" applyBorder="1" applyAlignment="1" applyProtection="1">
      <alignment horizontal="left" vertical="center"/>
    </xf>
    <xf numFmtId="0" fontId="8" fillId="0" borderId="0" xfId="6" applyFont="1" applyAlignment="1" applyProtection="1">
      <alignment horizontal="left"/>
    </xf>
    <xf numFmtId="0" fontId="8" fillId="7" borderId="0" xfId="6" applyFont="1" applyFill="1" applyBorder="1" applyProtection="1"/>
    <xf numFmtId="0" fontId="10" fillId="0" borderId="0" xfId="6" applyFont="1" applyFill="1" applyBorder="1" applyAlignment="1" applyProtection="1"/>
    <xf numFmtId="0" fontId="17" fillId="0" borderId="0" xfId="8" applyFill="1" applyBorder="1" applyAlignment="1" applyProtection="1"/>
    <xf numFmtId="0" fontId="10" fillId="0" borderId="54" xfId="6" applyFill="1" applyBorder="1" applyProtection="1"/>
    <xf numFmtId="0" fontId="10" fillId="0" borderId="55" xfId="6" applyFill="1" applyBorder="1" applyProtection="1"/>
    <xf numFmtId="0" fontId="8" fillId="7" borderId="0" xfId="6" applyFont="1" applyFill="1" applyProtection="1"/>
    <xf numFmtId="0" fontId="8" fillId="0" borderId="0" xfId="7" applyNumberFormat="1" applyFont="1" applyFill="1" applyBorder="1" applyAlignment="1" applyProtection="1">
      <alignment vertical="center"/>
    </xf>
    <xf numFmtId="0" fontId="17" fillId="0" borderId="0" xfId="8" applyNumberFormat="1" applyFill="1" applyBorder="1" applyAlignment="1" applyProtection="1"/>
    <xf numFmtId="0" fontId="8" fillId="0" borderId="0" xfId="7" applyFont="1" applyAlignment="1" applyProtection="1">
      <alignment horizontal="right" vertical="center"/>
    </xf>
    <xf numFmtId="0" fontId="10" fillId="0" borderId="56" xfId="6" applyBorder="1" applyProtection="1"/>
    <xf numFmtId="0" fontId="10" fillId="0" borderId="54" xfId="6" applyBorder="1" applyProtection="1"/>
    <xf numFmtId="0" fontId="10" fillId="0" borderId="55" xfId="6" applyBorder="1" applyProtection="1"/>
    <xf numFmtId="0" fontId="5" fillId="0" borderId="0" xfId="7" applyFont="1" applyBorder="1" applyAlignment="1" applyProtection="1">
      <alignment horizontal="center" vertical="center"/>
    </xf>
    <xf numFmtId="0" fontId="10" fillId="8" borderId="17" xfId="6" applyFont="1" applyFill="1" applyBorder="1" applyAlignment="1" applyProtection="1">
      <protection locked="0"/>
    </xf>
    <xf numFmtId="0" fontId="10" fillId="0" borderId="54" xfId="6" applyFont="1" applyBorder="1" applyAlignment="1" applyProtection="1">
      <alignment horizontal="right"/>
    </xf>
    <xf numFmtId="0" fontId="8" fillId="8" borderId="58" xfId="7" applyNumberFormat="1" applyFont="1" applyFill="1" applyBorder="1" applyAlignment="1" applyProtection="1">
      <alignment vertical="center"/>
      <protection locked="0"/>
    </xf>
    <xf numFmtId="0" fontId="32" fillId="0" borderId="54" xfId="8" applyFont="1" applyFill="1" applyBorder="1" applyAlignment="1" applyProtection="1">
      <alignment horizontal="right"/>
    </xf>
    <xf numFmtId="0" fontId="26" fillId="0" borderId="0" xfId="6" applyFont="1" applyFill="1" applyProtection="1"/>
    <xf numFmtId="0" fontId="8" fillId="8" borderId="44" xfId="7" applyNumberFormat="1" applyFont="1" applyFill="1" applyBorder="1" applyAlignment="1" applyProtection="1">
      <alignment vertical="center"/>
      <protection locked="0"/>
    </xf>
    <xf numFmtId="0" fontId="32" fillId="0" borderId="59" xfId="8" applyNumberFormat="1" applyFont="1" applyFill="1" applyBorder="1" applyAlignment="1" applyProtection="1">
      <alignment horizontal="right"/>
    </xf>
    <xf numFmtId="0" fontId="10" fillId="0" borderId="61" xfId="6" applyBorder="1" applyProtection="1"/>
    <xf numFmtId="0" fontId="10" fillId="7" borderId="0" xfId="6" applyNumberFormat="1" applyFill="1" applyAlignment="1" applyProtection="1"/>
    <xf numFmtId="0" fontId="26" fillId="0" borderId="0" xfId="6" applyFont="1" applyProtection="1"/>
    <xf numFmtId="44" fontId="3" fillId="0" borderId="1" xfId="1" applyNumberFormat="1" applyFont="1" applyFill="1" applyBorder="1" applyAlignment="1" applyProtection="1">
      <alignment horizontal="center" vertical="center"/>
      <protection locked="0"/>
    </xf>
    <xf numFmtId="164" fontId="5" fillId="0" borderId="1" xfId="1" applyFont="1" applyFill="1" applyBorder="1" applyAlignment="1">
      <alignment horizontal="center" vertical="center"/>
    </xf>
    <xf numFmtId="9" fontId="5" fillId="2" borderId="1" xfId="2" applyFont="1" applyFill="1" applyBorder="1" applyAlignment="1">
      <alignment horizontal="center" vertical="center"/>
    </xf>
    <xf numFmtId="0" fontId="4" fillId="0" borderId="1" xfId="0" applyFont="1" applyFill="1" applyBorder="1" applyAlignment="1">
      <alignment horizontal="left" vertical="center"/>
    </xf>
    <xf numFmtId="164" fontId="5" fillId="0" borderId="1" xfId="1" applyFont="1" applyFill="1" applyBorder="1" applyAlignment="1">
      <alignment horizontal="left" vertical="center"/>
    </xf>
    <xf numFmtId="0" fontId="5" fillId="0" borderId="1" xfId="0" applyFont="1" applyFill="1" applyBorder="1" applyAlignment="1">
      <alignment vertical="center"/>
    </xf>
    <xf numFmtId="44" fontId="0" fillId="0" borderId="0" xfId="0" applyNumberFormat="1"/>
    <xf numFmtId="0" fontId="0" fillId="0" borderId="0" xfId="0" applyAlignment="1">
      <alignment horizontal="center"/>
    </xf>
    <xf numFmtId="0" fontId="0" fillId="0" borderId="0" xfId="0" applyFill="1"/>
    <xf numFmtId="0" fontId="11" fillId="15" borderId="1" xfId="0" applyFont="1" applyFill="1" applyBorder="1" applyAlignment="1">
      <alignment horizontal="left"/>
    </xf>
    <xf numFmtId="0" fontId="11" fillId="15" borderId="1" xfId="0" applyFont="1" applyFill="1" applyBorder="1" applyAlignment="1">
      <alignment horizontal="center"/>
    </xf>
    <xf numFmtId="44" fontId="11" fillId="15" borderId="1" xfId="0" applyNumberFormat="1" applyFont="1" applyFill="1" applyBorder="1" applyAlignment="1">
      <alignment horizontal="left"/>
    </xf>
    <xf numFmtId="0" fontId="0" fillId="0" borderId="0" xfId="0" applyAlignment="1">
      <alignment vertical="center"/>
    </xf>
    <xf numFmtId="44" fontId="0" fillId="0" borderId="0" xfId="0" applyNumberFormat="1" applyAlignment="1">
      <alignment vertical="center"/>
    </xf>
    <xf numFmtId="0" fontId="11" fillId="15" borderId="1" xfId="0" applyFont="1" applyFill="1" applyBorder="1" applyAlignment="1">
      <alignment horizontal="center" vertical="center"/>
    </xf>
    <xf numFmtId="0" fontId="0" fillId="0" borderId="0" xfId="0" applyAlignment="1">
      <alignment horizontal="center" vertical="center"/>
    </xf>
    <xf numFmtId="164" fontId="4" fillId="0" borderId="1" xfId="3" applyNumberFormat="1" applyFont="1" applyFill="1" applyBorder="1" applyAlignment="1">
      <alignment horizontal="left" vertical="center"/>
    </xf>
    <xf numFmtId="2" fontId="4" fillId="0" borderId="1" xfId="4" applyNumberFormat="1" applyFont="1" applyFill="1" applyBorder="1" applyAlignment="1">
      <alignment horizontal="center" vertical="center"/>
    </xf>
    <xf numFmtId="0" fontId="2" fillId="5" borderId="1" xfId="0" applyFont="1" applyFill="1" applyBorder="1" applyAlignment="1">
      <alignment horizontal="center" vertical="center"/>
    </xf>
    <xf numFmtId="0" fontId="0" fillId="0" borderId="0" xfId="0" applyBorder="1"/>
    <xf numFmtId="0" fontId="4" fillId="6" borderId="1" xfId="0" applyFont="1" applyFill="1" applyBorder="1" applyAlignment="1">
      <alignment horizontal="center" vertical="center"/>
    </xf>
    <xf numFmtId="0" fontId="3" fillId="6" borderId="1" xfId="0" applyFont="1" applyFill="1" applyBorder="1"/>
    <xf numFmtId="44" fontId="3" fillId="6" borderId="1" xfId="0" applyNumberFormat="1" applyFont="1" applyFill="1" applyBorder="1"/>
    <xf numFmtId="44" fontId="3" fillId="6" borderId="1" xfId="0" applyNumberFormat="1" applyFont="1" applyFill="1" applyBorder="1" applyAlignment="1">
      <alignment vertical="center"/>
    </xf>
    <xf numFmtId="0" fontId="0" fillId="6" borderId="1" xfId="0" applyFill="1" applyBorder="1" applyAlignment="1">
      <alignment horizontal="center" vertical="center"/>
    </xf>
    <xf numFmtId="0" fontId="3" fillId="6" borderId="1" xfId="0" applyFont="1" applyFill="1" applyBorder="1" applyAlignment="1">
      <alignment horizontal="center"/>
    </xf>
    <xf numFmtId="0" fontId="3" fillId="6" borderId="1" xfId="0" applyFont="1" applyFill="1" applyBorder="1" applyAlignment="1">
      <alignment horizontal="left"/>
    </xf>
    <xf numFmtId="0" fontId="3" fillId="6" borderId="1" xfId="0" applyFont="1" applyFill="1" applyBorder="1" applyAlignment="1">
      <alignment horizontal="left" wrapText="1"/>
    </xf>
    <xf numFmtId="0" fontId="0" fillId="6" borderId="1" xfId="0" applyFill="1" applyBorder="1" applyAlignment="1">
      <alignment vertical="center" wrapText="1"/>
    </xf>
    <xf numFmtId="0" fontId="0" fillId="6" borderId="1" xfId="0" applyFill="1" applyBorder="1" applyAlignment="1">
      <alignment horizontal="center"/>
    </xf>
    <xf numFmtId="0" fontId="0" fillId="6" borderId="1" xfId="0" applyFill="1" applyBorder="1"/>
    <xf numFmtId="0" fontId="0" fillId="6" borderId="0" xfId="0" applyFill="1"/>
    <xf numFmtId="164" fontId="4" fillId="6" borderId="1" xfId="4" applyNumberFormat="1" applyFont="1" applyFill="1" applyBorder="1" applyAlignment="1">
      <alignment horizontal="left" vertical="center"/>
    </xf>
    <xf numFmtId="44" fontId="0" fillId="6" borderId="0" xfId="0" applyNumberFormat="1" applyFill="1" applyBorder="1"/>
    <xf numFmtId="0" fontId="11" fillId="6" borderId="0" xfId="0" applyFont="1" applyFill="1" applyAlignment="1">
      <alignment horizontal="left"/>
    </xf>
    <xf numFmtId="0" fontId="3" fillId="6" borderId="0" xfId="0" applyFont="1" applyFill="1"/>
    <xf numFmtId="0" fontId="0" fillId="6" borderId="0" xfId="0" applyFill="1" applyAlignment="1">
      <alignment vertical="center"/>
    </xf>
    <xf numFmtId="44" fontId="0" fillId="6" borderId="0" xfId="0" applyNumberFormat="1" applyFill="1"/>
    <xf numFmtId="0" fontId="0" fillId="6" borderId="0" xfId="0" applyNumberFormat="1" applyFill="1"/>
    <xf numFmtId="0" fontId="38" fillId="14" borderId="1" xfId="0" applyFont="1" applyFill="1" applyBorder="1"/>
    <xf numFmtId="0" fontId="0" fillId="6" borderId="0" xfId="0" applyFill="1" applyBorder="1"/>
    <xf numFmtId="2" fontId="0" fillId="0" borderId="0" xfId="0" applyNumberFormat="1"/>
    <xf numFmtId="2" fontId="0" fillId="0" borderId="0" xfId="0" applyNumberFormat="1" applyBorder="1"/>
    <xf numFmtId="0" fontId="0" fillId="0" borderId="1" xfId="0" applyBorder="1" applyAlignment="1">
      <alignment horizontal="center"/>
    </xf>
    <xf numFmtId="0" fontId="0" fillId="0" borderId="1" xfId="0" applyBorder="1"/>
    <xf numFmtId="0" fontId="0" fillId="6" borderId="1" xfId="0" applyFill="1" applyBorder="1" applyAlignment="1">
      <alignment horizontal="left" vertical="center" wrapText="1"/>
    </xf>
    <xf numFmtId="0" fontId="33" fillId="0" borderId="0" xfId="0" applyFont="1" applyFill="1" applyBorder="1" applyAlignment="1">
      <alignment horizontal="left" vertical="center"/>
    </xf>
    <xf numFmtId="0" fontId="33" fillId="6" borderId="0" xfId="0" applyFont="1" applyFill="1" applyBorder="1" applyAlignment="1">
      <alignment horizontal="left" vertical="center"/>
    </xf>
    <xf numFmtId="0" fontId="2" fillId="6" borderId="0" xfId="0" applyFont="1" applyFill="1" applyBorder="1" applyAlignment="1">
      <alignment horizontal="center" vertical="center"/>
    </xf>
    <xf numFmtId="14" fontId="36" fillId="6" borderId="0" xfId="0" applyNumberFormat="1" applyFont="1" applyFill="1" applyBorder="1" applyAlignment="1">
      <alignment horizontal="center" vertical="center"/>
    </xf>
    <xf numFmtId="164" fontId="37" fillId="6" borderId="0" xfId="0" applyNumberFormat="1" applyFont="1" applyFill="1" applyBorder="1" applyAlignment="1">
      <alignment horizontal="center" vertical="center"/>
    </xf>
    <xf numFmtId="0" fontId="3" fillId="6" borderId="1" xfId="0" applyFont="1" applyFill="1" applyBorder="1" applyAlignment="1">
      <alignment horizontal="left" vertical="center"/>
    </xf>
    <xf numFmtId="0" fontId="4" fillId="0" borderId="62" xfId="0" applyFont="1" applyFill="1" applyBorder="1" applyAlignment="1">
      <alignment horizontal="left" vertical="center" wrapText="1"/>
    </xf>
    <xf numFmtId="0" fontId="2" fillId="5" borderId="1" xfId="0" applyFont="1" applyFill="1" applyBorder="1" applyAlignment="1">
      <alignment horizontal="center" vertical="center"/>
    </xf>
    <xf numFmtId="0" fontId="5" fillId="0" borderId="1" xfId="0" applyFont="1" applyFill="1" applyBorder="1" applyAlignment="1">
      <alignment horizontal="center" vertical="center"/>
    </xf>
    <xf numFmtId="0" fontId="3" fillId="6" borderId="1" xfId="0" applyFont="1" applyFill="1" applyBorder="1" applyAlignment="1">
      <alignment vertical="center"/>
    </xf>
    <xf numFmtId="166" fontId="0" fillId="0" borderId="0" xfId="0" applyNumberFormat="1"/>
    <xf numFmtId="0" fontId="0" fillId="17" borderId="0" xfId="0" applyFill="1"/>
    <xf numFmtId="166" fontId="40" fillId="0" borderId="0" xfId="0" applyNumberFormat="1" applyFont="1"/>
    <xf numFmtId="0" fontId="3" fillId="18" borderId="1" xfId="0" applyFont="1" applyFill="1" applyBorder="1" applyAlignment="1">
      <alignment horizontal="center"/>
    </xf>
    <xf numFmtId="0" fontId="3" fillId="18" borderId="1" xfId="0" applyFont="1" applyFill="1" applyBorder="1" applyAlignment="1">
      <alignment horizontal="left"/>
    </xf>
    <xf numFmtId="0" fontId="3" fillId="18" borderId="1" xfId="0" applyFont="1" applyFill="1" applyBorder="1"/>
    <xf numFmtId="44" fontId="3" fillId="18" borderId="1" xfId="0" applyNumberFormat="1" applyFont="1" applyFill="1" applyBorder="1"/>
    <xf numFmtId="0" fontId="3" fillId="0" borderId="1" xfId="0" applyFont="1" applyFill="1" applyBorder="1" applyAlignment="1">
      <alignment horizontal="center"/>
    </xf>
    <xf numFmtId="0" fontId="3" fillId="0" borderId="1" xfId="0" applyFont="1" applyFill="1" applyBorder="1" applyAlignment="1">
      <alignment horizontal="left"/>
    </xf>
    <xf numFmtId="0" fontId="3" fillId="0" borderId="1" xfId="0" applyFont="1" applyFill="1" applyBorder="1"/>
    <xf numFmtId="44" fontId="3" fillId="0" borderId="1" xfId="0" applyNumberFormat="1" applyFont="1" applyFill="1" applyBorder="1"/>
    <xf numFmtId="2" fontId="0" fillId="6" borderId="0" xfId="0" applyNumberFormat="1" applyFill="1"/>
    <xf numFmtId="0" fontId="5" fillId="0" borderId="1" xfId="0" applyFont="1" applyFill="1" applyBorder="1" applyAlignment="1">
      <alignment horizontal="center" vertical="center"/>
    </xf>
    <xf numFmtId="2" fontId="0" fillId="14" borderId="0" xfId="0" applyNumberFormat="1" applyFill="1"/>
    <xf numFmtId="0" fontId="38" fillId="18" borderId="1" xfId="0" applyFont="1" applyFill="1" applyBorder="1" applyAlignment="1">
      <alignment vertical="center"/>
    </xf>
    <xf numFmtId="0" fontId="41" fillId="0" borderId="1" xfId="0" applyFont="1" applyBorder="1" applyAlignment="1">
      <alignment vertical="center"/>
    </xf>
    <xf numFmtId="9" fontId="6" fillId="0" borderId="0" xfId="0" applyNumberFormat="1" applyFont="1" applyFill="1"/>
    <xf numFmtId="0" fontId="0" fillId="14" borderId="0" xfId="0" applyFill="1"/>
    <xf numFmtId="0" fontId="3" fillId="0" borderId="0" xfId="0" applyFont="1" applyAlignment="1">
      <alignment wrapText="1"/>
    </xf>
    <xf numFmtId="0" fontId="3" fillId="0" borderId="1" xfId="0" applyFont="1" applyFill="1" applyBorder="1" applyAlignment="1">
      <alignment horizontal="left" vertical="center"/>
    </xf>
    <xf numFmtId="0" fontId="3" fillId="0" borderId="1" xfId="0" applyFont="1" applyFill="1" applyBorder="1" applyAlignment="1">
      <alignment vertical="center"/>
    </xf>
    <xf numFmtId="44" fontId="3" fillId="0" borderId="1" xfId="0" applyNumberFormat="1" applyFont="1" applyFill="1" applyBorder="1" applyAlignment="1">
      <alignment vertical="center"/>
    </xf>
    <xf numFmtId="0" fontId="2" fillId="5" borderId="3" xfId="0" applyFont="1" applyFill="1" applyBorder="1" applyAlignment="1">
      <alignment horizontal="center" vertical="center"/>
    </xf>
    <xf numFmtId="0" fontId="2" fillId="5" borderId="4" xfId="0" applyFont="1" applyFill="1" applyBorder="1" applyAlignment="1">
      <alignment horizontal="center" vertical="center"/>
    </xf>
    <xf numFmtId="0" fontId="2" fillId="5" borderId="2" xfId="0" applyFont="1" applyFill="1" applyBorder="1" applyAlignment="1">
      <alignment horizontal="left" vertical="center"/>
    </xf>
    <xf numFmtId="0" fontId="2" fillId="5" borderId="3" xfId="0" applyFont="1" applyFill="1" applyBorder="1" applyAlignment="1">
      <alignment horizontal="left" vertical="center"/>
    </xf>
    <xf numFmtId="0" fontId="2" fillId="5" borderId="4" xfId="0" applyFont="1" applyFill="1" applyBorder="1" applyAlignment="1">
      <alignment horizontal="left" vertical="center"/>
    </xf>
    <xf numFmtId="0" fontId="2" fillId="5" borderId="2" xfId="0" applyFont="1" applyFill="1" applyBorder="1" applyAlignment="1">
      <alignment horizontal="right" vertical="center"/>
    </xf>
    <xf numFmtId="0" fontId="2" fillId="5" borderId="3" xfId="0" applyFont="1" applyFill="1" applyBorder="1" applyAlignment="1">
      <alignment horizontal="right" vertical="center"/>
    </xf>
    <xf numFmtId="0" fontId="2" fillId="5" borderId="4" xfId="0" applyFont="1" applyFill="1" applyBorder="1" applyAlignment="1">
      <alignment horizontal="right" vertical="center"/>
    </xf>
    <xf numFmtId="0" fontId="12" fillId="0" borderId="0" xfId="0" applyFont="1" applyBorder="1" applyAlignment="1">
      <alignment horizontal="center" vertical="center"/>
    </xf>
    <xf numFmtId="0" fontId="39" fillId="0" borderId="0" xfId="0" applyFont="1" applyAlignment="1">
      <alignment horizontal="center" vertical="center"/>
    </xf>
    <xf numFmtId="0" fontId="12" fillId="0" borderId="0" xfId="0" applyFont="1" applyAlignment="1">
      <alignment horizontal="center" vertical="center"/>
    </xf>
    <xf numFmtId="0" fontId="11" fillId="6" borderId="6" xfId="0" applyFont="1" applyFill="1" applyBorder="1" applyAlignment="1">
      <alignment horizontal="center" vertical="center" wrapText="1"/>
    </xf>
    <xf numFmtId="0" fontId="11" fillId="6" borderId="13" xfId="0" applyFont="1" applyFill="1" applyBorder="1" applyAlignment="1">
      <alignment horizontal="center" vertical="center" wrapText="1"/>
    </xf>
    <xf numFmtId="0" fontId="11" fillId="6" borderId="7" xfId="0" applyFont="1" applyFill="1" applyBorder="1" applyAlignment="1">
      <alignment horizontal="center" vertical="center" wrapText="1"/>
    </xf>
    <xf numFmtId="0" fontId="11" fillId="6" borderId="9" xfId="0" applyFont="1" applyFill="1" applyBorder="1" applyAlignment="1">
      <alignment horizontal="center" vertical="center" wrapText="1"/>
    </xf>
    <xf numFmtId="0" fontId="11" fillId="6" borderId="14" xfId="0" applyFont="1" applyFill="1" applyBorder="1" applyAlignment="1">
      <alignment horizontal="center" vertical="center" wrapText="1"/>
    </xf>
    <xf numFmtId="0" fontId="11" fillId="6" borderId="10" xfId="0" applyFont="1" applyFill="1" applyBorder="1" applyAlignment="1">
      <alignment horizontal="center" vertical="center" wrapText="1"/>
    </xf>
    <xf numFmtId="0" fontId="2" fillId="5" borderId="1" xfId="0" applyFont="1" applyFill="1" applyBorder="1" applyAlignment="1">
      <alignment horizontal="right" vertical="center"/>
    </xf>
    <xf numFmtId="0" fontId="9" fillId="3" borderId="1" xfId="0" applyFont="1" applyFill="1" applyBorder="1" applyAlignment="1">
      <alignment horizontal="center"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10" fontId="2" fillId="2" borderId="6" xfId="0" applyNumberFormat="1" applyFont="1" applyFill="1" applyBorder="1" applyAlignment="1">
      <alignment horizontal="center" vertical="center"/>
    </xf>
    <xf numFmtId="10" fontId="2" fillId="2" borderId="7" xfId="0" applyNumberFormat="1" applyFont="1" applyFill="1" applyBorder="1" applyAlignment="1">
      <alignment horizontal="center" vertical="center"/>
    </xf>
    <xf numFmtId="14" fontId="2" fillId="2" borderId="8" xfId="0" applyNumberFormat="1" applyFont="1" applyFill="1" applyBorder="1" applyAlignment="1">
      <alignment horizontal="center" vertical="center"/>
    </xf>
    <xf numFmtId="0" fontId="2" fillId="2" borderId="5" xfId="0" applyFont="1" applyFill="1" applyBorder="1" applyAlignment="1">
      <alignment horizontal="center" vertical="center"/>
    </xf>
    <xf numFmtId="44" fontId="34" fillId="2" borderId="11" xfId="0" applyNumberFormat="1" applyFont="1" applyFill="1" applyBorder="1" applyAlignment="1">
      <alignment horizontal="center" vertical="center"/>
    </xf>
    <xf numFmtId="44" fontId="34" fillId="2" borderId="12" xfId="0" applyNumberFormat="1" applyFont="1" applyFill="1" applyBorder="1" applyAlignment="1">
      <alignment horizontal="center" vertical="center"/>
    </xf>
    <xf numFmtId="44" fontId="34" fillId="2" borderId="9" xfId="0" applyNumberFormat="1" applyFont="1" applyFill="1" applyBorder="1" applyAlignment="1">
      <alignment horizontal="center" vertical="center"/>
    </xf>
    <xf numFmtId="44" fontId="34" fillId="2" borderId="10" xfId="0" applyNumberFormat="1" applyFont="1" applyFill="1" applyBorder="1" applyAlignment="1">
      <alignment horizontal="center" vertical="center"/>
    </xf>
    <xf numFmtId="0" fontId="2" fillId="2" borderId="9" xfId="0" applyNumberFormat="1" applyFont="1" applyFill="1" applyBorder="1" applyAlignment="1">
      <alignment horizontal="center" vertical="center"/>
    </xf>
    <xf numFmtId="0" fontId="2" fillId="2" borderId="10" xfId="0" applyNumberFormat="1" applyFont="1" applyFill="1" applyBorder="1" applyAlignment="1">
      <alignment horizontal="center" vertical="center"/>
    </xf>
    <xf numFmtId="0" fontId="2" fillId="5" borderId="1"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8"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1" xfId="0" applyFont="1" applyFill="1" applyBorder="1" applyAlignment="1">
      <alignment horizontal="center" vertical="center" wrapText="1"/>
    </xf>
    <xf numFmtId="0" fontId="11" fillId="5" borderId="1" xfId="0" applyFont="1" applyFill="1" applyBorder="1" applyAlignment="1">
      <alignment horizontal="left" vertical="center"/>
    </xf>
    <xf numFmtId="0" fontId="13" fillId="5" borderId="1" xfId="0" applyFont="1" applyFill="1" applyBorder="1" applyAlignment="1">
      <alignment horizontal="left" vertical="center"/>
    </xf>
    <xf numFmtId="0" fontId="2" fillId="5" borderId="1" xfId="0" applyFont="1" applyFill="1" applyBorder="1" applyAlignment="1">
      <alignment horizontal="left" vertical="center"/>
    </xf>
    <xf numFmtId="2" fontId="2" fillId="4" borderId="1" xfId="1" applyNumberFormat="1" applyFont="1" applyFill="1" applyBorder="1" applyAlignment="1">
      <alignment horizontal="center" vertical="center"/>
    </xf>
    <xf numFmtId="164" fontId="2" fillId="4" borderId="1" xfId="0" applyNumberFormat="1" applyFont="1" applyFill="1" applyBorder="1" applyAlignment="1">
      <alignment horizontal="center" vertical="center" wrapText="1"/>
    </xf>
    <xf numFmtId="164" fontId="2" fillId="4" borderId="8" xfId="0" applyNumberFormat="1" applyFont="1" applyFill="1" applyBorder="1" applyAlignment="1">
      <alignment horizontal="center" vertical="center" wrapText="1"/>
    </xf>
    <xf numFmtId="164" fontId="2" fillId="4" borderId="5" xfId="0" applyNumberFormat="1" applyFont="1" applyFill="1" applyBorder="1" applyAlignment="1">
      <alignment horizontal="center" vertical="center" wrapText="1"/>
    </xf>
    <xf numFmtId="0" fontId="38" fillId="2" borderId="2" xfId="0" applyFont="1" applyFill="1" applyBorder="1" applyAlignment="1">
      <alignment horizontal="center"/>
    </xf>
    <xf numFmtId="0" fontId="38" fillId="2" borderId="3" xfId="0" applyFont="1" applyFill="1" applyBorder="1" applyAlignment="1">
      <alignment horizontal="center"/>
    </xf>
    <xf numFmtId="0" fontId="38" fillId="2" borderId="4" xfId="0" applyFont="1" applyFill="1" applyBorder="1" applyAlignment="1">
      <alignment horizontal="center"/>
    </xf>
    <xf numFmtId="0" fontId="2" fillId="16" borderId="14" xfId="0" applyFont="1" applyFill="1" applyBorder="1" applyAlignment="1">
      <alignment horizontal="center"/>
    </xf>
    <xf numFmtId="0" fontId="2" fillId="16" borderId="14" xfId="0" applyFont="1" applyFill="1" applyBorder="1" applyAlignment="1">
      <alignment horizontal="left"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5" fillId="16" borderId="1" xfId="0" applyFont="1" applyFill="1" applyBorder="1" applyAlignment="1">
      <alignment horizontal="center" vertical="center"/>
    </xf>
    <xf numFmtId="0" fontId="35" fillId="2" borderId="2" xfId="0" applyFont="1" applyFill="1" applyBorder="1" applyAlignment="1">
      <alignment horizontal="center" vertical="center"/>
    </xf>
    <xf numFmtId="0" fontId="35" fillId="2" borderId="4" xfId="0" applyFont="1" applyFill="1" applyBorder="1" applyAlignment="1">
      <alignment horizontal="center" vertical="center"/>
    </xf>
    <xf numFmtId="0" fontId="2" fillId="2" borderId="3" xfId="0" applyFont="1" applyFill="1" applyBorder="1" applyAlignment="1">
      <alignment horizontal="center" vertical="center"/>
    </xf>
    <xf numFmtId="164" fontId="37" fillId="2" borderId="6" xfId="0" applyNumberFormat="1" applyFont="1" applyFill="1" applyBorder="1" applyAlignment="1">
      <alignment horizontal="center" vertical="center"/>
    </xf>
    <xf numFmtId="164" fontId="37" fillId="2" borderId="13" xfId="0" applyNumberFormat="1" applyFont="1" applyFill="1" applyBorder="1" applyAlignment="1">
      <alignment horizontal="center" vertical="center"/>
    </xf>
    <xf numFmtId="164" fontId="37" fillId="2" borderId="7" xfId="0" applyNumberFormat="1" applyFont="1" applyFill="1" applyBorder="1" applyAlignment="1">
      <alignment horizontal="center" vertical="center"/>
    </xf>
    <xf numFmtId="164" fontId="37" fillId="2" borderId="9" xfId="0" applyNumberFormat="1" applyFont="1" applyFill="1" applyBorder="1" applyAlignment="1">
      <alignment horizontal="center" vertical="center"/>
    </xf>
    <xf numFmtId="164" fontId="37" fillId="2" borderId="14" xfId="0" applyNumberFormat="1" applyFont="1" applyFill="1" applyBorder="1" applyAlignment="1">
      <alignment horizontal="center" vertical="center"/>
    </xf>
    <xf numFmtId="164" fontId="37" fillId="2" borderId="10"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14" fontId="36" fillId="2" borderId="6" xfId="0" applyNumberFormat="1" applyFont="1" applyFill="1" applyBorder="1" applyAlignment="1">
      <alignment horizontal="center" vertical="center"/>
    </xf>
    <xf numFmtId="14" fontId="36" fillId="2" borderId="7" xfId="0" applyNumberFormat="1" applyFont="1" applyFill="1" applyBorder="1" applyAlignment="1">
      <alignment horizontal="center" vertical="center"/>
    </xf>
    <xf numFmtId="14" fontId="36" fillId="2" borderId="9" xfId="0" applyNumberFormat="1" applyFont="1" applyFill="1" applyBorder="1" applyAlignment="1">
      <alignment horizontal="center" vertical="center"/>
    </xf>
    <xf numFmtId="14" fontId="36" fillId="2" borderId="10" xfId="0" applyNumberFormat="1" applyFont="1" applyFill="1" applyBorder="1" applyAlignment="1">
      <alignment horizontal="center" vertical="center"/>
    </xf>
    <xf numFmtId="10" fontId="35" fillId="2" borderId="2" xfId="0" applyNumberFormat="1" applyFont="1" applyFill="1" applyBorder="1" applyAlignment="1">
      <alignment horizontal="center" vertical="center"/>
    </xf>
    <xf numFmtId="10" fontId="35" fillId="2" borderId="4" xfId="0" applyNumberFormat="1" applyFont="1" applyFill="1" applyBorder="1" applyAlignment="1">
      <alignment horizontal="center" vertical="center"/>
    </xf>
    <xf numFmtId="0" fontId="33" fillId="2" borderId="1" xfId="0" applyFont="1" applyFill="1" applyBorder="1" applyAlignment="1">
      <alignment horizontal="left" vertical="center"/>
    </xf>
    <xf numFmtId="0" fontId="11" fillId="0" borderId="19" xfId="10" applyNumberFormat="1" applyFont="1" applyBorder="1" applyAlignment="1" applyProtection="1">
      <alignment horizontal="center" vertical="center" wrapText="1"/>
      <protection hidden="1"/>
    </xf>
    <xf numFmtId="0" fontId="11" fillId="0" borderId="20" xfId="10" applyNumberFormat="1" applyFont="1" applyBorder="1" applyAlignment="1" applyProtection="1">
      <alignment horizontal="center" vertical="center" wrapText="1"/>
      <protection hidden="1"/>
    </xf>
    <xf numFmtId="0" fontId="11" fillId="0" borderId="21" xfId="10" applyNumberFormat="1" applyFont="1" applyBorder="1" applyAlignment="1" applyProtection="1">
      <alignment horizontal="center" vertical="center" wrapText="1"/>
      <protection hidden="1"/>
    </xf>
    <xf numFmtId="2" fontId="19" fillId="8" borderId="16" xfId="9" applyNumberFormat="1" applyFont="1" applyFill="1" applyBorder="1" applyAlignment="1" applyProtection="1">
      <alignment horizontal="left"/>
      <protection locked="0"/>
    </xf>
    <xf numFmtId="0" fontId="17" fillId="0" borderId="17" xfId="8" applyBorder="1" applyAlignment="1" applyProtection="1">
      <protection locked="0"/>
    </xf>
    <xf numFmtId="0" fontId="17" fillId="0" borderId="18" xfId="8" applyBorder="1" applyAlignment="1" applyProtection="1">
      <protection locked="0"/>
    </xf>
    <xf numFmtId="0" fontId="17" fillId="8" borderId="17" xfId="8" applyFill="1" applyBorder="1" applyAlignment="1" applyProtection="1">
      <protection locked="0"/>
    </xf>
    <xf numFmtId="0" fontId="17" fillId="8" borderId="18" xfId="8" applyFill="1" applyBorder="1" applyAlignment="1" applyProtection="1">
      <protection locked="0"/>
    </xf>
    <xf numFmtId="0" fontId="22" fillId="9" borderId="19" xfId="8" applyFont="1" applyFill="1" applyBorder="1" applyAlignment="1" applyProtection="1">
      <alignment horizontal="center" vertical="center" wrapText="1"/>
    </xf>
    <xf numFmtId="0" fontId="22" fillId="9" borderId="20" xfId="8" applyFont="1" applyFill="1" applyBorder="1" applyAlignment="1" applyProtection="1">
      <alignment horizontal="center" vertical="center" wrapText="1"/>
    </xf>
    <xf numFmtId="0" fontId="22" fillId="9" borderId="21" xfId="8" applyFont="1" applyFill="1" applyBorder="1" applyAlignment="1" applyProtection="1">
      <alignment horizontal="center" vertical="center" wrapText="1"/>
    </xf>
    <xf numFmtId="14" fontId="24" fillId="0" borderId="0" xfId="10" applyNumberFormat="1" applyFont="1" applyFill="1" applyBorder="1" applyAlignment="1" applyProtection="1">
      <alignment horizontal="center" vertical="center" wrapText="1"/>
      <protection hidden="1"/>
    </xf>
    <xf numFmtId="0" fontId="11" fillId="0" borderId="0" xfId="6" applyFont="1" applyFill="1" applyAlignment="1" applyProtection="1">
      <alignment horizontal="left" vertical="center" wrapText="1"/>
    </xf>
    <xf numFmtId="0" fontId="27" fillId="0" borderId="0" xfId="8" applyFont="1" applyAlignment="1">
      <alignment horizontal="left" vertical="center" wrapText="1"/>
    </xf>
    <xf numFmtId="14" fontId="7" fillId="0" borderId="0" xfId="10" applyNumberFormat="1" applyFont="1" applyBorder="1" applyAlignment="1" applyProtection="1">
      <alignment horizontal="center" vertical="center" textRotation="180" wrapText="1"/>
      <protection hidden="1"/>
    </xf>
    <xf numFmtId="0" fontId="25" fillId="0" borderId="0" xfId="6" applyFont="1" applyAlignment="1" applyProtection="1">
      <alignment horizontal="center" vertical="center" wrapText="1"/>
    </xf>
    <xf numFmtId="14" fontId="7" fillId="0" borderId="28" xfId="10" applyNumberFormat="1" applyFont="1" applyBorder="1" applyAlignment="1" applyProtection="1">
      <alignment horizontal="center" vertical="center" wrapText="1"/>
      <protection hidden="1"/>
    </xf>
    <xf numFmtId="14" fontId="7" fillId="0" borderId="30" xfId="10" applyNumberFormat="1" applyFont="1" applyBorder="1" applyAlignment="1" applyProtection="1">
      <alignment horizontal="center" vertical="center" wrapText="1"/>
      <protection hidden="1"/>
    </xf>
    <xf numFmtId="14" fontId="7" fillId="0" borderId="29" xfId="10" applyNumberFormat="1" applyFont="1" applyBorder="1" applyAlignment="1" applyProtection="1">
      <alignment horizontal="center" vertical="center" wrapText="1"/>
      <protection hidden="1"/>
    </xf>
    <xf numFmtId="14" fontId="7" fillId="0" borderId="31" xfId="10" applyNumberFormat="1" applyFont="1" applyBorder="1" applyAlignment="1" applyProtection="1">
      <alignment horizontal="center" vertical="center" wrapText="1"/>
      <protection hidden="1"/>
    </xf>
    <xf numFmtId="0" fontId="26" fillId="0" borderId="16" xfId="6" applyFont="1" applyBorder="1" applyAlignment="1" applyProtection="1">
      <alignment horizontal="center" wrapText="1"/>
    </xf>
    <xf numFmtId="0" fontId="27" fillId="0" borderId="17" xfId="8" applyFont="1" applyBorder="1" applyAlignment="1" applyProtection="1">
      <alignment horizontal="center" wrapText="1"/>
    </xf>
    <xf numFmtId="0" fontId="27" fillId="0" borderId="42" xfId="8" applyFont="1" applyBorder="1" applyAlignment="1" applyProtection="1">
      <alignment horizontal="center" wrapText="1"/>
    </xf>
    <xf numFmtId="0" fontId="26" fillId="12" borderId="9" xfId="6" applyNumberFormat="1" applyFont="1" applyFill="1" applyBorder="1" applyAlignment="1" applyProtection="1">
      <alignment horizontal="center"/>
    </xf>
    <xf numFmtId="0" fontId="26" fillId="12" borderId="10" xfId="6" applyNumberFormat="1" applyFont="1" applyFill="1" applyBorder="1" applyAlignment="1" applyProtection="1">
      <alignment horizontal="center"/>
    </xf>
    <xf numFmtId="0" fontId="26" fillId="0" borderId="43" xfId="11" applyFont="1" applyBorder="1" applyAlignment="1" applyProtection="1">
      <alignment horizontal="left" vertical="center" wrapText="1"/>
    </xf>
    <xf numFmtId="0" fontId="26" fillId="0" borderId="44" xfId="11" applyFont="1" applyBorder="1" applyAlignment="1" applyProtection="1">
      <alignment horizontal="left" vertical="center" wrapText="1"/>
    </xf>
    <xf numFmtId="0" fontId="26" fillId="0" borderId="32" xfId="11" applyFont="1" applyBorder="1" applyAlignment="1" applyProtection="1">
      <alignment horizontal="left" vertical="center" wrapText="1"/>
    </xf>
    <xf numFmtId="2" fontId="28" fillId="0" borderId="46" xfId="11" applyNumberFormat="1" applyFont="1" applyFill="1" applyBorder="1" applyAlignment="1" applyProtection="1">
      <alignment horizontal="center" vertical="center"/>
    </xf>
    <xf numFmtId="0" fontId="17" fillId="0" borderId="47" xfId="8" applyBorder="1" applyAlignment="1" applyProtection="1">
      <alignment horizontal="center" vertical="center"/>
    </xf>
    <xf numFmtId="10" fontId="28" fillId="0" borderId="46" xfId="12" applyNumberFormat="1" applyFont="1" applyFill="1" applyBorder="1" applyAlignment="1" applyProtection="1">
      <alignment horizontal="center" vertical="center"/>
    </xf>
    <xf numFmtId="2" fontId="10" fillId="0" borderId="13" xfId="11" applyNumberFormat="1" applyFont="1" applyFill="1" applyBorder="1" applyAlignment="1" applyProtection="1">
      <alignment horizontal="center" vertical="center" wrapText="1"/>
    </xf>
    <xf numFmtId="0" fontId="29" fillId="0" borderId="13" xfId="8" applyFont="1" applyBorder="1" applyAlignment="1" applyProtection="1">
      <alignment wrapText="1"/>
    </xf>
    <xf numFmtId="0" fontId="29" fillId="0" borderId="7" xfId="8" applyFont="1" applyBorder="1" applyAlignment="1" applyProtection="1">
      <alignment wrapText="1"/>
    </xf>
    <xf numFmtId="0" fontId="29" fillId="0" borderId="0" xfId="8" applyFont="1" applyBorder="1" applyAlignment="1" applyProtection="1">
      <alignment wrapText="1"/>
    </xf>
    <xf numFmtId="0" fontId="29" fillId="0" borderId="12" xfId="8" applyFont="1" applyBorder="1" applyAlignment="1" applyProtection="1">
      <alignment wrapText="1"/>
    </xf>
    <xf numFmtId="0" fontId="29" fillId="0" borderId="9" xfId="8" applyFont="1" applyBorder="1" applyAlignment="1" applyProtection="1">
      <alignment wrapText="1"/>
    </xf>
    <xf numFmtId="0" fontId="29" fillId="0" borderId="14" xfId="8" applyFont="1" applyBorder="1" applyAlignment="1" applyProtection="1">
      <alignment wrapText="1"/>
    </xf>
    <xf numFmtId="0" fontId="29" fillId="0" borderId="10" xfId="8" applyFont="1" applyBorder="1" applyAlignment="1" applyProtection="1">
      <alignment wrapText="1"/>
    </xf>
    <xf numFmtId="0" fontId="7" fillId="10" borderId="6" xfId="6" applyNumberFormat="1" applyFont="1" applyFill="1" applyBorder="1" applyAlignment="1" applyProtection="1">
      <alignment horizontal="left" wrapText="1"/>
    </xf>
    <xf numFmtId="0" fontId="7" fillId="10" borderId="13" xfId="6" applyNumberFormat="1" applyFont="1" applyFill="1" applyBorder="1" applyAlignment="1" applyProtection="1">
      <alignment horizontal="left" wrapText="1"/>
    </xf>
    <xf numFmtId="0" fontId="7" fillId="10" borderId="7" xfId="6" applyNumberFormat="1" applyFont="1" applyFill="1" applyBorder="1" applyAlignment="1" applyProtection="1">
      <alignment horizontal="left" wrapText="1"/>
    </xf>
    <xf numFmtId="0" fontId="7" fillId="10" borderId="9" xfId="6" applyNumberFormat="1" applyFont="1" applyFill="1" applyBorder="1" applyAlignment="1" applyProtection="1">
      <alignment horizontal="left" wrapText="1"/>
    </xf>
    <xf numFmtId="0" fontId="7" fillId="10" borderId="14" xfId="6" applyNumberFormat="1" applyFont="1" applyFill="1" applyBorder="1" applyAlignment="1" applyProtection="1">
      <alignment horizontal="left" wrapText="1"/>
    </xf>
    <xf numFmtId="0" fontId="7" fillId="10" borderId="10" xfId="6" applyNumberFormat="1" applyFont="1" applyFill="1" applyBorder="1" applyAlignment="1" applyProtection="1">
      <alignment horizontal="left" wrapText="1"/>
    </xf>
    <xf numFmtId="0" fontId="10" fillId="0" borderId="58" xfId="6" applyFill="1" applyBorder="1" applyAlignment="1" applyProtection="1">
      <alignment horizontal="center"/>
      <protection locked="0"/>
    </xf>
    <xf numFmtId="0" fontId="10" fillId="0" borderId="60" xfId="6" applyFill="1" applyBorder="1" applyAlignment="1" applyProtection="1">
      <alignment horizontal="center"/>
      <protection locked="0"/>
    </xf>
    <xf numFmtId="0" fontId="31" fillId="13" borderId="48" xfId="6" applyFont="1" applyFill="1" applyBorder="1" applyAlignment="1" applyProtection="1">
      <alignment horizontal="center"/>
    </xf>
    <xf numFmtId="0" fontId="31" fillId="13" borderId="49" xfId="6" applyFont="1" applyFill="1" applyBorder="1" applyAlignment="1" applyProtection="1">
      <alignment horizontal="center"/>
    </xf>
    <xf numFmtId="0" fontId="31" fillId="13" borderId="50" xfId="6" applyFont="1" applyFill="1" applyBorder="1" applyAlignment="1" applyProtection="1">
      <alignment horizontal="center"/>
    </xf>
    <xf numFmtId="0" fontId="8" fillId="0" borderId="51" xfId="6" applyNumberFormat="1" applyFont="1" applyFill="1" applyBorder="1" applyAlignment="1" applyProtection="1">
      <alignment horizontal="left" vertical="center" wrapText="1"/>
    </xf>
    <xf numFmtId="0" fontId="8" fillId="0" borderId="52" xfId="6" applyNumberFormat="1" applyFont="1" applyFill="1" applyBorder="1" applyAlignment="1" applyProtection="1">
      <alignment horizontal="left" vertical="center" wrapText="1"/>
    </xf>
    <xf numFmtId="0" fontId="8" fillId="0" borderId="53" xfId="6" applyNumberFormat="1" applyFont="1" applyFill="1" applyBorder="1" applyAlignment="1" applyProtection="1">
      <alignment horizontal="left" vertical="center" wrapText="1"/>
    </xf>
    <xf numFmtId="0" fontId="8" fillId="0" borderId="54" xfId="6" applyNumberFormat="1" applyFont="1" applyFill="1" applyBorder="1" applyAlignment="1" applyProtection="1">
      <alignment horizontal="left" vertical="center" wrapText="1"/>
    </xf>
    <xf numFmtId="0" fontId="8" fillId="0" borderId="0" xfId="6" applyNumberFormat="1" applyFont="1" applyFill="1" applyBorder="1" applyAlignment="1" applyProtection="1">
      <alignment horizontal="left" vertical="center" wrapText="1"/>
    </xf>
    <xf numFmtId="0" fontId="8" fillId="0" borderId="55" xfId="6" applyNumberFormat="1" applyFont="1" applyFill="1" applyBorder="1" applyAlignment="1" applyProtection="1">
      <alignment horizontal="left" vertical="center" wrapText="1"/>
    </xf>
    <xf numFmtId="14" fontId="10" fillId="8" borderId="14" xfId="13" applyNumberFormat="1" applyFont="1" applyFill="1" applyBorder="1" applyAlignment="1" applyProtection="1">
      <alignment horizontal="center"/>
      <protection locked="0"/>
    </xf>
    <xf numFmtId="0" fontId="10" fillId="0" borderId="13" xfId="10" applyFont="1" applyBorder="1" applyAlignment="1" applyProtection="1">
      <alignment horizontal="center"/>
    </xf>
    <xf numFmtId="0" fontId="5" fillId="0" borderId="57" xfId="6" applyFont="1" applyBorder="1" applyAlignment="1" applyProtection="1">
      <alignment horizontal="center"/>
    </xf>
    <xf numFmtId="0" fontId="10" fillId="0" borderId="17" xfId="6" applyFill="1" applyBorder="1" applyAlignment="1" applyProtection="1">
      <alignment horizontal="center"/>
      <protection locked="0"/>
    </xf>
  </cellXfs>
  <cellStyles count="14">
    <cellStyle name="Moeda" xfId="1" builtinId="4"/>
    <cellStyle name="Normal" xfId="0" builtinId="0"/>
    <cellStyle name="Normal 2" xfId="3"/>
    <cellStyle name="Normal 2 2 2" xfId="5"/>
    <cellStyle name="Normal 2_SIGEO Ver_2013A" xfId="10"/>
    <cellStyle name="Normal 4" xfId="8"/>
    <cellStyle name="Normal 4 2_SIGEO Ver_2013A" xfId="7"/>
    <cellStyle name="Normal_Cálculo BDI conforme TCU" xfId="11"/>
    <cellStyle name="Normal_Cálculo BDI conforme TCU_SIGEO Ver_2013A" xfId="6"/>
    <cellStyle name="Normal_Plan1" xfId="9"/>
    <cellStyle name="Porcentagem" xfId="2" builtinId="5"/>
    <cellStyle name="Porcentagem 5" xfId="12"/>
    <cellStyle name="Vírgula 2 2" xfId="13"/>
    <cellStyle name="Vírgula 5 2" xfId="4"/>
  </cellStyles>
  <dxfs count="7">
    <dxf>
      <font>
        <b/>
        <i val="0"/>
        <condense val="0"/>
        <extend val="0"/>
        <color indexed="9"/>
      </font>
      <fill>
        <patternFill patternType="solid">
          <bgColor indexed="10"/>
        </patternFill>
      </fill>
    </dxf>
    <dxf>
      <font>
        <b/>
        <i val="0"/>
        <condense val="0"/>
        <extend val="0"/>
        <color indexed="17"/>
      </font>
      <fill>
        <patternFill>
          <bgColor indexed="9"/>
        </patternFill>
      </fill>
    </dxf>
    <dxf>
      <font>
        <b/>
        <i val="0"/>
        <condense val="0"/>
        <extend val="0"/>
        <color indexed="17"/>
      </font>
      <fill>
        <patternFill patternType="none">
          <bgColor indexed="65"/>
        </patternFill>
      </fill>
    </dxf>
    <dxf>
      <fill>
        <patternFill>
          <bgColor indexed="43"/>
        </patternFill>
      </fill>
    </dxf>
    <dxf>
      <font>
        <condense val="0"/>
        <extend val="0"/>
        <color indexed="17"/>
      </font>
    </dxf>
    <dxf>
      <font>
        <condense val="0"/>
        <extend val="0"/>
        <color indexed="10"/>
      </font>
    </dxf>
    <dxf>
      <fill>
        <patternFill>
          <bgColor indexe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Drop" dropLines="6" dropStyle="combo" dx="16" fmlaLink="$O$10:$O$15" fmlaRange="$N$10:$N$15" noThreeD="1" sel="1" val="0"/>
</file>

<file path=xl/ctrlProps/ctrlProp2.xml><?xml version="1.0" encoding="utf-8"?>
<formControlPr xmlns="http://schemas.microsoft.com/office/spreadsheetml/2009/9/main" objectType="CheckBox" checked="Checked" fmlaLink="$N$8" noThreeD="1"/>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absolute">
    <xdr:from>
      <xdr:col>1</xdr:col>
      <xdr:colOff>0</xdr:colOff>
      <xdr:row>30</xdr:row>
      <xdr:rowOff>0</xdr:rowOff>
    </xdr:from>
    <xdr:to>
      <xdr:col>11</xdr:col>
      <xdr:colOff>0</xdr:colOff>
      <xdr:row>33</xdr:row>
      <xdr:rowOff>76200</xdr:rowOff>
    </xdr:to>
    <xdr:sp macro="" textlink="">
      <xdr:nvSpPr>
        <xdr:cNvPr id="2" name="CaixaDeTexto 1">
          <a:extLst>
            <a:ext uri="{FF2B5EF4-FFF2-40B4-BE49-F238E27FC236}">
              <a16:creationId xmlns="" xmlns:a16="http://schemas.microsoft.com/office/drawing/2014/main" id="{00000000-0008-0000-0200-000002000000}"/>
            </a:ext>
          </a:extLst>
        </xdr:cNvPr>
        <xdr:cNvSpPr txBox="1">
          <a:spLocks noChangeArrowheads="1"/>
        </xdr:cNvSpPr>
      </xdr:nvSpPr>
      <xdr:spPr bwMode="auto">
        <a:xfrm>
          <a:off x="628650" y="5267325"/>
          <a:ext cx="10410825" cy="561975"/>
        </a:xfrm>
        <a:prstGeom prst="rect">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mc:AlternateContent xmlns:mc="http://schemas.openxmlformats.org/markup-compatibility/2006">
    <mc:Choice xmlns:a14="http://schemas.microsoft.com/office/drawing/2010/main" Requires="a14">
      <xdr:twoCellAnchor editAs="oneCell">
        <xdr:from>
          <xdr:col>3</xdr:col>
          <xdr:colOff>28575</xdr:colOff>
          <xdr:row>10</xdr:row>
          <xdr:rowOff>9525</xdr:rowOff>
        </xdr:from>
        <xdr:to>
          <xdr:col>5</xdr:col>
          <xdr:colOff>485775</xdr:colOff>
          <xdr:row>11</xdr:row>
          <xdr:rowOff>47625</xdr:rowOff>
        </xdr:to>
        <xdr:sp macro="" textlink="">
          <xdr:nvSpPr>
            <xdr:cNvPr id="3073" name="Drop Down 1" descr="teste" hidden="1">
              <a:extLst>
                <a:ext uri="{63B3BB69-23CF-44E3-9099-C40C66FF867C}">
                  <a14:compatExt spid="_x0000_s3073"/>
                </a:ext>
                <a:ext uri="{FF2B5EF4-FFF2-40B4-BE49-F238E27FC236}">
                  <a16:creationId xmlns=""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xdr:from>
      <xdr:col>2</xdr:col>
      <xdr:colOff>114300</xdr:colOff>
      <xdr:row>26</xdr:row>
      <xdr:rowOff>133350</xdr:rowOff>
    </xdr:from>
    <xdr:to>
      <xdr:col>3</xdr:col>
      <xdr:colOff>2638425</xdr:colOff>
      <xdr:row>28</xdr:row>
      <xdr:rowOff>85725</xdr:rowOff>
    </xdr:to>
    <xdr:pic>
      <xdr:nvPicPr>
        <xdr:cNvPr id="4" name="Picture 38">
          <a:extLst>
            <a:ext uri="{FF2B5EF4-FFF2-40B4-BE49-F238E27FC236}">
              <a16:creationId xmlns=""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371600" y="4552950"/>
          <a:ext cx="295275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9</xdr:col>
          <xdr:colOff>19050</xdr:colOff>
          <xdr:row>21</xdr:row>
          <xdr:rowOff>142875</xdr:rowOff>
        </xdr:from>
        <xdr:to>
          <xdr:col>11</xdr:col>
          <xdr:colOff>819150</xdr:colOff>
          <xdr:row>23</xdr:row>
          <xdr:rowOff>28575</xdr:rowOff>
        </xdr:to>
        <xdr:sp macro="" textlink="">
          <xdr:nvSpPr>
            <xdr:cNvPr id="3074" name="Check Box 2" hidden="1">
              <a:extLst>
                <a:ext uri="{63B3BB69-23CF-44E3-9099-C40C66FF867C}">
                  <a14:compatExt spid="_x0000_s3074"/>
                </a:ext>
                <a:ext uri="{FF2B5EF4-FFF2-40B4-BE49-F238E27FC236}">
                  <a16:creationId xmlns=""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BCBCBC"/>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Mão-de-obra desonerada</a:t>
              </a:r>
            </a:p>
          </xdr:txBody>
        </xdr:sp>
        <xdr:clientData fLocksWithSheet="0"/>
      </xdr:twoCellAnchor>
    </mc:Choice>
    <mc:Fallback/>
  </mc:AlternateContent>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3"/>
  <sheetViews>
    <sheetView tabSelected="1" view="pageLayout" zoomScaleNormal="100" workbookViewId="0">
      <selection activeCell="F70" sqref="F70"/>
    </sheetView>
  </sheetViews>
  <sheetFormatPr defaultRowHeight="15" x14ac:dyDescent="0.25"/>
  <cols>
    <col min="1" max="1" width="6.140625" customWidth="1"/>
    <col min="2" max="2" width="17.7109375" customWidth="1"/>
    <col min="3" max="3" width="21.7109375" bestFit="1" customWidth="1"/>
    <col min="4" max="4" width="70.7109375" customWidth="1"/>
    <col min="5" max="5" width="5.42578125" customWidth="1"/>
    <col min="6" max="6" width="9.140625" style="194"/>
    <col min="7" max="7" width="15.7109375" customWidth="1"/>
    <col min="8" max="8" width="16.140625" customWidth="1"/>
    <col min="9" max="9" width="16" customWidth="1"/>
    <col min="10" max="10" width="11.7109375" bestFit="1" customWidth="1"/>
  </cols>
  <sheetData>
    <row r="1" spans="1:10" ht="20.25" x14ac:dyDescent="0.25">
      <c r="A1" s="249" t="s">
        <v>41</v>
      </c>
      <c r="B1" s="249"/>
      <c r="C1" s="249"/>
      <c r="D1" s="249"/>
      <c r="E1" s="249"/>
      <c r="F1" s="249"/>
      <c r="G1" s="249"/>
      <c r="H1" s="249"/>
      <c r="I1" s="249"/>
    </row>
    <row r="2" spans="1:10" x14ac:dyDescent="0.25">
      <c r="A2" s="250" t="s">
        <v>582</v>
      </c>
      <c r="B2" s="251"/>
      <c r="C2" s="251"/>
      <c r="D2" s="252"/>
      <c r="E2" s="253" t="s">
        <v>16</v>
      </c>
      <c r="F2" s="254"/>
      <c r="G2" s="19" t="s">
        <v>17</v>
      </c>
      <c r="H2" s="253" t="s">
        <v>18</v>
      </c>
      <c r="I2" s="254"/>
    </row>
    <row r="3" spans="1:10" x14ac:dyDescent="0.25">
      <c r="A3" s="250" t="s">
        <v>597</v>
      </c>
      <c r="B3" s="251"/>
      <c r="C3" s="251"/>
      <c r="D3" s="252"/>
      <c r="E3" s="255">
        <v>0.26500000000000001</v>
      </c>
      <c r="F3" s="256"/>
      <c r="G3" s="257">
        <v>44741</v>
      </c>
      <c r="H3" s="259">
        <f>I122</f>
        <v>133762.62372356196</v>
      </c>
      <c r="I3" s="260"/>
      <c r="J3" s="159"/>
    </row>
    <row r="4" spans="1:10" x14ac:dyDescent="0.25">
      <c r="A4" s="250" t="s">
        <v>411</v>
      </c>
      <c r="B4" s="251"/>
      <c r="C4" s="251"/>
      <c r="D4" s="252"/>
      <c r="E4" s="263">
        <v>1.2649999999999999</v>
      </c>
      <c r="F4" s="264"/>
      <c r="G4" s="258"/>
      <c r="H4" s="261"/>
      <c r="I4" s="262"/>
    </row>
    <row r="5" spans="1:10" x14ac:dyDescent="0.25">
      <c r="A5" s="266" t="s">
        <v>0</v>
      </c>
      <c r="B5" s="267" t="s">
        <v>19</v>
      </c>
      <c r="C5" s="266" t="s">
        <v>20</v>
      </c>
      <c r="D5" s="269" t="s">
        <v>21</v>
      </c>
      <c r="E5" s="266" t="s">
        <v>22</v>
      </c>
      <c r="F5" s="273" t="s">
        <v>23</v>
      </c>
      <c r="G5" s="274" t="s">
        <v>24</v>
      </c>
      <c r="H5" s="275" t="s">
        <v>25</v>
      </c>
      <c r="I5" s="266" t="s">
        <v>26</v>
      </c>
    </row>
    <row r="6" spans="1:10" x14ac:dyDescent="0.25">
      <c r="A6" s="266"/>
      <c r="B6" s="268"/>
      <c r="C6" s="266"/>
      <c r="D6" s="269"/>
      <c r="E6" s="266"/>
      <c r="F6" s="273"/>
      <c r="G6" s="274"/>
      <c r="H6" s="276"/>
      <c r="I6" s="266"/>
    </row>
    <row r="7" spans="1:10" x14ac:dyDescent="0.25">
      <c r="A7" s="20" t="s">
        <v>27</v>
      </c>
      <c r="B7" s="265"/>
      <c r="C7" s="265"/>
      <c r="D7" s="233" t="s">
        <v>28</v>
      </c>
      <c r="E7" s="234"/>
      <c r="F7" s="234"/>
      <c r="G7" s="234"/>
      <c r="H7" s="234"/>
      <c r="I7" s="235"/>
    </row>
    <row r="8" spans="1:10" x14ac:dyDescent="0.25">
      <c r="A8" s="1" t="s">
        <v>1</v>
      </c>
      <c r="B8" s="1">
        <v>42571</v>
      </c>
      <c r="C8" s="21" t="s">
        <v>29</v>
      </c>
      <c r="D8" s="22" t="s">
        <v>206</v>
      </c>
      <c r="E8" s="1" t="s">
        <v>30</v>
      </c>
      <c r="F8" s="170">
        <f>1.5*2.5</f>
        <v>3.75</v>
      </c>
      <c r="G8" s="23">
        <f>Referências!M3</f>
        <v>213.6</v>
      </c>
      <c r="H8" s="23">
        <f>G8*$E$4</f>
        <v>270.20399999999995</v>
      </c>
      <c r="I8" s="23">
        <f>H8*F8</f>
        <v>1013.2649999999999</v>
      </c>
    </row>
    <row r="9" spans="1:10" x14ac:dyDescent="0.25">
      <c r="A9" s="1" t="s">
        <v>44</v>
      </c>
      <c r="B9" s="1">
        <v>42591</v>
      </c>
      <c r="C9" s="21" t="s">
        <v>29</v>
      </c>
      <c r="D9" s="22" t="s">
        <v>40</v>
      </c>
      <c r="E9" s="1" t="s">
        <v>30</v>
      </c>
      <c r="F9" s="170">
        <v>44.29</v>
      </c>
      <c r="G9" s="23">
        <f>Referências!M4</f>
        <v>4.99</v>
      </c>
      <c r="H9" s="23">
        <f t="shared" ref="H9:H15" si="0">G9*$E$4</f>
        <v>6.3123499999999995</v>
      </c>
      <c r="I9" s="23">
        <f t="shared" ref="I9:I15" si="1">H9*F9</f>
        <v>279.57398149999995</v>
      </c>
    </row>
    <row r="10" spans="1:10" x14ac:dyDescent="0.25">
      <c r="A10" s="1" t="s">
        <v>173</v>
      </c>
      <c r="B10" s="1">
        <f>Referências!G5</f>
        <v>42566</v>
      </c>
      <c r="C10" s="21" t="s">
        <v>29</v>
      </c>
      <c r="D10" s="22" t="s">
        <v>274</v>
      </c>
      <c r="E10" s="1" t="s">
        <v>30</v>
      </c>
      <c r="F10" s="170">
        <f>2*4</f>
        <v>8</v>
      </c>
      <c r="G10" s="23">
        <f>Referências!M5</f>
        <v>361.06</v>
      </c>
      <c r="H10" s="23">
        <f t="shared" si="0"/>
        <v>456.74089999999995</v>
      </c>
      <c r="I10" s="23">
        <f t="shared" si="1"/>
        <v>3653.9271999999996</v>
      </c>
    </row>
    <row r="11" spans="1:10" x14ac:dyDescent="0.25">
      <c r="A11" s="1" t="s">
        <v>45</v>
      </c>
      <c r="B11" s="1">
        <f>Referências!G8</f>
        <v>42512</v>
      </c>
      <c r="C11" s="21" t="s">
        <v>29</v>
      </c>
      <c r="D11" s="22" t="s">
        <v>276</v>
      </c>
      <c r="E11" s="1" t="s">
        <v>30</v>
      </c>
      <c r="F11" s="170">
        <f>F9</f>
        <v>44.29</v>
      </c>
      <c r="G11" s="23">
        <f>Referências!M8</f>
        <v>5.75</v>
      </c>
      <c r="H11" s="23">
        <f t="shared" si="0"/>
        <v>7.2737499999999997</v>
      </c>
      <c r="I11" s="23">
        <f t="shared" si="1"/>
        <v>322.15438749999998</v>
      </c>
    </row>
    <row r="12" spans="1:10" x14ac:dyDescent="0.25">
      <c r="A12" s="1" t="s">
        <v>171</v>
      </c>
      <c r="B12" s="1">
        <f>Referências!G10</f>
        <v>42513</v>
      </c>
      <c r="C12" s="21" t="s">
        <v>29</v>
      </c>
      <c r="D12" s="22" t="s">
        <v>275</v>
      </c>
      <c r="E12" s="1" t="s">
        <v>30</v>
      </c>
      <c r="F12" s="30">
        <f>F9</f>
        <v>44.29</v>
      </c>
      <c r="G12" s="29">
        <f>Referências!M10</f>
        <v>11.6</v>
      </c>
      <c r="H12" s="23">
        <f t="shared" si="0"/>
        <v>14.673999999999998</v>
      </c>
      <c r="I12" s="23">
        <f t="shared" si="1"/>
        <v>649.91145999999992</v>
      </c>
    </row>
    <row r="13" spans="1:10" x14ac:dyDescent="0.25">
      <c r="A13" s="1" t="s">
        <v>174</v>
      </c>
      <c r="B13" s="1">
        <f>Referências!G39</f>
        <v>42515</v>
      </c>
      <c r="C13" s="21" t="s">
        <v>29</v>
      </c>
      <c r="D13" s="22" t="s">
        <v>277</v>
      </c>
      <c r="E13" s="1" t="s">
        <v>30</v>
      </c>
      <c r="F13" s="30">
        <f>F9</f>
        <v>44.29</v>
      </c>
      <c r="G13" s="29">
        <f>Referências!M39</f>
        <v>5.75</v>
      </c>
      <c r="H13" s="23">
        <f t="shared" si="0"/>
        <v>7.2737499999999997</v>
      </c>
      <c r="I13" s="23">
        <f t="shared" si="1"/>
        <v>322.15438749999998</v>
      </c>
    </row>
    <row r="14" spans="1:10" x14ac:dyDescent="0.25">
      <c r="A14" s="1" t="s">
        <v>175</v>
      </c>
      <c r="B14" s="1">
        <v>42522</v>
      </c>
      <c r="C14" s="21" t="s">
        <v>29</v>
      </c>
      <c r="D14" s="22" t="s">
        <v>372</v>
      </c>
      <c r="E14" s="1" t="s">
        <v>42</v>
      </c>
      <c r="F14" s="30">
        <f>2*5</f>
        <v>10</v>
      </c>
      <c r="G14" s="29">
        <v>63.9</v>
      </c>
      <c r="H14" s="23">
        <f t="shared" si="0"/>
        <v>80.833499999999987</v>
      </c>
      <c r="I14" s="23">
        <f t="shared" si="1"/>
        <v>808.33499999999981</v>
      </c>
    </row>
    <row r="15" spans="1:10" x14ac:dyDescent="0.25">
      <c r="A15" s="1" t="s">
        <v>176</v>
      </c>
      <c r="B15" s="1">
        <f>Referências!G38</f>
        <v>42574</v>
      </c>
      <c r="C15" s="21" t="s">
        <v>29</v>
      </c>
      <c r="D15" s="22" t="s">
        <v>272</v>
      </c>
      <c r="E15" s="1" t="s">
        <v>30</v>
      </c>
      <c r="F15" s="30">
        <f>15*2</f>
        <v>30</v>
      </c>
      <c r="G15" s="29">
        <f>Referências!M38</f>
        <v>83.06</v>
      </c>
      <c r="H15" s="23">
        <f t="shared" si="0"/>
        <v>105.07089999999999</v>
      </c>
      <c r="I15" s="23">
        <f t="shared" si="1"/>
        <v>3152.127</v>
      </c>
    </row>
    <row r="16" spans="1:10" x14ac:dyDescent="0.25">
      <c r="A16" s="248" t="s">
        <v>35</v>
      </c>
      <c r="B16" s="248"/>
      <c r="C16" s="248"/>
      <c r="D16" s="248"/>
      <c r="E16" s="248"/>
      <c r="F16" s="248"/>
      <c r="G16" s="248"/>
      <c r="H16" s="24"/>
      <c r="I16" s="24">
        <f>SUM(I8:I15)</f>
        <v>10201.448416499999</v>
      </c>
    </row>
    <row r="17" spans="1:9" x14ac:dyDescent="0.25">
      <c r="A17" s="184"/>
      <c r="B17" s="184"/>
      <c r="C17" s="184"/>
      <c r="D17" s="184"/>
      <c r="E17" s="184"/>
      <c r="F17" s="220"/>
      <c r="G17" s="184"/>
      <c r="H17" s="184"/>
      <c r="I17" s="184"/>
    </row>
    <row r="18" spans="1:9" x14ac:dyDescent="0.25">
      <c r="A18" s="20" t="s">
        <v>31</v>
      </c>
      <c r="B18" s="265"/>
      <c r="C18" s="265"/>
      <c r="D18" s="233" t="s">
        <v>383</v>
      </c>
      <c r="E18" s="234"/>
      <c r="F18" s="234"/>
      <c r="G18" s="234"/>
      <c r="H18" s="234"/>
      <c r="I18" s="235"/>
    </row>
    <row r="19" spans="1:9" x14ac:dyDescent="0.25">
      <c r="A19" s="1" t="s">
        <v>2</v>
      </c>
      <c r="B19" s="1">
        <f>Referências!G50</f>
        <v>42590</v>
      </c>
      <c r="C19" s="1" t="s">
        <v>29</v>
      </c>
      <c r="D19" s="22" t="s">
        <v>282</v>
      </c>
      <c r="E19" s="1" t="s">
        <v>268</v>
      </c>
      <c r="F19" s="170">
        <f>((0.82+4.48+0.45+1.29+38)*0.2*0.5)+(0.3*0.3*0.5)+(2.5*1.8*2)+((PI()*1.15^2)*1.2)</f>
        <v>18.534707541247002</v>
      </c>
      <c r="G19" s="23">
        <f>Referências!M51</f>
        <v>52.85</v>
      </c>
      <c r="H19" s="23">
        <f t="shared" ref="H19:H25" si="2">G19*$E$4</f>
        <v>66.855249999999998</v>
      </c>
      <c r="I19" s="23">
        <f t="shared" ref="I19:I25" si="3">H19*F19</f>
        <v>1239.1425063469535</v>
      </c>
    </row>
    <row r="20" spans="1:9" x14ac:dyDescent="0.25">
      <c r="A20" s="1" t="s">
        <v>46</v>
      </c>
      <c r="B20" s="1">
        <v>42585</v>
      </c>
      <c r="C20" s="1" t="s">
        <v>29</v>
      </c>
      <c r="D20" s="22" t="s">
        <v>384</v>
      </c>
      <c r="E20" s="1" t="s">
        <v>268</v>
      </c>
      <c r="F20" s="170">
        <f>0.22*44.29</f>
        <v>9.7438000000000002</v>
      </c>
      <c r="G20" s="23">
        <f>Referências!M65</f>
        <v>52.84</v>
      </c>
      <c r="H20" s="23">
        <f t="shared" si="2"/>
        <v>66.842600000000004</v>
      </c>
      <c r="I20" s="23">
        <f t="shared" si="3"/>
        <v>651.30092588000002</v>
      </c>
    </row>
    <row r="21" spans="1:9" x14ac:dyDescent="0.25">
      <c r="A21" s="248" t="s">
        <v>32</v>
      </c>
      <c r="B21" s="248"/>
      <c r="C21" s="248"/>
      <c r="D21" s="248"/>
      <c r="E21" s="248"/>
      <c r="F21" s="248"/>
      <c r="G21" s="248"/>
      <c r="H21" s="24"/>
      <c r="I21" s="24">
        <f>SUM(I19:I20)</f>
        <v>1890.4434322269535</v>
      </c>
    </row>
    <row r="22" spans="1:9" x14ac:dyDescent="0.25">
      <c r="A22" s="184"/>
      <c r="B22" s="184"/>
      <c r="C22" s="184"/>
      <c r="D22" s="184"/>
      <c r="E22" s="184"/>
      <c r="F22" s="220"/>
      <c r="G22" s="184"/>
      <c r="H22" s="184"/>
      <c r="I22" s="184"/>
    </row>
    <row r="23" spans="1:9" x14ac:dyDescent="0.25">
      <c r="A23" s="206" t="s">
        <v>33</v>
      </c>
      <c r="B23" s="265"/>
      <c r="C23" s="265"/>
      <c r="D23" s="272" t="s">
        <v>382</v>
      </c>
      <c r="E23" s="272"/>
      <c r="F23" s="272"/>
      <c r="G23" s="272"/>
      <c r="H23" s="272"/>
      <c r="I23" s="272"/>
    </row>
    <row r="24" spans="1:9" x14ac:dyDescent="0.25">
      <c r="A24" s="1" t="s">
        <v>3</v>
      </c>
      <c r="B24" s="1">
        <v>42532</v>
      </c>
      <c r="C24" s="1" t="s">
        <v>29</v>
      </c>
      <c r="D24" s="22" t="s">
        <v>561</v>
      </c>
      <c r="E24" s="1" t="s">
        <v>30</v>
      </c>
      <c r="F24" s="30">
        <v>60</v>
      </c>
      <c r="G24" s="169">
        <v>83.05</v>
      </c>
      <c r="H24" s="23">
        <f t="shared" si="2"/>
        <v>105.05824999999999</v>
      </c>
      <c r="I24" s="23">
        <f t="shared" si="3"/>
        <v>6303.494999999999</v>
      </c>
    </row>
    <row r="25" spans="1:9" x14ac:dyDescent="0.25">
      <c r="A25" s="1" t="s">
        <v>595</v>
      </c>
      <c r="B25" s="1">
        <v>42581</v>
      </c>
      <c r="C25" s="1" t="s">
        <v>29</v>
      </c>
      <c r="D25" s="22" t="s">
        <v>594</v>
      </c>
      <c r="E25" s="1" t="s">
        <v>268</v>
      </c>
      <c r="F25" s="30">
        <v>20</v>
      </c>
      <c r="G25" s="23">
        <f>15.1+34.5</f>
        <v>49.6</v>
      </c>
      <c r="H25" s="23">
        <f t="shared" si="2"/>
        <v>62.744</v>
      </c>
      <c r="I25" s="23">
        <f t="shared" si="3"/>
        <v>1254.8800000000001</v>
      </c>
    </row>
    <row r="26" spans="1:9" x14ac:dyDescent="0.25">
      <c r="A26" s="248" t="s">
        <v>37</v>
      </c>
      <c r="B26" s="248"/>
      <c r="C26" s="248"/>
      <c r="D26" s="248"/>
      <c r="E26" s="248"/>
      <c r="F26" s="248"/>
      <c r="G26" s="248"/>
      <c r="H26" s="24"/>
      <c r="I26" s="24">
        <f>SUM(I24:I25)</f>
        <v>7558.3749999999991</v>
      </c>
    </row>
    <row r="27" spans="1:9" x14ac:dyDescent="0.25">
      <c r="A27" s="184"/>
      <c r="B27" s="184"/>
      <c r="C27" s="184"/>
      <c r="D27" s="184"/>
      <c r="E27" s="184"/>
      <c r="F27" s="220"/>
      <c r="G27" s="184"/>
      <c r="H27" s="184"/>
      <c r="I27" s="184"/>
    </row>
    <row r="28" spans="1:9" x14ac:dyDescent="0.25">
      <c r="A28" s="171" t="s">
        <v>34</v>
      </c>
      <c r="B28" s="265"/>
      <c r="C28" s="265"/>
      <c r="D28" s="233" t="s">
        <v>279</v>
      </c>
      <c r="E28" s="234"/>
      <c r="F28" s="234"/>
      <c r="G28" s="234"/>
      <c r="H28" s="234"/>
      <c r="I28" s="235"/>
    </row>
    <row r="29" spans="1:9" x14ac:dyDescent="0.25">
      <c r="A29" s="1" t="s">
        <v>13</v>
      </c>
      <c r="B29" s="1" t="s">
        <v>480</v>
      </c>
      <c r="C29" s="1" t="s">
        <v>479</v>
      </c>
      <c r="D29" s="156" t="s">
        <v>424</v>
      </c>
      <c r="E29" s="1" t="s">
        <v>268</v>
      </c>
      <c r="F29" s="170">
        <f>(((5.15*8.6)-(4.85*8.3))*0.4*0.15)+((4.85+4.9+2.1)*0.15*0.4)+((0.3*0.15)*9*2.8)+(9*(1.2*0.5*0.4))</f>
        <v>4.2470999999999997</v>
      </c>
      <c r="G29" s="23">
        <v>3436.04</v>
      </c>
      <c r="H29" s="23">
        <f t="shared" ref="H29:H37" si="4">G29*$E$4</f>
        <v>4346.5905999999995</v>
      </c>
      <c r="I29" s="23">
        <f t="shared" ref="I29:I37" si="5">H29*F29</f>
        <v>18460.404937259995</v>
      </c>
    </row>
    <row r="30" spans="1:9" x14ac:dyDescent="0.25">
      <c r="A30" s="1" t="s">
        <v>14</v>
      </c>
      <c r="B30" s="1">
        <f>Referências!G60</f>
        <v>40208</v>
      </c>
      <c r="C30" s="1" t="s">
        <v>29</v>
      </c>
      <c r="D30" s="22" t="s">
        <v>186</v>
      </c>
      <c r="E30" s="1" t="s">
        <v>30</v>
      </c>
      <c r="F30" s="170">
        <f>((8.6*4)+(5.15*4)+(4.85*2)+(2.1*2)+(4.9*2))*0.4+((0.3*2)+(0.15*2)*2.1*9)</f>
        <v>37.75</v>
      </c>
      <c r="G30" s="23">
        <f>Referências!M60</f>
        <v>77.61</v>
      </c>
      <c r="H30" s="23">
        <f t="shared" si="4"/>
        <v>98.176649999999995</v>
      </c>
      <c r="I30" s="23">
        <f t="shared" si="5"/>
        <v>3706.1685374999997</v>
      </c>
    </row>
    <row r="31" spans="1:9" x14ac:dyDescent="0.25">
      <c r="A31" s="1" t="s">
        <v>572</v>
      </c>
      <c r="B31" s="1">
        <f>Referências!G55</f>
        <v>43239</v>
      </c>
      <c r="C31" s="1" t="s">
        <v>29</v>
      </c>
      <c r="D31" s="22" t="s">
        <v>187</v>
      </c>
      <c r="E31" s="1" t="s">
        <v>268</v>
      </c>
      <c r="F31" s="170">
        <f>(36.54+3.15)*0.06</f>
        <v>2.3813999999999997</v>
      </c>
      <c r="G31" s="23">
        <f>Referências!M55</f>
        <v>148.19999999999999</v>
      </c>
      <c r="H31" s="23">
        <f t="shared" si="4"/>
        <v>187.47299999999998</v>
      </c>
      <c r="I31" s="23">
        <f t="shared" si="5"/>
        <v>446.44820219999991</v>
      </c>
    </row>
    <row r="32" spans="1:9" x14ac:dyDescent="0.25">
      <c r="A32" s="1" t="s">
        <v>387</v>
      </c>
      <c r="B32" s="1">
        <v>40064</v>
      </c>
      <c r="C32" s="1" t="s">
        <v>29</v>
      </c>
      <c r="D32" s="22" t="s">
        <v>421</v>
      </c>
      <c r="E32" s="1" t="s">
        <v>42</v>
      </c>
      <c r="F32" s="170">
        <f>18*3.5</f>
        <v>63</v>
      </c>
      <c r="G32" s="23">
        <f>Referências!M69</f>
        <v>43.569999999999993</v>
      </c>
      <c r="H32" s="23">
        <f t="shared" si="4"/>
        <v>55.116049999999987</v>
      </c>
      <c r="I32" s="23">
        <f t="shared" si="5"/>
        <v>3472.3111499999991</v>
      </c>
    </row>
    <row r="33" spans="1:9" x14ac:dyDescent="0.25">
      <c r="A33" s="1" t="s">
        <v>388</v>
      </c>
      <c r="B33" s="1" t="str">
        <f>Referências!A17</f>
        <v>93186</v>
      </c>
      <c r="C33" s="1" t="s">
        <v>217</v>
      </c>
      <c r="D33" s="22" t="s">
        <v>308</v>
      </c>
      <c r="E33" s="1" t="s">
        <v>42</v>
      </c>
      <c r="F33" s="30">
        <v>1</v>
      </c>
      <c r="G33" s="26">
        <v>87.15</v>
      </c>
      <c r="H33" s="23">
        <f t="shared" si="4"/>
        <v>110.24475</v>
      </c>
      <c r="I33" s="23">
        <f t="shared" si="5"/>
        <v>110.24475</v>
      </c>
    </row>
    <row r="34" spans="1:9" x14ac:dyDescent="0.25">
      <c r="A34" s="1" t="s">
        <v>426</v>
      </c>
      <c r="B34" s="1" t="str">
        <f>Referências!A18</f>
        <v>93187</v>
      </c>
      <c r="C34" s="1" t="s">
        <v>217</v>
      </c>
      <c r="D34" s="22" t="s">
        <v>309</v>
      </c>
      <c r="E34" s="1" t="s">
        <v>42</v>
      </c>
      <c r="F34" s="30">
        <f>2*2.2</f>
        <v>4.4000000000000004</v>
      </c>
      <c r="G34" s="26">
        <v>100.34</v>
      </c>
      <c r="H34" s="23">
        <f t="shared" si="4"/>
        <v>126.9301</v>
      </c>
      <c r="I34" s="23">
        <f t="shared" si="5"/>
        <v>558.49243999999999</v>
      </c>
    </row>
    <row r="35" spans="1:9" x14ac:dyDescent="0.25">
      <c r="A35" s="1" t="s">
        <v>427</v>
      </c>
      <c r="B35" s="1" t="str">
        <f>Referências!A19</f>
        <v>93188</v>
      </c>
      <c r="C35" s="1" t="s">
        <v>217</v>
      </c>
      <c r="D35" s="22" t="s">
        <v>310</v>
      </c>
      <c r="E35" s="1" t="s">
        <v>42</v>
      </c>
      <c r="F35" s="30">
        <f>2*1</f>
        <v>2</v>
      </c>
      <c r="G35" s="26">
        <v>80.319999999999993</v>
      </c>
      <c r="H35" s="23">
        <f t="shared" si="4"/>
        <v>101.60479999999998</v>
      </c>
      <c r="I35" s="23">
        <f t="shared" si="5"/>
        <v>203.20959999999997</v>
      </c>
    </row>
    <row r="36" spans="1:9" x14ac:dyDescent="0.25">
      <c r="A36" s="1" t="s">
        <v>428</v>
      </c>
      <c r="B36" s="1" t="str">
        <f>Referências!A21</f>
        <v>93196</v>
      </c>
      <c r="C36" s="1" t="s">
        <v>217</v>
      </c>
      <c r="D36" s="22" t="s">
        <v>311</v>
      </c>
      <c r="E36" s="1" t="s">
        <v>42</v>
      </c>
      <c r="F36" s="30">
        <f>F33</f>
        <v>1</v>
      </c>
      <c r="G36" s="26">
        <v>84.69</v>
      </c>
      <c r="H36" s="23">
        <f t="shared" si="4"/>
        <v>107.13284999999999</v>
      </c>
      <c r="I36" s="23">
        <f t="shared" si="5"/>
        <v>107.13284999999999</v>
      </c>
    </row>
    <row r="37" spans="1:9" x14ac:dyDescent="0.25">
      <c r="A37" s="1" t="s">
        <v>429</v>
      </c>
      <c r="B37" s="1" t="str">
        <f>Referências!A22</f>
        <v>93197</v>
      </c>
      <c r="C37" s="1" t="s">
        <v>217</v>
      </c>
      <c r="D37" s="22" t="s">
        <v>316</v>
      </c>
      <c r="E37" s="1" t="s">
        <v>42</v>
      </c>
      <c r="F37" s="30">
        <f>F34</f>
        <v>4.4000000000000004</v>
      </c>
      <c r="G37" s="26">
        <v>94.98</v>
      </c>
      <c r="H37" s="23">
        <f t="shared" si="4"/>
        <v>120.1497</v>
      </c>
      <c r="I37" s="23">
        <f t="shared" si="5"/>
        <v>528.65868</v>
      </c>
    </row>
    <row r="38" spans="1:9" x14ac:dyDescent="0.25">
      <c r="A38" s="248" t="s">
        <v>47</v>
      </c>
      <c r="B38" s="248"/>
      <c r="C38" s="248"/>
      <c r="D38" s="248"/>
      <c r="E38" s="248"/>
      <c r="F38" s="248"/>
      <c r="G38" s="248"/>
      <c r="H38" s="24"/>
      <c r="I38" s="24">
        <f>SUM(I29:I37)</f>
        <v>27593.071146959996</v>
      </c>
    </row>
    <row r="39" spans="1:9" x14ac:dyDescent="0.25">
      <c r="A39" s="184"/>
      <c r="B39" s="184"/>
      <c r="C39" s="184"/>
      <c r="D39" s="184"/>
      <c r="E39" s="184"/>
      <c r="F39" s="220"/>
      <c r="G39" s="184"/>
      <c r="H39" s="184"/>
      <c r="I39" s="184"/>
    </row>
    <row r="40" spans="1:9" x14ac:dyDescent="0.25">
      <c r="A40" s="20" t="s">
        <v>36</v>
      </c>
      <c r="B40" s="265"/>
      <c r="C40" s="265"/>
      <c r="D40" s="270" t="s">
        <v>179</v>
      </c>
      <c r="E40" s="271"/>
      <c r="F40" s="271"/>
      <c r="G40" s="271"/>
      <c r="H40" s="271"/>
      <c r="I40" s="271"/>
    </row>
    <row r="41" spans="1:9" x14ac:dyDescent="0.25">
      <c r="A41" s="1" t="s">
        <v>4</v>
      </c>
      <c r="B41" s="1" t="str">
        <f>Referências!A11</f>
        <v>98557</v>
      </c>
      <c r="C41" s="1" t="s">
        <v>217</v>
      </c>
      <c r="D41" s="156" t="s">
        <v>425</v>
      </c>
      <c r="E41" s="1" t="s">
        <v>30</v>
      </c>
      <c r="F41" s="170">
        <f>((5.15+8.6+5.15+8.6+4.85+2.1+4.9)*0.15)+2*((5.15+8.6+5.15+8.6+4.85+2.1+4.9)*0.4)</f>
        <v>37.382500000000007</v>
      </c>
      <c r="G41" s="23">
        <f>Referências!E11</f>
        <v>38.47</v>
      </c>
      <c r="H41" s="23">
        <f>G41*$E$4</f>
        <v>48.664549999999991</v>
      </c>
      <c r="I41" s="23">
        <f>H41*F41</f>
        <v>1819.2025403750001</v>
      </c>
    </row>
    <row r="42" spans="1:9" x14ac:dyDescent="0.25">
      <c r="A42" s="1" t="s">
        <v>142</v>
      </c>
      <c r="B42" s="1">
        <f>Referências!G42</f>
        <v>42806</v>
      </c>
      <c r="C42" s="1" t="s">
        <v>29</v>
      </c>
      <c r="D42" s="156" t="s">
        <v>285</v>
      </c>
      <c r="E42" s="1" t="s">
        <v>30</v>
      </c>
      <c r="F42" s="170">
        <f>F52</f>
        <v>47.85</v>
      </c>
      <c r="G42" s="23">
        <f>Referências!M42</f>
        <v>66.400000000000006</v>
      </c>
      <c r="H42" s="23">
        <f>G42*$E$4</f>
        <v>83.995999999999995</v>
      </c>
      <c r="I42" s="23">
        <f t="shared" ref="I42:I43" si="6">H42*F42</f>
        <v>4019.2085999999999</v>
      </c>
    </row>
    <row r="43" spans="1:9" x14ac:dyDescent="0.25">
      <c r="A43" s="1" t="s">
        <v>172</v>
      </c>
      <c r="B43" s="1" t="str">
        <f>Referências!A27</f>
        <v>98557</v>
      </c>
      <c r="C43" s="1" t="s">
        <v>217</v>
      </c>
      <c r="D43" s="156" t="s">
        <v>331</v>
      </c>
      <c r="E43" s="1" t="s">
        <v>30</v>
      </c>
      <c r="F43" s="170">
        <f>3.15+((2.25+1.5+1.5+2.25)*0.5)</f>
        <v>6.9</v>
      </c>
      <c r="G43" s="23">
        <f>Referências!E27</f>
        <v>38.47</v>
      </c>
      <c r="H43" s="23">
        <f>G43*$E$4</f>
        <v>48.664549999999991</v>
      </c>
      <c r="I43" s="23">
        <f t="shared" si="6"/>
        <v>335.78539499999994</v>
      </c>
    </row>
    <row r="44" spans="1:9" x14ac:dyDescent="0.25">
      <c r="A44" s="248" t="s">
        <v>169</v>
      </c>
      <c r="B44" s="248"/>
      <c r="C44" s="248"/>
      <c r="D44" s="248"/>
      <c r="E44" s="248"/>
      <c r="F44" s="248"/>
      <c r="G44" s="248"/>
      <c r="H44" s="24"/>
      <c r="I44" s="24">
        <f>SUM(I41:I43)</f>
        <v>6174.1965353750002</v>
      </c>
    </row>
    <row r="45" spans="1:9" x14ac:dyDescent="0.25">
      <c r="A45" s="184"/>
      <c r="B45" s="184"/>
      <c r="C45" s="184"/>
      <c r="D45" s="184"/>
      <c r="E45" s="184"/>
      <c r="F45" s="220"/>
      <c r="G45" s="184"/>
      <c r="H45" s="184"/>
      <c r="I45" s="184"/>
    </row>
    <row r="46" spans="1:9" x14ac:dyDescent="0.25">
      <c r="A46" s="25" t="s">
        <v>170</v>
      </c>
      <c r="B46" s="231"/>
      <c r="C46" s="232"/>
      <c r="D46" s="233" t="s">
        <v>280</v>
      </c>
      <c r="E46" s="234"/>
      <c r="F46" s="234"/>
      <c r="G46" s="234"/>
      <c r="H46" s="234"/>
      <c r="I46" s="235"/>
    </row>
    <row r="47" spans="1:9" x14ac:dyDescent="0.25">
      <c r="A47" s="14" t="s">
        <v>48</v>
      </c>
      <c r="B47" s="14">
        <v>42662</v>
      </c>
      <c r="C47" s="14" t="s">
        <v>29</v>
      </c>
      <c r="D47" s="22" t="s">
        <v>563</v>
      </c>
      <c r="E47" s="1" t="s">
        <v>30</v>
      </c>
      <c r="F47" s="30">
        <f>(8.6+8.6+5.15+5.15+2.25+1.5)*2.8</f>
        <v>87.5</v>
      </c>
      <c r="G47" s="26">
        <f>37.91+61.45</f>
        <v>99.36</v>
      </c>
      <c r="H47" s="23">
        <f>G47*$E$4</f>
        <v>125.69039999999998</v>
      </c>
      <c r="I47" s="26">
        <f t="shared" ref="I47:I53" si="7">H47*F47</f>
        <v>10997.909999999998</v>
      </c>
    </row>
    <row r="48" spans="1:9" ht="28.5" x14ac:dyDescent="0.25">
      <c r="A48" s="14" t="s">
        <v>49</v>
      </c>
      <c r="B48" s="14" t="str">
        <f>Referências!A30</f>
        <v>87879</v>
      </c>
      <c r="C48" s="14" t="s">
        <v>217</v>
      </c>
      <c r="D48" s="22" t="s">
        <v>385</v>
      </c>
      <c r="E48" s="1" t="s">
        <v>30</v>
      </c>
      <c r="F48" s="30">
        <f>F47</f>
        <v>87.5</v>
      </c>
      <c r="G48" s="26">
        <v>3.94</v>
      </c>
      <c r="H48" s="23">
        <f t="shared" ref="H48:H53" si="8">G48*$E$4</f>
        <v>4.9840999999999998</v>
      </c>
      <c r="I48" s="26">
        <f t="shared" si="7"/>
        <v>436.10874999999999</v>
      </c>
    </row>
    <row r="49" spans="1:10" x14ac:dyDescent="0.25">
      <c r="A49" s="14" t="s">
        <v>50</v>
      </c>
      <c r="B49" s="14">
        <v>43683</v>
      </c>
      <c r="C49" s="14" t="s">
        <v>29</v>
      </c>
      <c r="D49" s="22" t="s">
        <v>386</v>
      </c>
      <c r="E49" s="1" t="s">
        <v>30</v>
      </c>
      <c r="F49" s="30">
        <f>F48</f>
        <v>87.5</v>
      </c>
      <c r="G49" s="26">
        <f>23.48+7.78</f>
        <v>31.26</v>
      </c>
      <c r="H49" s="23">
        <f t="shared" si="8"/>
        <v>39.543900000000001</v>
      </c>
      <c r="I49" s="26">
        <f t="shared" si="7"/>
        <v>3460.0912499999999</v>
      </c>
    </row>
    <row r="50" spans="1:10" x14ac:dyDescent="0.25">
      <c r="A50" s="14" t="s">
        <v>96</v>
      </c>
      <c r="B50" s="14">
        <f>Referências!G56</f>
        <v>42765</v>
      </c>
      <c r="C50" s="14" t="s">
        <v>29</v>
      </c>
      <c r="D50" s="22" t="s">
        <v>287</v>
      </c>
      <c r="E50" s="1" t="s">
        <v>30</v>
      </c>
      <c r="F50" s="30">
        <f>F49-F52</f>
        <v>39.65</v>
      </c>
      <c r="G50" s="26">
        <f>Referências!M56</f>
        <v>29.33</v>
      </c>
      <c r="H50" s="23">
        <f t="shared" si="8"/>
        <v>37.102449999999997</v>
      </c>
      <c r="I50" s="26">
        <f t="shared" si="7"/>
        <v>1471.1121424999999</v>
      </c>
    </row>
    <row r="51" spans="1:10" x14ac:dyDescent="0.25">
      <c r="A51" s="14" t="s">
        <v>253</v>
      </c>
      <c r="B51" s="14">
        <f>Referências!G57</f>
        <v>40222</v>
      </c>
      <c r="C51" s="14" t="s">
        <v>29</v>
      </c>
      <c r="D51" s="22" t="s">
        <v>347</v>
      </c>
      <c r="E51" s="1" t="s">
        <v>30</v>
      </c>
      <c r="F51" s="30">
        <f>36.54+3.15</f>
        <v>39.69</v>
      </c>
      <c r="G51" s="26">
        <f>Referências!M57</f>
        <v>60.36</v>
      </c>
      <c r="H51" s="23">
        <f t="shared" si="8"/>
        <v>76.355399999999989</v>
      </c>
      <c r="I51" s="26">
        <f t="shared" si="7"/>
        <v>3030.5458259999996</v>
      </c>
    </row>
    <row r="52" spans="1:10" ht="28.5" x14ac:dyDescent="0.25">
      <c r="A52" s="14" t="s">
        <v>258</v>
      </c>
      <c r="B52" s="14" t="str">
        <f>Referências!A32</f>
        <v>87273</v>
      </c>
      <c r="C52" s="14" t="s">
        <v>217</v>
      </c>
      <c r="D52" s="22" t="s">
        <v>562</v>
      </c>
      <c r="E52" s="1" t="s">
        <v>30</v>
      </c>
      <c r="F52" s="30">
        <f>1.5*(2.1+2.1+1.5+1.5)+((4.85+6.65+2.25+1.65+8.3+2.6)*1.5)-(1.5*0.8*2)</f>
        <v>47.85</v>
      </c>
      <c r="G52" s="26">
        <v>59.67</v>
      </c>
      <c r="H52" s="23">
        <f t="shared" si="8"/>
        <v>75.482550000000003</v>
      </c>
      <c r="I52" s="26">
        <f t="shared" si="7"/>
        <v>3611.8400175000002</v>
      </c>
    </row>
    <row r="53" spans="1:10" x14ac:dyDescent="0.25">
      <c r="A53" s="14" t="s">
        <v>317</v>
      </c>
      <c r="B53" s="14">
        <f>Referências!G58</f>
        <v>43268</v>
      </c>
      <c r="C53" s="14" t="s">
        <v>29</v>
      </c>
      <c r="D53" s="22" t="s">
        <v>188</v>
      </c>
      <c r="E53" s="1" t="s">
        <v>30</v>
      </c>
      <c r="F53" s="30">
        <f>36.54+3.15</f>
        <v>39.69</v>
      </c>
      <c r="G53" s="26">
        <f>Referências!M58</f>
        <v>36.519999999999996</v>
      </c>
      <c r="H53" s="23">
        <f t="shared" si="8"/>
        <v>46.197799999999994</v>
      </c>
      <c r="I53" s="26">
        <f t="shared" si="7"/>
        <v>1833.5906819999996</v>
      </c>
    </row>
    <row r="54" spans="1:10" x14ac:dyDescent="0.25">
      <c r="A54" s="248" t="s">
        <v>51</v>
      </c>
      <c r="B54" s="248"/>
      <c r="C54" s="248"/>
      <c r="D54" s="248"/>
      <c r="E54" s="248"/>
      <c r="F54" s="248"/>
      <c r="G54" s="248"/>
      <c r="H54" s="24"/>
      <c r="I54" s="24">
        <f>SUM(I47:I53)</f>
        <v>24841.198667999994</v>
      </c>
    </row>
    <row r="55" spans="1:10" x14ac:dyDescent="0.25">
      <c r="A55" s="184"/>
      <c r="B55" s="184"/>
      <c r="C55" s="184"/>
      <c r="D55" s="184"/>
      <c r="E55" s="184"/>
      <c r="F55" s="220"/>
      <c r="G55" s="184"/>
      <c r="H55" s="184"/>
      <c r="I55" s="184"/>
    </row>
    <row r="56" spans="1:10" x14ac:dyDescent="0.25">
      <c r="A56" s="25" t="s">
        <v>38</v>
      </c>
      <c r="B56" s="231"/>
      <c r="C56" s="232"/>
      <c r="D56" s="233" t="s">
        <v>281</v>
      </c>
      <c r="E56" s="234"/>
      <c r="F56" s="234"/>
      <c r="G56" s="234"/>
      <c r="H56" s="234"/>
      <c r="I56" s="235"/>
    </row>
    <row r="57" spans="1:10" ht="42.75" x14ac:dyDescent="0.25">
      <c r="A57" s="14" t="s">
        <v>15</v>
      </c>
      <c r="B57" s="1">
        <v>90843</v>
      </c>
      <c r="C57" s="14" t="s">
        <v>217</v>
      </c>
      <c r="D57" s="22" t="s">
        <v>559</v>
      </c>
      <c r="E57" s="1" t="s">
        <v>205</v>
      </c>
      <c r="F57" s="30">
        <v>1</v>
      </c>
      <c r="G57" s="26">
        <v>1015.24</v>
      </c>
      <c r="H57" s="23">
        <f>G57*$E$4</f>
        <v>1284.2785999999999</v>
      </c>
      <c r="I57" s="26">
        <f t="shared" ref="I57:I61" si="9">H57*F57</f>
        <v>1284.2785999999999</v>
      </c>
      <c r="J57" s="161"/>
    </row>
    <row r="58" spans="1:10" x14ac:dyDescent="0.25">
      <c r="A58" s="14" t="s">
        <v>52</v>
      </c>
      <c r="B58" s="1">
        <f>Referências!G30</f>
        <v>42700</v>
      </c>
      <c r="C58" s="1" t="s">
        <v>29</v>
      </c>
      <c r="D58" s="22" t="s">
        <v>256</v>
      </c>
      <c r="E58" s="1" t="s">
        <v>30</v>
      </c>
      <c r="F58" s="30">
        <f>(0.8*2.1)</f>
        <v>1.6800000000000002</v>
      </c>
      <c r="G58" s="26">
        <f>Referências!M30</f>
        <v>610.29</v>
      </c>
      <c r="H58" s="23">
        <f t="shared" ref="H58:H61" si="10">G58*$E$4</f>
        <v>772.01684999999986</v>
      </c>
      <c r="I58" s="26">
        <f t="shared" si="9"/>
        <v>1296.988308</v>
      </c>
    </row>
    <row r="59" spans="1:10" x14ac:dyDescent="0.25">
      <c r="A59" s="14" t="s">
        <v>168</v>
      </c>
      <c r="B59" s="1" t="str">
        <f>Referências!A9</f>
        <v>94569</v>
      </c>
      <c r="C59" s="1" t="s">
        <v>217</v>
      </c>
      <c r="D59" s="22" t="s">
        <v>252</v>
      </c>
      <c r="E59" s="1" t="s">
        <v>30</v>
      </c>
      <c r="F59" s="30">
        <f>(1.8*1.2*2)+(0.6*0.6)</f>
        <v>4.6800000000000006</v>
      </c>
      <c r="G59" s="26">
        <v>751.18</v>
      </c>
      <c r="H59" s="23">
        <f t="shared" si="10"/>
        <v>950.2426999999999</v>
      </c>
      <c r="I59" s="26">
        <f t="shared" si="9"/>
        <v>4447.1358360000004</v>
      </c>
    </row>
    <row r="60" spans="1:10" x14ac:dyDescent="0.25">
      <c r="A60" s="14" t="s">
        <v>353</v>
      </c>
      <c r="B60" s="1">
        <f>Referências!G49</f>
        <v>43865</v>
      </c>
      <c r="C60" s="1" t="s">
        <v>29</v>
      </c>
      <c r="D60" s="22" t="s">
        <v>560</v>
      </c>
      <c r="E60" s="1" t="s">
        <v>42</v>
      </c>
      <c r="F60" s="30">
        <f>1.8+1.8+0.6+0.9+0.8</f>
        <v>5.9</v>
      </c>
      <c r="G60" s="26">
        <f>Referências!M49</f>
        <v>93.06</v>
      </c>
      <c r="H60" s="23">
        <f t="shared" si="10"/>
        <v>117.7209</v>
      </c>
      <c r="I60" s="26">
        <f t="shared" si="9"/>
        <v>694.55331000000001</v>
      </c>
    </row>
    <row r="61" spans="1:10" ht="28.5" x14ac:dyDescent="0.25">
      <c r="A61" s="14" t="s">
        <v>354</v>
      </c>
      <c r="B61" s="1" t="str">
        <f>Referências!A36</f>
        <v>90830</v>
      </c>
      <c r="C61" s="1" t="s">
        <v>217</v>
      </c>
      <c r="D61" s="22" t="s">
        <v>291</v>
      </c>
      <c r="E61" s="1" t="s">
        <v>205</v>
      </c>
      <c r="F61" s="30">
        <v>1</v>
      </c>
      <c r="G61" s="26">
        <v>157.99</v>
      </c>
      <c r="H61" s="23">
        <f t="shared" si="10"/>
        <v>199.85735</v>
      </c>
      <c r="I61" s="26">
        <f t="shared" si="9"/>
        <v>199.85735</v>
      </c>
    </row>
    <row r="62" spans="1:10" x14ac:dyDescent="0.25">
      <c r="A62" s="248" t="s">
        <v>53</v>
      </c>
      <c r="B62" s="248"/>
      <c r="C62" s="248"/>
      <c r="D62" s="248"/>
      <c r="E62" s="248"/>
      <c r="F62" s="248"/>
      <c r="G62" s="248"/>
      <c r="H62" s="24"/>
      <c r="I62" s="24">
        <f>SUM(I57:I61)</f>
        <v>7922.8134040000004</v>
      </c>
    </row>
    <row r="64" spans="1:10" x14ac:dyDescent="0.25">
      <c r="A64" s="25" t="s">
        <v>182</v>
      </c>
      <c r="B64" s="231"/>
      <c r="C64" s="232"/>
      <c r="D64" s="233" t="s">
        <v>180</v>
      </c>
      <c r="E64" s="234"/>
      <c r="F64" s="234"/>
      <c r="G64" s="234"/>
      <c r="H64" s="234"/>
      <c r="I64" s="235"/>
    </row>
    <row r="65" spans="1:9" x14ac:dyDescent="0.25">
      <c r="A65" s="28" t="s">
        <v>196</v>
      </c>
      <c r="B65" s="1">
        <v>92541</v>
      </c>
      <c r="C65" s="1" t="s">
        <v>217</v>
      </c>
      <c r="D65" s="22" t="s">
        <v>292</v>
      </c>
      <c r="E65" s="1" t="s">
        <v>30</v>
      </c>
      <c r="F65" s="170">
        <v>59</v>
      </c>
      <c r="G65" s="153">
        <v>80.44</v>
      </c>
      <c r="H65" s="29">
        <f t="shared" ref="H65:H71" si="11">G65*$E$4</f>
        <v>101.75659999999999</v>
      </c>
      <c r="I65" s="27">
        <f t="shared" ref="I65:I71" si="12">H65*F65</f>
        <v>6003.6393999999991</v>
      </c>
    </row>
    <row r="66" spans="1:9" ht="28.5" x14ac:dyDescent="0.25">
      <c r="A66" s="28" t="s">
        <v>197</v>
      </c>
      <c r="B66" s="1" t="str">
        <f>Referências!A28</f>
        <v>94207</v>
      </c>
      <c r="C66" s="1" t="s">
        <v>217</v>
      </c>
      <c r="D66" s="22" t="s">
        <v>435</v>
      </c>
      <c r="E66" s="1" t="s">
        <v>30</v>
      </c>
      <c r="F66" s="170">
        <f>F65</f>
        <v>59</v>
      </c>
      <c r="G66" s="153">
        <v>45.22</v>
      </c>
      <c r="H66" s="29">
        <f t="shared" si="11"/>
        <v>57.203299999999992</v>
      </c>
      <c r="I66" s="27">
        <f t="shared" si="12"/>
        <v>3374.9946999999993</v>
      </c>
    </row>
    <row r="67" spans="1:9" x14ac:dyDescent="0.25">
      <c r="A67" s="28" t="s">
        <v>198</v>
      </c>
      <c r="B67" s="1" t="str">
        <f>Referências!A24</f>
        <v>94227</v>
      </c>
      <c r="C67" s="1" t="s">
        <v>217</v>
      </c>
      <c r="D67" s="22" t="s">
        <v>293</v>
      </c>
      <c r="E67" s="1" t="s">
        <v>42</v>
      </c>
      <c r="F67" s="170">
        <f>9.6+11.68</f>
        <v>21.28</v>
      </c>
      <c r="G67" s="153">
        <v>72.91</v>
      </c>
      <c r="H67" s="29">
        <f t="shared" si="11"/>
        <v>92.231149999999985</v>
      </c>
      <c r="I67" s="27">
        <f t="shared" si="12"/>
        <v>1962.6788719999997</v>
      </c>
    </row>
    <row r="68" spans="1:9" x14ac:dyDescent="0.25">
      <c r="A68" s="28" t="s">
        <v>199</v>
      </c>
      <c r="B68" s="1">
        <f>Referências!G45</f>
        <v>42751</v>
      </c>
      <c r="C68" s="1" t="s">
        <v>29</v>
      </c>
      <c r="D68" s="22" t="s">
        <v>294</v>
      </c>
      <c r="E68" s="1" t="s">
        <v>42</v>
      </c>
      <c r="F68" s="170">
        <f>9.6+9.6</f>
        <v>19.2</v>
      </c>
      <c r="G68" s="153">
        <f>Referências!M45</f>
        <v>43.019999999999996</v>
      </c>
      <c r="H68" s="29">
        <f t="shared" si="11"/>
        <v>54.42029999999999</v>
      </c>
      <c r="I68" s="27">
        <f t="shared" si="12"/>
        <v>1044.8697599999998</v>
      </c>
    </row>
    <row r="69" spans="1:9" ht="28.5" x14ac:dyDescent="0.25">
      <c r="A69" s="28" t="s">
        <v>573</v>
      </c>
      <c r="B69" s="1" t="str">
        <f>Referências!A34</f>
        <v>94223</v>
      </c>
      <c r="C69" s="1" t="s">
        <v>217</v>
      </c>
      <c r="D69" s="22" t="s">
        <v>438</v>
      </c>
      <c r="E69" s="1" t="s">
        <v>42</v>
      </c>
      <c r="F69" s="170">
        <f>9.6</f>
        <v>9.6</v>
      </c>
      <c r="G69" s="153">
        <v>79.819999999999993</v>
      </c>
      <c r="H69" s="29">
        <f t="shared" si="11"/>
        <v>100.97229999999999</v>
      </c>
      <c r="I69" s="27">
        <f t="shared" si="12"/>
        <v>969.33407999999986</v>
      </c>
    </row>
    <row r="70" spans="1:9" x14ac:dyDescent="0.25">
      <c r="A70" s="28" t="s">
        <v>389</v>
      </c>
      <c r="B70" s="1">
        <v>96111</v>
      </c>
      <c r="C70" s="1" t="s">
        <v>217</v>
      </c>
      <c r="D70" s="22" t="s">
        <v>583</v>
      </c>
      <c r="E70" s="1" t="s">
        <v>30</v>
      </c>
      <c r="F70" s="170">
        <f>F53+(59-44)</f>
        <v>54.69</v>
      </c>
      <c r="G70" s="153">
        <v>66.989999999999995</v>
      </c>
      <c r="H70" s="29">
        <f t="shared" si="11"/>
        <v>84.742349999999988</v>
      </c>
      <c r="I70" s="27">
        <f t="shared" si="12"/>
        <v>4634.5591214999995</v>
      </c>
    </row>
    <row r="71" spans="1:9" x14ac:dyDescent="0.25">
      <c r="A71" s="28" t="s">
        <v>587</v>
      </c>
      <c r="B71" s="1">
        <v>40138</v>
      </c>
      <c r="C71" s="1" t="s">
        <v>29</v>
      </c>
      <c r="D71" s="22" t="s">
        <v>586</v>
      </c>
      <c r="E71" s="1" t="s">
        <v>42</v>
      </c>
      <c r="F71" s="170">
        <f>4.85+6.65+2.25+1.65+2.6+8.3+1.5+1.5+2.25+2.25</f>
        <v>33.799999999999997</v>
      </c>
      <c r="G71" s="153">
        <f>13.26+6.88</f>
        <v>20.14</v>
      </c>
      <c r="H71" s="29">
        <f t="shared" si="11"/>
        <v>25.4771</v>
      </c>
      <c r="I71" s="27">
        <f t="shared" si="12"/>
        <v>861.12597999999991</v>
      </c>
    </row>
    <row r="72" spans="1:9" x14ac:dyDescent="0.25">
      <c r="A72" s="236" t="s">
        <v>192</v>
      </c>
      <c r="B72" s="237"/>
      <c r="C72" s="237"/>
      <c r="D72" s="237"/>
      <c r="E72" s="237"/>
      <c r="F72" s="237"/>
      <c r="G72" s="238"/>
      <c r="H72" s="24"/>
      <c r="I72" s="24">
        <f>SUM(I65:I71)</f>
        <v>18851.201913500001</v>
      </c>
    </row>
    <row r="73" spans="1:9" x14ac:dyDescent="0.25">
      <c r="A73" s="184"/>
      <c r="B73" s="184"/>
      <c r="C73" s="184"/>
      <c r="D73" s="184"/>
      <c r="E73" s="184"/>
      <c r="F73" s="220"/>
      <c r="G73" s="184"/>
      <c r="H73" s="184"/>
      <c r="I73" s="184"/>
    </row>
    <row r="74" spans="1:9" x14ac:dyDescent="0.25">
      <c r="A74" s="25" t="s">
        <v>183</v>
      </c>
      <c r="B74" s="231"/>
      <c r="C74" s="232"/>
      <c r="D74" s="233" t="s">
        <v>181</v>
      </c>
      <c r="E74" s="234"/>
      <c r="F74" s="234"/>
      <c r="G74" s="234"/>
      <c r="H74" s="234"/>
      <c r="I74" s="235"/>
    </row>
    <row r="75" spans="1:9" x14ac:dyDescent="0.25">
      <c r="A75" s="28" t="s">
        <v>200</v>
      </c>
      <c r="B75" s="1">
        <f>Referências!G70</f>
        <v>43382</v>
      </c>
      <c r="C75" s="1" t="s">
        <v>29</v>
      </c>
      <c r="D75" s="22" t="s">
        <v>443</v>
      </c>
      <c r="E75" s="1" t="s">
        <v>205</v>
      </c>
      <c r="F75" s="30">
        <v>3</v>
      </c>
      <c r="G75" s="153">
        <f>Referências!M70</f>
        <v>11.48</v>
      </c>
      <c r="H75" s="29">
        <f t="shared" ref="H75:H82" si="13">G75*$E$4</f>
        <v>14.5222</v>
      </c>
      <c r="I75" s="27">
        <f t="shared" ref="I75:I82" si="14">H75*F75</f>
        <v>43.566600000000001</v>
      </c>
    </row>
    <row r="76" spans="1:9" ht="28.5" x14ac:dyDescent="0.25">
      <c r="A76" s="28" t="s">
        <v>232</v>
      </c>
      <c r="B76" s="1" t="str">
        <f>Referências!A66</f>
        <v>93137</v>
      </c>
      <c r="C76" s="1" t="s">
        <v>217</v>
      </c>
      <c r="D76" s="22" t="s">
        <v>558</v>
      </c>
      <c r="E76" s="1" t="s">
        <v>205</v>
      </c>
      <c r="F76" s="30">
        <v>4</v>
      </c>
      <c r="G76" s="153">
        <v>182.09</v>
      </c>
      <c r="H76" s="29">
        <f t="shared" si="13"/>
        <v>230.34384999999997</v>
      </c>
      <c r="I76" s="27">
        <f t="shared" si="14"/>
        <v>921.3753999999999</v>
      </c>
    </row>
    <row r="77" spans="1:9" ht="28.5" x14ac:dyDescent="0.25">
      <c r="A77" s="28" t="s">
        <v>233</v>
      </c>
      <c r="B77" s="1" t="str">
        <f>Referências!A51</f>
        <v>93128</v>
      </c>
      <c r="C77" s="1" t="s">
        <v>217</v>
      </c>
      <c r="D77" s="22" t="s">
        <v>449</v>
      </c>
      <c r="E77" s="1" t="s">
        <v>205</v>
      </c>
      <c r="F77" s="30">
        <v>2</v>
      </c>
      <c r="G77" s="153">
        <v>153.16999999999999</v>
      </c>
      <c r="H77" s="29">
        <f t="shared" si="13"/>
        <v>193.76004999999998</v>
      </c>
      <c r="I77" s="27">
        <f t="shared" si="14"/>
        <v>387.52009999999996</v>
      </c>
    </row>
    <row r="78" spans="1:9" ht="28.5" x14ac:dyDescent="0.25">
      <c r="A78" s="28" t="s">
        <v>234</v>
      </c>
      <c r="B78" s="1" t="str">
        <f>Referências!A52</f>
        <v>93141</v>
      </c>
      <c r="C78" s="1" t="s">
        <v>217</v>
      </c>
      <c r="D78" s="22" t="s">
        <v>450</v>
      </c>
      <c r="E78" s="1" t="s">
        <v>205</v>
      </c>
      <c r="F78" s="30">
        <v>4</v>
      </c>
      <c r="G78" s="153">
        <v>186.47</v>
      </c>
      <c r="H78" s="29">
        <f t="shared" si="13"/>
        <v>235.88454999999999</v>
      </c>
      <c r="I78" s="27">
        <f t="shared" si="14"/>
        <v>943.53819999999996</v>
      </c>
    </row>
    <row r="79" spans="1:9" ht="28.5" x14ac:dyDescent="0.25">
      <c r="A79" s="28" t="s">
        <v>235</v>
      </c>
      <c r="B79" s="1" t="str">
        <f>Referências!A53</f>
        <v>93142</v>
      </c>
      <c r="C79" s="1" t="s">
        <v>217</v>
      </c>
      <c r="D79" s="22" t="s">
        <v>451</v>
      </c>
      <c r="E79" s="1" t="s">
        <v>205</v>
      </c>
      <c r="F79" s="30">
        <v>1</v>
      </c>
      <c r="G79" s="153">
        <v>208.88</v>
      </c>
      <c r="H79" s="29">
        <f t="shared" si="13"/>
        <v>264.23319999999995</v>
      </c>
      <c r="I79" s="27">
        <f t="shared" si="14"/>
        <v>264.23319999999995</v>
      </c>
    </row>
    <row r="80" spans="1:9" ht="28.5" x14ac:dyDescent="0.25">
      <c r="A80" s="28" t="s">
        <v>236</v>
      </c>
      <c r="B80" s="1" t="str">
        <f>Referências!A54</f>
        <v>93143</v>
      </c>
      <c r="C80" s="1" t="s">
        <v>217</v>
      </c>
      <c r="D80" s="22" t="s">
        <v>452</v>
      </c>
      <c r="E80" s="1" t="s">
        <v>205</v>
      </c>
      <c r="F80" s="30">
        <v>1</v>
      </c>
      <c r="G80" s="153">
        <v>189.05</v>
      </c>
      <c r="H80" s="29">
        <f t="shared" si="13"/>
        <v>239.14824999999999</v>
      </c>
      <c r="I80" s="27">
        <f t="shared" si="14"/>
        <v>239.14824999999999</v>
      </c>
    </row>
    <row r="81" spans="1:9" ht="28.5" x14ac:dyDescent="0.25">
      <c r="A81" s="28" t="s">
        <v>237</v>
      </c>
      <c r="B81" s="1">
        <f>Referências!G73</f>
        <v>40165</v>
      </c>
      <c r="C81" s="1" t="s">
        <v>29</v>
      </c>
      <c r="D81" s="22" t="s">
        <v>457</v>
      </c>
      <c r="E81" s="1" t="s">
        <v>205</v>
      </c>
      <c r="F81" s="30">
        <v>4</v>
      </c>
      <c r="G81" s="153">
        <f>Referências!M73</f>
        <v>175.91</v>
      </c>
      <c r="H81" s="29">
        <f t="shared" si="13"/>
        <v>222.52614999999997</v>
      </c>
      <c r="I81" s="27">
        <f t="shared" si="14"/>
        <v>890.10459999999989</v>
      </c>
    </row>
    <row r="82" spans="1:9" x14ac:dyDescent="0.25">
      <c r="A82" s="28" t="s">
        <v>238</v>
      </c>
      <c r="B82" s="1" t="str">
        <f>Referências!A55</f>
        <v>97591</v>
      </c>
      <c r="C82" s="1" t="s">
        <v>217</v>
      </c>
      <c r="D82" s="205" t="s">
        <v>459</v>
      </c>
      <c r="E82" s="1" t="s">
        <v>205</v>
      </c>
      <c r="F82" s="30">
        <v>2</v>
      </c>
      <c r="G82" s="153">
        <v>161.65</v>
      </c>
      <c r="H82" s="29">
        <f t="shared" si="13"/>
        <v>204.48724999999999</v>
      </c>
      <c r="I82" s="27">
        <f t="shared" si="14"/>
        <v>408.97449999999998</v>
      </c>
    </row>
    <row r="83" spans="1:9" x14ac:dyDescent="0.25">
      <c r="A83" s="236" t="s">
        <v>193</v>
      </c>
      <c r="B83" s="237"/>
      <c r="C83" s="237"/>
      <c r="D83" s="237"/>
      <c r="E83" s="237"/>
      <c r="F83" s="237"/>
      <c r="G83" s="238"/>
      <c r="H83" s="24"/>
      <c r="I83" s="24">
        <f>SUM(I75:I82)</f>
        <v>4098.4608500000004</v>
      </c>
    </row>
    <row r="84" spans="1:9" x14ac:dyDescent="0.25">
      <c r="A84" s="184"/>
      <c r="B84" s="184"/>
      <c r="C84" s="184"/>
      <c r="D84" s="184"/>
      <c r="E84" s="184"/>
      <c r="F84" s="220"/>
      <c r="G84" s="184"/>
      <c r="H84" s="184"/>
      <c r="I84" s="184"/>
    </row>
    <row r="85" spans="1:9" x14ac:dyDescent="0.25">
      <c r="A85" s="25" t="s">
        <v>184</v>
      </c>
      <c r="B85" s="231"/>
      <c r="C85" s="232"/>
      <c r="D85" s="233" t="s">
        <v>481</v>
      </c>
      <c r="E85" s="234"/>
      <c r="F85" s="234"/>
      <c r="G85" s="234"/>
      <c r="H85" s="234"/>
      <c r="I85" s="235"/>
    </row>
    <row r="86" spans="1:9" x14ac:dyDescent="0.25">
      <c r="A86" s="28" t="s">
        <v>201</v>
      </c>
      <c r="B86" s="1">
        <f>Referências!G74</f>
        <v>42932</v>
      </c>
      <c r="C86" s="1" t="s">
        <v>29</v>
      </c>
      <c r="D86" s="22" t="s">
        <v>492</v>
      </c>
      <c r="E86" s="1" t="s">
        <v>205</v>
      </c>
      <c r="F86" s="170">
        <v>1</v>
      </c>
      <c r="G86" s="153">
        <f>Referências!M74</f>
        <v>73.820000000000007</v>
      </c>
      <c r="H86" s="29">
        <f>G86*$E$4</f>
        <v>93.382300000000001</v>
      </c>
      <c r="I86" s="27">
        <f t="shared" ref="I86:I96" si="15">H86*F86</f>
        <v>93.382300000000001</v>
      </c>
    </row>
    <row r="87" spans="1:9" ht="42.75" x14ac:dyDescent="0.25">
      <c r="A87" s="28" t="s">
        <v>202</v>
      </c>
      <c r="B87" s="1" t="str">
        <f>Referências!A56</f>
        <v>89957</v>
      </c>
      <c r="C87" s="1" t="s">
        <v>217</v>
      </c>
      <c r="D87" s="22" t="s">
        <v>482</v>
      </c>
      <c r="E87" s="1" t="s">
        <v>205</v>
      </c>
      <c r="F87" s="170">
        <v>2</v>
      </c>
      <c r="G87" s="153">
        <v>130.61000000000001</v>
      </c>
      <c r="H87" s="29">
        <f t="shared" ref="H87:H96" si="16">G87*$E$4</f>
        <v>165.22165000000001</v>
      </c>
      <c r="I87" s="27">
        <f t="shared" si="15"/>
        <v>330.44330000000002</v>
      </c>
    </row>
    <row r="88" spans="1:9" x14ac:dyDescent="0.25">
      <c r="A88" s="28" t="s">
        <v>330</v>
      </c>
      <c r="B88" s="1">
        <v>43030</v>
      </c>
      <c r="C88" s="1" t="s">
        <v>29</v>
      </c>
      <c r="D88" s="22" t="s">
        <v>571</v>
      </c>
      <c r="E88" s="1" t="s">
        <v>205</v>
      </c>
      <c r="F88" s="170">
        <v>3</v>
      </c>
      <c r="G88" s="153">
        <f>227.46+147.69</f>
        <v>375.15</v>
      </c>
      <c r="H88" s="29">
        <f t="shared" si="16"/>
        <v>474.56474999999995</v>
      </c>
      <c r="I88" s="27">
        <f t="shared" si="15"/>
        <v>1423.6942499999998</v>
      </c>
    </row>
    <row r="89" spans="1:9" ht="29.25" x14ac:dyDescent="0.25">
      <c r="A89" s="28" t="s">
        <v>361</v>
      </c>
      <c r="B89" s="1">
        <v>43154</v>
      </c>
      <c r="C89" s="1" t="s">
        <v>29</v>
      </c>
      <c r="D89" s="227" t="s">
        <v>569</v>
      </c>
      <c r="E89" s="1" t="s">
        <v>268</v>
      </c>
      <c r="F89" s="170">
        <f>1.5*1*1.5</f>
        <v>2.25</v>
      </c>
      <c r="G89" s="153">
        <f>343.24+354.63</f>
        <v>697.87</v>
      </c>
      <c r="H89" s="29">
        <f t="shared" si="16"/>
        <v>882.80554999999993</v>
      </c>
      <c r="I89" s="27">
        <f t="shared" si="15"/>
        <v>1986.3124874999999</v>
      </c>
    </row>
    <row r="90" spans="1:9" ht="28.5" x14ac:dyDescent="0.25">
      <c r="A90" s="28" t="s">
        <v>390</v>
      </c>
      <c r="B90" s="1">
        <v>43153</v>
      </c>
      <c r="C90" s="1" t="s">
        <v>29</v>
      </c>
      <c r="D90" s="22" t="s">
        <v>570</v>
      </c>
      <c r="E90" s="1" t="s">
        <v>268</v>
      </c>
      <c r="F90" s="170">
        <v>2</v>
      </c>
      <c r="G90" s="153">
        <f>334.56+387.69</f>
        <v>722.25</v>
      </c>
      <c r="H90" s="29">
        <f t="shared" si="16"/>
        <v>913.6462499999999</v>
      </c>
      <c r="I90" s="27">
        <f t="shared" si="15"/>
        <v>1827.2924999999998</v>
      </c>
    </row>
    <row r="91" spans="1:9" x14ac:dyDescent="0.25">
      <c r="A91" s="28" t="s">
        <v>391</v>
      </c>
      <c r="B91" s="1">
        <v>43189</v>
      </c>
      <c r="C91" s="1" t="s">
        <v>29</v>
      </c>
      <c r="D91" s="22" t="s">
        <v>578</v>
      </c>
      <c r="E91" s="1" t="s">
        <v>205</v>
      </c>
      <c r="F91" s="170">
        <v>1</v>
      </c>
      <c r="G91" s="153">
        <f>59.11+18</f>
        <v>77.11</v>
      </c>
      <c r="H91" s="29">
        <f t="shared" si="16"/>
        <v>97.544149999999988</v>
      </c>
      <c r="I91" s="27">
        <f t="shared" si="15"/>
        <v>97.544149999999988</v>
      </c>
    </row>
    <row r="92" spans="1:9" x14ac:dyDescent="0.25">
      <c r="A92" s="28" t="s">
        <v>392</v>
      </c>
      <c r="B92" s="1">
        <v>42959</v>
      </c>
      <c r="C92" s="1" t="s">
        <v>29</v>
      </c>
      <c r="D92" s="22" t="s">
        <v>579</v>
      </c>
      <c r="E92" s="1" t="s">
        <v>205</v>
      </c>
      <c r="F92" s="30">
        <v>1</v>
      </c>
      <c r="G92" s="153">
        <f>27.58+46.52</f>
        <v>74.099999999999994</v>
      </c>
      <c r="H92" s="29">
        <f t="shared" si="16"/>
        <v>93.736499999999992</v>
      </c>
      <c r="I92" s="27">
        <f t="shared" si="15"/>
        <v>93.736499999999992</v>
      </c>
    </row>
    <row r="93" spans="1:9" x14ac:dyDescent="0.25">
      <c r="A93" s="28" t="s">
        <v>393</v>
      </c>
      <c r="B93" s="1">
        <v>42968</v>
      </c>
      <c r="C93" s="1" t="s">
        <v>29</v>
      </c>
      <c r="D93" s="22" t="s">
        <v>580</v>
      </c>
      <c r="E93" s="1" t="s">
        <v>205</v>
      </c>
      <c r="F93" s="30">
        <v>1</v>
      </c>
      <c r="G93" s="153">
        <f>27.58+49.48</f>
        <v>77.06</v>
      </c>
      <c r="H93" s="29">
        <f t="shared" si="16"/>
        <v>97.480899999999991</v>
      </c>
      <c r="I93" s="27">
        <f t="shared" si="15"/>
        <v>97.480899999999991</v>
      </c>
    </row>
    <row r="94" spans="1:9" x14ac:dyDescent="0.25">
      <c r="A94" s="28" t="s">
        <v>394</v>
      </c>
      <c r="B94" s="1" t="str">
        <f>Referências!A60</f>
        <v>89512</v>
      </c>
      <c r="C94" s="1" t="s">
        <v>217</v>
      </c>
      <c r="D94" s="22" t="s">
        <v>503</v>
      </c>
      <c r="E94" s="1" t="s">
        <v>42</v>
      </c>
      <c r="F94" s="30">
        <f>5.19+38</f>
        <v>43.19</v>
      </c>
      <c r="G94" s="153">
        <v>67.48</v>
      </c>
      <c r="H94" s="29">
        <f t="shared" si="16"/>
        <v>85.362200000000001</v>
      </c>
      <c r="I94" s="27">
        <f t="shared" si="15"/>
        <v>3686.7934179999997</v>
      </c>
    </row>
    <row r="95" spans="1:9" x14ac:dyDescent="0.25">
      <c r="A95" s="28" t="s">
        <v>395</v>
      </c>
      <c r="B95" s="14" t="s">
        <v>244</v>
      </c>
      <c r="C95" s="1" t="s">
        <v>217</v>
      </c>
      <c r="D95" s="22" t="s">
        <v>581</v>
      </c>
      <c r="E95" s="1" t="s">
        <v>42</v>
      </c>
      <c r="F95" s="30">
        <v>8</v>
      </c>
      <c r="G95" s="153">
        <v>54.66</v>
      </c>
      <c r="H95" s="29">
        <f t="shared" si="16"/>
        <v>69.144899999999993</v>
      </c>
      <c r="I95" s="27">
        <f t="shared" si="15"/>
        <v>553.15919999999994</v>
      </c>
    </row>
    <row r="96" spans="1:9" x14ac:dyDescent="0.25">
      <c r="A96" s="28" t="s">
        <v>396</v>
      </c>
      <c r="B96" s="1">
        <f>Referências!G79</f>
        <v>43191</v>
      </c>
      <c r="C96" s="1" t="s">
        <v>29</v>
      </c>
      <c r="D96" s="22" t="s">
        <v>511</v>
      </c>
      <c r="E96" s="1" t="s">
        <v>205</v>
      </c>
      <c r="F96" s="30">
        <v>1</v>
      </c>
      <c r="G96" s="153">
        <f>Referências!M79</f>
        <v>23.46</v>
      </c>
      <c r="H96" s="29">
        <f t="shared" si="16"/>
        <v>29.6769</v>
      </c>
      <c r="I96" s="27">
        <f t="shared" si="15"/>
        <v>29.6769</v>
      </c>
    </row>
    <row r="97" spans="1:9" x14ac:dyDescent="0.25">
      <c r="A97" s="236" t="s">
        <v>194</v>
      </c>
      <c r="B97" s="237"/>
      <c r="C97" s="237"/>
      <c r="D97" s="237"/>
      <c r="E97" s="237"/>
      <c r="F97" s="237"/>
      <c r="G97" s="238"/>
      <c r="H97" s="24"/>
      <c r="I97" s="24">
        <f>SUM(I86:I96)</f>
        <v>10219.515905499999</v>
      </c>
    </row>
    <row r="98" spans="1:9" x14ac:dyDescent="0.25">
      <c r="A98" s="184"/>
      <c r="B98" s="184"/>
      <c r="C98" s="184"/>
      <c r="D98" s="184"/>
      <c r="E98" s="184"/>
      <c r="F98" s="220"/>
      <c r="G98" s="184"/>
      <c r="H98" s="184"/>
      <c r="I98" s="184"/>
    </row>
    <row r="99" spans="1:9" x14ac:dyDescent="0.25">
      <c r="A99" s="25" t="s">
        <v>185</v>
      </c>
      <c r="B99" s="231"/>
      <c r="C99" s="232"/>
      <c r="D99" s="233" t="s">
        <v>485</v>
      </c>
      <c r="E99" s="234"/>
      <c r="F99" s="234"/>
      <c r="G99" s="234"/>
      <c r="H99" s="234"/>
      <c r="I99" s="235"/>
    </row>
    <row r="100" spans="1:9" ht="28.5" x14ac:dyDescent="0.25">
      <c r="A100" s="28" t="s">
        <v>203</v>
      </c>
      <c r="B100" s="28" t="s">
        <v>566</v>
      </c>
      <c r="C100" s="1" t="s">
        <v>217</v>
      </c>
      <c r="D100" s="22" t="s">
        <v>568</v>
      </c>
      <c r="E100" s="1" t="s">
        <v>205</v>
      </c>
      <c r="F100" s="30">
        <v>1</v>
      </c>
      <c r="G100" s="176">
        <v>441.5</v>
      </c>
      <c r="H100" s="29">
        <f t="shared" ref="H100:H101" si="17">G100*$E$4</f>
        <v>558.49749999999995</v>
      </c>
      <c r="I100" s="27">
        <f t="shared" ref="I100:I101" si="18">H100*F100</f>
        <v>558.49749999999995</v>
      </c>
    </row>
    <row r="101" spans="1:9" ht="28.5" x14ac:dyDescent="0.25">
      <c r="A101" s="28" t="s">
        <v>204</v>
      </c>
      <c r="B101" s="1">
        <v>43921</v>
      </c>
      <c r="C101" s="1" t="s">
        <v>29</v>
      </c>
      <c r="D101" s="22" t="s">
        <v>519</v>
      </c>
      <c r="E101" s="1" t="s">
        <v>205</v>
      </c>
      <c r="F101" s="30">
        <v>1</v>
      </c>
      <c r="G101" s="153">
        <f>94.77+326.39</f>
        <v>421.15999999999997</v>
      </c>
      <c r="H101" s="29">
        <f t="shared" si="17"/>
        <v>532.76739999999995</v>
      </c>
      <c r="I101" s="27">
        <f t="shared" si="18"/>
        <v>532.76739999999995</v>
      </c>
    </row>
    <row r="102" spans="1:9" x14ac:dyDescent="0.25">
      <c r="A102" s="28" t="s">
        <v>574</v>
      </c>
      <c r="B102" s="1">
        <f>Referências!A42</f>
        <v>11758</v>
      </c>
      <c r="C102" s="1" t="s">
        <v>217</v>
      </c>
      <c r="D102" s="22" t="s">
        <v>374</v>
      </c>
      <c r="E102" s="1" t="s">
        <v>205</v>
      </c>
      <c r="F102" s="30">
        <v>2</v>
      </c>
      <c r="G102" s="153">
        <f>Referências!E42</f>
        <v>61.69</v>
      </c>
      <c r="H102" s="29">
        <f t="shared" ref="H102:H105" si="19">G102*$E$4</f>
        <v>78.037849999999992</v>
      </c>
      <c r="I102" s="27">
        <f t="shared" ref="I102:I105" si="20">H102*F102</f>
        <v>156.07569999999998</v>
      </c>
    </row>
    <row r="103" spans="1:9" x14ac:dyDescent="0.25">
      <c r="A103" s="28" t="s">
        <v>575</v>
      </c>
      <c r="B103" s="1">
        <f>Referências!A40</f>
        <v>37401</v>
      </c>
      <c r="C103" s="1" t="s">
        <v>217</v>
      </c>
      <c r="D103" s="22" t="s">
        <v>375</v>
      </c>
      <c r="E103" s="1" t="s">
        <v>205</v>
      </c>
      <c r="F103" s="30">
        <v>2</v>
      </c>
      <c r="G103" s="153">
        <f>Referências!E40</f>
        <v>64.22</v>
      </c>
      <c r="H103" s="29">
        <f t="shared" si="19"/>
        <v>81.238299999999995</v>
      </c>
      <c r="I103" s="27">
        <f t="shared" si="20"/>
        <v>162.47659999999999</v>
      </c>
    </row>
    <row r="104" spans="1:9" x14ac:dyDescent="0.25">
      <c r="A104" s="28" t="s">
        <v>576</v>
      </c>
      <c r="B104" s="1">
        <f>Referências!A41</f>
        <v>11703</v>
      </c>
      <c r="C104" s="1" t="s">
        <v>217</v>
      </c>
      <c r="D104" s="22" t="s">
        <v>380</v>
      </c>
      <c r="E104" s="1" t="s">
        <v>205</v>
      </c>
      <c r="F104" s="30">
        <v>2</v>
      </c>
      <c r="G104" s="153">
        <f>Referências!E41</f>
        <v>43.6</v>
      </c>
      <c r="H104" s="29">
        <f t="shared" si="19"/>
        <v>55.153999999999996</v>
      </c>
      <c r="I104" s="27">
        <f t="shared" si="20"/>
        <v>110.30799999999999</v>
      </c>
    </row>
    <row r="105" spans="1:9" x14ac:dyDescent="0.25">
      <c r="A105" s="28" t="s">
        <v>577</v>
      </c>
      <c r="B105" s="1">
        <v>42912</v>
      </c>
      <c r="C105" s="1" t="s">
        <v>29</v>
      </c>
      <c r="D105" s="22" t="s">
        <v>515</v>
      </c>
      <c r="E105" s="1" t="s">
        <v>205</v>
      </c>
      <c r="F105" s="30">
        <v>1</v>
      </c>
      <c r="G105" s="153">
        <f>9.1+173.15</f>
        <v>182.25</v>
      </c>
      <c r="H105" s="29">
        <f t="shared" si="19"/>
        <v>230.54624999999999</v>
      </c>
      <c r="I105" s="27">
        <f t="shared" si="20"/>
        <v>230.54624999999999</v>
      </c>
    </row>
    <row r="106" spans="1:9" x14ac:dyDescent="0.25">
      <c r="A106" s="236" t="s">
        <v>195</v>
      </c>
      <c r="B106" s="237"/>
      <c r="C106" s="237"/>
      <c r="D106" s="237"/>
      <c r="E106" s="237"/>
      <c r="F106" s="237"/>
      <c r="G106" s="238"/>
      <c r="H106" s="24"/>
      <c r="I106" s="24">
        <f>SUM(I100:I105)</f>
        <v>1750.6714499999998</v>
      </c>
    </row>
    <row r="107" spans="1:9" x14ac:dyDescent="0.25">
      <c r="A107" s="184"/>
      <c r="B107" s="184"/>
      <c r="C107" s="184"/>
      <c r="D107" s="184"/>
      <c r="E107" s="184"/>
      <c r="F107" s="220"/>
      <c r="G107" s="184"/>
      <c r="H107" s="184"/>
      <c r="I107" s="184"/>
    </row>
    <row r="108" spans="1:9" x14ac:dyDescent="0.25">
      <c r="A108" s="25" t="s">
        <v>397</v>
      </c>
      <c r="B108" s="231"/>
      <c r="C108" s="232"/>
      <c r="D108" s="233" t="s">
        <v>189</v>
      </c>
      <c r="E108" s="234"/>
      <c r="F108" s="234"/>
      <c r="G108" s="234"/>
      <c r="H108" s="234"/>
      <c r="I108" s="235"/>
    </row>
    <row r="109" spans="1:9" x14ac:dyDescent="0.25">
      <c r="A109" s="28" t="s">
        <v>398</v>
      </c>
      <c r="B109" s="1">
        <f>Referências!G46</f>
        <v>42782</v>
      </c>
      <c r="C109" s="1" t="s">
        <v>29</v>
      </c>
      <c r="D109" s="22" t="s">
        <v>564</v>
      </c>
      <c r="E109" s="1" t="s">
        <v>30</v>
      </c>
      <c r="F109" s="170">
        <f>F50</f>
        <v>39.65</v>
      </c>
      <c r="G109" s="153">
        <f>Referências!M46</f>
        <v>12.92</v>
      </c>
      <c r="H109" s="29">
        <f>G109*$E$4</f>
        <v>16.343799999999998</v>
      </c>
      <c r="I109" s="27">
        <f>H109*F109</f>
        <v>648.03166999999985</v>
      </c>
    </row>
    <row r="110" spans="1:9" x14ac:dyDescent="0.25">
      <c r="A110" s="28" t="s">
        <v>399</v>
      </c>
      <c r="B110" s="1">
        <f>Referências!G47</f>
        <v>42802</v>
      </c>
      <c r="C110" s="1" t="s">
        <v>29</v>
      </c>
      <c r="D110" s="22" t="s">
        <v>190</v>
      </c>
      <c r="E110" s="1" t="s">
        <v>30</v>
      </c>
      <c r="F110" s="30">
        <f>F109</f>
        <v>39.65</v>
      </c>
      <c r="G110" s="153">
        <f>Referências!M47</f>
        <v>2.2599999999999998</v>
      </c>
      <c r="H110" s="29">
        <f>G110*$E$4</f>
        <v>2.8588999999999993</v>
      </c>
      <c r="I110" s="27">
        <f t="shared" ref="I110:I111" si="21">H110*F110</f>
        <v>113.35538499999997</v>
      </c>
    </row>
    <row r="111" spans="1:9" x14ac:dyDescent="0.25">
      <c r="A111" s="28" t="s">
        <v>400</v>
      </c>
      <c r="B111" s="1">
        <f>Referências!G48</f>
        <v>42781</v>
      </c>
      <c r="C111" s="1" t="s">
        <v>29</v>
      </c>
      <c r="D111" s="22" t="s">
        <v>328</v>
      </c>
      <c r="E111" s="1" t="s">
        <v>30</v>
      </c>
      <c r="F111" s="30">
        <f>F110</f>
        <v>39.65</v>
      </c>
      <c r="G111" s="153">
        <f>Referências!M48</f>
        <v>22.740000000000002</v>
      </c>
      <c r="H111" s="29">
        <f>G111*$E$4</f>
        <v>28.766100000000002</v>
      </c>
      <c r="I111" s="27">
        <f t="shared" si="21"/>
        <v>1140.575865</v>
      </c>
    </row>
    <row r="112" spans="1:9" x14ac:dyDescent="0.25">
      <c r="A112" s="236" t="s">
        <v>401</v>
      </c>
      <c r="B112" s="237"/>
      <c r="C112" s="237"/>
      <c r="D112" s="237"/>
      <c r="E112" s="237"/>
      <c r="F112" s="237"/>
      <c r="G112" s="238"/>
      <c r="H112" s="24"/>
      <c r="I112" s="24">
        <f>SUM(I109:I111)</f>
        <v>1901.9629199999999</v>
      </c>
    </row>
    <row r="113" spans="1:9" x14ac:dyDescent="0.25">
      <c r="A113" s="184"/>
      <c r="B113" s="184"/>
      <c r="C113" s="184"/>
      <c r="D113" s="184"/>
      <c r="E113" s="184"/>
      <c r="F113" s="220"/>
      <c r="G113" s="184"/>
      <c r="H113" s="184"/>
      <c r="I113" s="184"/>
    </row>
    <row r="114" spans="1:9" x14ac:dyDescent="0.25">
      <c r="A114" s="25">
        <v>13</v>
      </c>
      <c r="B114" s="231"/>
      <c r="C114" s="232"/>
      <c r="D114" s="233" t="s">
        <v>39</v>
      </c>
      <c r="E114" s="234"/>
      <c r="F114" s="234"/>
      <c r="G114" s="234"/>
      <c r="H114" s="234"/>
      <c r="I114" s="235"/>
    </row>
    <row r="115" spans="1:9" x14ac:dyDescent="0.25">
      <c r="A115" s="28" t="s">
        <v>486</v>
      </c>
      <c r="B115" s="1">
        <v>42866</v>
      </c>
      <c r="C115" s="1" t="s">
        <v>29</v>
      </c>
      <c r="D115" s="22" t="s">
        <v>565</v>
      </c>
      <c r="E115" s="1" t="s">
        <v>30</v>
      </c>
      <c r="F115" s="170">
        <f>3</f>
        <v>3</v>
      </c>
      <c r="G115" s="153">
        <f>193.42+116.82</f>
        <v>310.24</v>
      </c>
      <c r="H115" s="29">
        <f t="shared" ref="H115:H119" si="22">G115*$E$4</f>
        <v>392.45359999999999</v>
      </c>
      <c r="I115" s="27">
        <f>H115*F115</f>
        <v>1177.3607999999999</v>
      </c>
    </row>
    <row r="116" spans="1:9" x14ac:dyDescent="0.25">
      <c r="A116" s="28" t="s">
        <v>487</v>
      </c>
      <c r="B116" s="1" t="str">
        <f>Referências!A43</f>
        <v>97599</v>
      </c>
      <c r="C116" s="1" t="s">
        <v>217</v>
      </c>
      <c r="D116" s="22" t="s">
        <v>402</v>
      </c>
      <c r="E116" s="1" t="s">
        <v>205</v>
      </c>
      <c r="F116" s="30">
        <v>1</v>
      </c>
      <c r="G116" s="153">
        <f>Referências!E43</f>
        <v>24.97</v>
      </c>
      <c r="H116" s="29">
        <f t="shared" si="22"/>
        <v>31.587049999999998</v>
      </c>
      <c r="I116" s="27">
        <f t="shared" ref="I116:I119" si="23">H116*F116</f>
        <v>31.587049999999998</v>
      </c>
    </row>
    <row r="117" spans="1:9" x14ac:dyDescent="0.25">
      <c r="A117" s="28" t="s">
        <v>488</v>
      </c>
      <c r="B117" s="1">
        <f>Referências!G54</f>
        <v>42892</v>
      </c>
      <c r="C117" s="1" t="s">
        <v>29</v>
      </c>
      <c r="D117" s="22" t="s">
        <v>339</v>
      </c>
      <c r="E117" s="1" t="s">
        <v>30</v>
      </c>
      <c r="F117" s="30">
        <f>F59</f>
        <v>4.6800000000000006</v>
      </c>
      <c r="G117" s="153">
        <f>Referências!M54</f>
        <v>435.57</v>
      </c>
      <c r="H117" s="29">
        <f t="shared" si="22"/>
        <v>550.99604999999997</v>
      </c>
      <c r="I117" s="27">
        <f t="shared" si="23"/>
        <v>2578.6615140000004</v>
      </c>
    </row>
    <row r="118" spans="1:9" x14ac:dyDescent="0.25">
      <c r="A118" s="28" t="s">
        <v>489</v>
      </c>
      <c r="B118" s="1">
        <f>Referências!G26</f>
        <v>42846</v>
      </c>
      <c r="C118" s="1" t="s">
        <v>29</v>
      </c>
      <c r="D118" s="22" t="s">
        <v>191</v>
      </c>
      <c r="E118" s="1" t="s">
        <v>30</v>
      </c>
      <c r="F118" s="30">
        <f>F9</f>
        <v>44.29</v>
      </c>
      <c r="G118" s="153">
        <f>Referências!M26</f>
        <v>7.55</v>
      </c>
      <c r="H118" s="29">
        <f t="shared" si="22"/>
        <v>9.550749999999999</v>
      </c>
      <c r="I118" s="27">
        <f t="shared" si="23"/>
        <v>423.00271749999996</v>
      </c>
    </row>
    <row r="119" spans="1:9" x14ac:dyDescent="0.25">
      <c r="A119" s="28" t="s">
        <v>490</v>
      </c>
      <c r="B119" s="1" t="s">
        <v>589</v>
      </c>
      <c r="C119" s="1" t="s">
        <v>588</v>
      </c>
      <c r="D119" s="22" t="s">
        <v>590</v>
      </c>
      <c r="E119" s="1" t="s">
        <v>30</v>
      </c>
      <c r="F119" s="30">
        <v>20</v>
      </c>
      <c r="G119" s="153">
        <f>10.23+121.04+127.57</f>
        <v>258.84000000000003</v>
      </c>
      <c r="H119" s="29">
        <f t="shared" si="22"/>
        <v>327.43260000000004</v>
      </c>
      <c r="I119" s="27">
        <f t="shared" si="23"/>
        <v>6548.652000000001</v>
      </c>
    </row>
    <row r="120" spans="1:9" x14ac:dyDescent="0.25">
      <c r="A120" s="236" t="s">
        <v>491</v>
      </c>
      <c r="B120" s="237"/>
      <c r="C120" s="237"/>
      <c r="D120" s="237"/>
      <c r="E120" s="237"/>
      <c r="F120" s="237"/>
      <c r="G120" s="238"/>
      <c r="H120" s="24"/>
      <c r="I120" s="24">
        <f>SUM(I115:I119)</f>
        <v>10759.264081500001</v>
      </c>
    </row>
    <row r="121" spans="1:9" x14ac:dyDescent="0.25">
      <c r="A121" s="184"/>
      <c r="B121" s="184"/>
      <c r="C121" s="184"/>
      <c r="D121" s="184"/>
      <c r="E121" s="184"/>
      <c r="F121" s="220"/>
      <c r="G121" s="184"/>
      <c r="H121" s="184"/>
      <c r="I121" s="184"/>
    </row>
    <row r="122" spans="1:9" x14ac:dyDescent="0.25">
      <c r="A122" s="236" t="s">
        <v>207</v>
      </c>
      <c r="B122" s="237"/>
      <c r="C122" s="237"/>
      <c r="D122" s="237"/>
      <c r="E122" s="237"/>
      <c r="F122" s="237"/>
      <c r="G122" s="237"/>
      <c r="H122" s="238"/>
      <c r="I122" s="24">
        <f>SUM(I16,I26,I38,I44,I54,I62,I72,I83,I97,I112,I120,I106,I21)</f>
        <v>133762.62372356196</v>
      </c>
    </row>
    <row r="123" spans="1:9" x14ac:dyDescent="0.25">
      <c r="A123" s="242" t="s">
        <v>531</v>
      </c>
      <c r="B123" s="243"/>
      <c r="C123" s="243"/>
      <c r="D123" s="243"/>
      <c r="E123" s="243"/>
      <c r="F123" s="243"/>
      <c r="G123" s="243"/>
      <c r="H123" s="243"/>
      <c r="I123" s="244"/>
    </row>
    <row r="124" spans="1:9" x14ac:dyDescent="0.25">
      <c r="A124" s="245"/>
      <c r="B124" s="246"/>
      <c r="C124" s="246"/>
      <c r="D124" s="246"/>
      <c r="E124" s="246"/>
      <c r="F124" s="246"/>
      <c r="G124" s="246"/>
      <c r="H124" s="246"/>
      <c r="I124" s="247"/>
    </row>
    <row r="125" spans="1:9" x14ac:dyDescent="0.25">
      <c r="A125" s="172"/>
      <c r="B125" s="172"/>
      <c r="C125" s="172"/>
      <c r="D125" s="172"/>
      <c r="E125" s="172"/>
      <c r="F125" s="195"/>
      <c r="G125" s="172"/>
      <c r="H125" s="172"/>
      <c r="I125" s="172"/>
    </row>
    <row r="126" spans="1:9" ht="15.75" x14ac:dyDescent="0.25">
      <c r="A126" s="239" t="s">
        <v>54</v>
      </c>
      <c r="B126" s="239"/>
      <c r="C126" s="239"/>
      <c r="D126" s="239"/>
      <c r="E126" s="239"/>
      <c r="F126" s="239"/>
      <c r="G126" s="239"/>
      <c r="H126" s="239"/>
      <c r="I126" s="239"/>
    </row>
    <row r="127" spans="1:9" ht="15.75" x14ac:dyDescent="0.25">
      <c r="A127" s="240" t="s">
        <v>348</v>
      </c>
      <c r="B127" s="240"/>
      <c r="C127" s="240"/>
      <c r="D127" s="240"/>
      <c r="E127" s="240"/>
      <c r="F127" s="240"/>
      <c r="G127" s="240"/>
      <c r="H127" s="240"/>
      <c r="I127" s="240"/>
    </row>
    <row r="128" spans="1:9" ht="15.75" x14ac:dyDescent="0.25">
      <c r="A128" s="241" t="s">
        <v>349</v>
      </c>
      <c r="B128" s="241"/>
      <c r="C128" s="241"/>
      <c r="D128" s="241"/>
      <c r="E128" s="241"/>
      <c r="F128" s="241"/>
      <c r="G128" s="241"/>
      <c r="H128" s="241"/>
      <c r="I128" s="241"/>
    </row>
    <row r="131" spans="8:9" x14ac:dyDescent="0.25">
      <c r="H131" s="159"/>
    </row>
    <row r="132" spans="8:9" x14ac:dyDescent="0.25">
      <c r="H132" s="159"/>
      <c r="I132" s="159"/>
    </row>
    <row r="133" spans="8:9" x14ac:dyDescent="0.25">
      <c r="I133" s="159"/>
    </row>
  </sheetData>
  <mergeCells count="63">
    <mergeCell ref="B23:C23"/>
    <mergeCell ref="D23:I23"/>
    <mergeCell ref="A21:G21"/>
    <mergeCell ref="B7:C7"/>
    <mergeCell ref="F5:F6"/>
    <mergeCell ref="G5:G6"/>
    <mergeCell ref="D18:I18"/>
    <mergeCell ref="H5:H6"/>
    <mergeCell ref="B46:C46"/>
    <mergeCell ref="D46:I46"/>
    <mergeCell ref="A5:A6"/>
    <mergeCell ref="B5:B6"/>
    <mergeCell ref="C5:C6"/>
    <mergeCell ref="D5:D6"/>
    <mergeCell ref="E5:E6"/>
    <mergeCell ref="A26:G26"/>
    <mergeCell ref="B40:C40"/>
    <mergeCell ref="D40:I40"/>
    <mergeCell ref="A44:G44"/>
    <mergeCell ref="A16:G16"/>
    <mergeCell ref="B28:C28"/>
    <mergeCell ref="D28:I28"/>
    <mergeCell ref="A38:G38"/>
    <mergeCell ref="I5:I6"/>
    <mergeCell ref="A62:G62"/>
    <mergeCell ref="B56:C56"/>
    <mergeCell ref="A1:I1"/>
    <mergeCell ref="A2:D2"/>
    <mergeCell ref="E2:F2"/>
    <mergeCell ref="H2:I2"/>
    <mergeCell ref="A3:D3"/>
    <mergeCell ref="E3:F3"/>
    <mergeCell ref="G3:G4"/>
    <mergeCell ref="H3:I4"/>
    <mergeCell ref="A4:D4"/>
    <mergeCell ref="E4:F4"/>
    <mergeCell ref="D7:I7"/>
    <mergeCell ref="B18:C18"/>
    <mergeCell ref="D56:I56"/>
    <mergeCell ref="A54:G54"/>
    <mergeCell ref="A126:I126"/>
    <mergeCell ref="A127:I127"/>
    <mergeCell ref="A128:I128"/>
    <mergeCell ref="B85:C85"/>
    <mergeCell ref="D85:I85"/>
    <mergeCell ref="A122:H122"/>
    <mergeCell ref="A123:I124"/>
    <mergeCell ref="B114:C114"/>
    <mergeCell ref="D114:I114"/>
    <mergeCell ref="A120:G120"/>
    <mergeCell ref="B108:C108"/>
    <mergeCell ref="D108:I108"/>
    <mergeCell ref="A112:G112"/>
    <mergeCell ref="A106:G106"/>
    <mergeCell ref="B99:C99"/>
    <mergeCell ref="D99:I99"/>
    <mergeCell ref="B64:C64"/>
    <mergeCell ref="D64:I64"/>
    <mergeCell ref="A72:G72"/>
    <mergeCell ref="A97:G97"/>
    <mergeCell ref="B74:C74"/>
    <mergeCell ref="D74:I74"/>
    <mergeCell ref="A83:G83"/>
  </mergeCells>
  <printOptions horizontalCentered="1"/>
  <pageMargins left="0.70866141732283472" right="0.70866141732283472" top="1.3385826771653544" bottom="0.74803149606299213" header="0.31496062992125984" footer="0.31496062992125984"/>
  <pageSetup paperSize="9" scale="73" fitToHeight="0" orientation="landscape" r:id="rId1"/>
  <headerFooter>
    <oddHeader>&amp;L                    
&amp;G&amp;C&amp;"-,Negrito"
SECRETARIA MUNICIPAL DA EDUCAÇÃO
PREFEITURA DO MUNICÍPIO DE LAGES&amp;R&amp;G</oddHeader>
    <oddFooter>&amp;C&amp;F&amp;R&amp;P/&amp;N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election activeCell="C5" sqref="C5"/>
    </sheetView>
  </sheetViews>
  <sheetFormatPr defaultRowHeight="15" x14ac:dyDescent="0.25"/>
  <sheetData>
    <row r="1" spans="1:3" x14ac:dyDescent="0.25">
      <c r="A1">
        <f>7.42*8.19</f>
        <v>60.769799999999996</v>
      </c>
      <c r="C1">
        <f>A1</f>
        <v>60.769799999999996</v>
      </c>
    </row>
    <row r="2" spans="1:3" x14ac:dyDescent="0.25">
      <c r="A2">
        <f>5.42*2.94</f>
        <v>15.934799999999999</v>
      </c>
      <c r="C2">
        <f>3.0874*2.09</f>
        <v>6.4526659999999998</v>
      </c>
    </row>
    <row r="3" spans="1:3" x14ac:dyDescent="0.25">
      <c r="A3">
        <v>4</v>
      </c>
      <c r="C3">
        <f>4.9*1.65</f>
        <v>8.0850000000000009</v>
      </c>
    </row>
    <row r="4" spans="1:3" x14ac:dyDescent="0.25">
      <c r="A4">
        <v>18.68</v>
      </c>
      <c r="C4">
        <f>SUM(C1:C3)</f>
        <v>75.307466000000005</v>
      </c>
    </row>
    <row r="5" spans="1:3" x14ac:dyDescent="0.25">
      <c r="A5">
        <v>46.89</v>
      </c>
    </row>
    <row r="6" spans="1:3" x14ac:dyDescent="0.25">
      <c r="A6">
        <f>34.25</f>
        <v>34.25</v>
      </c>
    </row>
    <row r="7" spans="1:3" x14ac:dyDescent="0.25">
      <c r="A7">
        <v>3</v>
      </c>
    </row>
    <row r="8" spans="1:3" x14ac:dyDescent="0.25">
      <c r="A8">
        <v>29.39</v>
      </c>
    </row>
    <row r="9" spans="1:3" x14ac:dyDescent="0.25">
      <c r="A9">
        <f>SUM(A1:A8)</f>
        <v>212.91460000000001</v>
      </c>
    </row>
  </sheetData>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2"/>
  <sheetViews>
    <sheetView zoomScale="80" zoomScaleNormal="80" workbookViewId="0">
      <selection activeCell="G65" sqref="G65"/>
    </sheetView>
  </sheetViews>
  <sheetFormatPr defaultRowHeight="15" x14ac:dyDescent="0.25"/>
  <cols>
    <col min="1" max="1" width="33.140625" style="160" bestFit="1" customWidth="1"/>
    <col min="2" max="2" width="57.7109375" bestFit="1" customWidth="1"/>
    <col min="3" max="3" width="10.5703125" style="168" bestFit="1" customWidth="1"/>
    <col min="4" max="4" width="25.140625" bestFit="1" customWidth="1"/>
    <col min="5" max="5" width="21" style="159" bestFit="1" customWidth="1"/>
    <col min="7" max="7" width="11.140625" style="160" bestFit="1" customWidth="1"/>
    <col min="8" max="8" width="61.7109375" bestFit="1" customWidth="1"/>
    <col min="9" max="9" width="12" style="160" bestFit="1" customWidth="1"/>
    <col min="10" max="10" width="23.42578125" bestFit="1" customWidth="1"/>
    <col min="11" max="11" width="22.5703125" bestFit="1" customWidth="1"/>
    <col min="12" max="12" width="30.28515625" bestFit="1" customWidth="1"/>
    <col min="13" max="13" width="21.5703125" style="161" customWidth="1"/>
    <col min="14" max="14" width="14.5703125" bestFit="1" customWidth="1"/>
    <col min="15" max="15" width="12.42578125" bestFit="1" customWidth="1"/>
  </cols>
  <sheetData>
    <row r="1" spans="1:15" x14ac:dyDescent="0.25">
      <c r="A1" s="280" t="s">
        <v>432</v>
      </c>
      <c r="B1" s="280"/>
      <c r="C1" s="280"/>
      <c r="D1" s="280"/>
      <c r="E1" s="280"/>
      <c r="F1" s="184"/>
      <c r="G1" s="281" t="s">
        <v>346</v>
      </c>
      <c r="H1" s="281"/>
      <c r="I1" s="281"/>
      <c r="J1" s="281"/>
      <c r="K1" s="281"/>
      <c r="L1" s="281"/>
      <c r="M1" s="281"/>
      <c r="N1" s="193"/>
    </row>
    <row r="2" spans="1:15" x14ac:dyDescent="0.25">
      <c r="A2" s="163" t="s">
        <v>147</v>
      </c>
      <c r="B2" s="162" t="s">
        <v>148</v>
      </c>
      <c r="C2" s="167" t="s">
        <v>146</v>
      </c>
      <c r="D2" s="162" t="s">
        <v>149</v>
      </c>
      <c r="E2" s="164" t="s">
        <v>150</v>
      </c>
      <c r="F2" s="187"/>
      <c r="G2" s="163" t="s">
        <v>153</v>
      </c>
      <c r="H2" s="162" t="s">
        <v>154</v>
      </c>
      <c r="I2" s="163" t="s">
        <v>146</v>
      </c>
      <c r="J2" s="162" t="s">
        <v>155</v>
      </c>
      <c r="K2" s="162" t="s">
        <v>156</v>
      </c>
      <c r="L2" s="162" t="s">
        <v>160</v>
      </c>
      <c r="M2" s="192" t="s">
        <v>157</v>
      </c>
      <c r="N2" s="172"/>
    </row>
    <row r="3" spans="1:15" x14ac:dyDescent="0.25">
      <c r="A3" s="216" t="s">
        <v>215</v>
      </c>
      <c r="B3" s="217" t="s">
        <v>216</v>
      </c>
      <c r="C3" s="1" t="s">
        <v>164</v>
      </c>
      <c r="D3" s="218" t="s">
        <v>163</v>
      </c>
      <c r="E3" s="219">
        <v>270.44</v>
      </c>
      <c r="F3" s="188"/>
      <c r="G3" s="178">
        <v>42571</v>
      </c>
      <c r="H3" s="179" t="s">
        <v>152</v>
      </c>
      <c r="I3" s="178" t="s">
        <v>145</v>
      </c>
      <c r="J3" s="185">
        <v>37.909999999999997</v>
      </c>
      <c r="K3" s="185">
        <v>175.69</v>
      </c>
      <c r="L3" s="185">
        <v>267</v>
      </c>
      <c r="M3" s="185">
        <f>J3+K3</f>
        <v>213.6</v>
      </c>
      <c r="N3" s="186"/>
      <c r="O3" s="159"/>
    </row>
    <row r="4" spans="1:15" x14ac:dyDescent="0.25">
      <c r="A4" s="216" t="s">
        <v>218</v>
      </c>
      <c r="B4" s="217" t="s">
        <v>219</v>
      </c>
      <c r="C4" s="1" t="s">
        <v>164</v>
      </c>
      <c r="D4" s="218" t="s">
        <v>163</v>
      </c>
      <c r="E4" s="219">
        <v>35.57</v>
      </c>
      <c r="F4" s="188"/>
      <c r="G4" s="182">
        <v>42591</v>
      </c>
      <c r="H4" s="183" t="s">
        <v>158</v>
      </c>
      <c r="I4" s="178" t="s">
        <v>145</v>
      </c>
      <c r="J4" s="185">
        <v>3.79</v>
      </c>
      <c r="K4" s="185">
        <v>1.2</v>
      </c>
      <c r="L4" s="185">
        <v>6.23</v>
      </c>
      <c r="M4" s="185">
        <f t="shared" ref="M4:M13" si="0">J4+K4</f>
        <v>4.99</v>
      </c>
      <c r="N4" s="186"/>
      <c r="O4" s="159"/>
    </row>
    <row r="5" spans="1:15" x14ac:dyDescent="0.25">
      <c r="A5" s="216" t="s">
        <v>220</v>
      </c>
      <c r="B5" s="217" t="s">
        <v>221</v>
      </c>
      <c r="C5" s="1" t="s">
        <v>164</v>
      </c>
      <c r="D5" s="218" t="s">
        <v>163</v>
      </c>
      <c r="E5" s="219">
        <v>85.08</v>
      </c>
      <c r="F5" s="188"/>
      <c r="G5" s="182">
        <v>42566</v>
      </c>
      <c r="H5" s="183" t="s">
        <v>165</v>
      </c>
      <c r="I5" s="182" t="s">
        <v>161</v>
      </c>
      <c r="J5" s="185">
        <v>227.46</v>
      </c>
      <c r="K5" s="185">
        <v>133.6</v>
      </c>
      <c r="L5" s="185">
        <v>451.32</v>
      </c>
      <c r="M5" s="185">
        <f t="shared" si="0"/>
        <v>361.06</v>
      </c>
      <c r="N5" s="186"/>
      <c r="O5" s="159"/>
    </row>
    <row r="6" spans="1:15" x14ac:dyDescent="0.25">
      <c r="A6" s="216" t="s">
        <v>222</v>
      </c>
      <c r="B6" s="217" t="s">
        <v>223</v>
      </c>
      <c r="C6" s="1" t="s">
        <v>164</v>
      </c>
      <c r="D6" s="218" t="s">
        <v>163</v>
      </c>
      <c r="E6" s="219">
        <v>123.83</v>
      </c>
      <c r="F6" s="184"/>
      <c r="G6" s="196">
        <v>42528</v>
      </c>
      <c r="H6" s="197" t="s">
        <v>208</v>
      </c>
      <c r="I6" s="196" t="s">
        <v>145</v>
      </c>
      <c r="J6" s="185">
        <v>7.55</v>
      </c>
      <c r="K6" s="185">
        <v>0</v>
      </c>
      <c r="L6" s="185">
        <v>9.43</v>
      </c>
      <c r="M6" s="185">
        <f t="shared" si="0"/>
        <v>7.55</v>
      </c>
      <c r="N6" s="186"/>
      <c r="O6" s="159"/>
    </row>
    <row r="7" spans="1:15" x14ac:dyDescent="0.25">
      <c r="A7" s="216" t="s">
        <v>240</v>
      </c>
      <c r="B7" s="217" t="s">
        <v>241</v>
      </c>
      <c r="C7" s="1" t="s">
        <v>164</v>
      </c>
      <c r="D7" s="218" t="s">
        <v>163</v>
      </c>
      <c r="E7" s="219">
        <v>66.13</v>
      </c>
      <c r="F7" s="184"/>
      <c r="G7" s="196">
        <v>42562</v>
      </c>
      <c r="H7" s="197" t="s">
        <v>177</v>
      </c>
      <c r="I7" s="196" t="s">
        <v>145</v>
      </c>
      <c r="J7" s="185">
        <v>8.32</v>
      </c>
      <c r="K7" s="185">
        <v>0</v>
      </c>
      <c r="L7" s="185">
        <v>10.4</v>
      </c>
      <c r="M7" s="185">
        <f t="shared" si="0"/>
        <v>8.32</v>
      </c>
      <c r="N7" s="186"/>
      <c r="O7" s="159"/>
    </row>
    <row r="8" spans="1:15" x14ac:dyDescent="0.25">
      <c r="A8" s="216" t="s">
        <v>244</v>
      </c>
      <c r="B8" s="217" t="s">
        <v>245</v>
      </c>
      <c r="C8" s="1" t="s">
        <v>162</v>
      </c>
      <c r="D8" s="218" t="s">
        <v>163</v>
      </c>
      <c r="E8" s="219">
        <v>54.87</v>
      </c>
      <c r="F8" s="184"/>
      <c r="G8" s="182">
        <v>42512</v>
      </c>
      <c r="H8" s="183" t="s">
        <v>159</v>
      </c>
      <c r="I8" s="178" t="s">
        <v>145</v>
      </c>
      <c r="J8" s="185">
        <v>5.75</v>
      </c>
      <c r="K8" s="185">
        <v>0</v>
      </c>
      <c r="L8" s="185">
        <v>7.18</v>
      </c>
      <c r="M8" s="185">
        <f t="shared" si="0"/>
        <v>5.75</v>
      </c>
      <c r="N8" s="186"/>
      <c r="O8" s="159"/>
    </row>
    <row r="9" spans="1:15" x14ac:dyDescent="0.25">
      <c r="A9" s="216" t="s">
        <v>250</v>
      </c>
      <c r="B9" s="217" t="s">
        <v>251</v>
      </c>
      <c r="C9" s="1" t="s">
        <v>145</v>
      </c>
      <c r="D9" s="218" t="s">
        <v>163</v>
      </c>
      <c r="E9" s="219">
        <v>703.23</v>
      </c>
      <c r="F9" s="184"/>
      <c r="G9" s="196">
        <v>42516</v>
      </c>
      <c r="H9" s="183" t="s">
        <v>209</v>
      </c>
      <c r="I9" s="196" t="s">
        <v>145</v>
      </c>
      <c r="J9" s="185">
        <v>5.75</v>
      </c>
      <c r="K9" s="185">
        <v>0</v>
      </c>
      <c r="L9" s="185">
        <v>7.18</v>
      </c>
      <c r="M9" s="185">
        <f t="shared" si="0"/>
        <v>5.75</v>
      </c>
      <c r="N9" s="186"/>
      <c r="O9" s="159"/>
    </row>
    <row r="10" spans="1:15" x14ac:dyDescent="0.25">
      <c r="A10" s="216" t="s">
        <v>254</v>
      </c>
      <c r="B10" s="217" t="s">
        <v>255</v>
      </c>
      <c r="C10" s="1" t="s">
        <v>145</v>
      </c>
      <c r="D10" s="218" t="s">
        <v>163</v>
      </c>
      <c r="E10" s="219">
        <v>1157.77</v>
      </c>
      <c r="F10" s="184"/>
      <c r="G10" s="196">
        <v>42513</v>
      </c>
      <c r="H10" s="183" t="s">
        <v>210</v>
      </c>
      <c r="I10" s="196" t="s">
        <v>145</v>
      </c>
      <c r="J10" s="185">
        <v>11.6</v>
      </c>
      <c r="K10" s="185">
        <v>0</v>
      </c>
      <c r="L10" s="185">
        <v>14.5</v>
      </c>
      <c r="M10" s="185">
        <f t="shared" si="0"/>
        <v>11.6</v>
      </c>
      <c r="N10" s="186"/>
      <c r="O10" s="159"/>
    </row>
    <row r="11" spans="1:15" s="165" customFormat="1" x14ac:dyDescent="0.25">
      <c r="A11" s="216" t="s">
        <v>260</v>
      </c>
      <c r="B11" s="217" t="s">
        <v>261</v>
      </c>
      <c r="C11" s="1" t="s">
        <v>145</v>
      </c>
      <c r="D11" s="218" t="s">
        <v>163</v>
      </c>
      <c r="E11" s="219">
        <v>38.47</v>
      </c>
      <c r="F11" s="189"/>
      <c r="G11" s="196">
        <v>42945</v>
      </c>
      <c r="H11" s="183" t="s">
        <v>211</v>
      </c>
      <c r="I11" s="196" t="s">
        <v>212</v>
      </c>
      <c r="J11" s="185">
        <v>121.31</v>
      </c>
      <c r="K11" s="185">
        <v>527.54</v>
      </c>
      <c r="L11" s="185">
        <v>811.06</v>
      </c>
      <c r="M11" s="185">
        <f t="shared" si="0"/>
        <v>648.84999999999991</v>
      </c>
      <c r="N11" s="186"/>
      <c r="O11" s="166"/>
    </row>
    <row r="12" spans="1:15" x14ac:dyDescent="0.25">
      <c r="A12" s="216" t="s">
        <v>262</v>
      </c>
      <c r="B12" s="217" t="s">
        <v>263</v>
      </c>
      <c r="C12" s="1" t="s">
        <v>164</v>
      </c>
      <c r="D12" s="218" t="s">
        <v>163</v>
      </c>
      <c r="E12" s="219">
        <v>234.66</v>
      </c>
      <c r="F12" s="184"/>
      <c r="G12" s="196">
        <v>43923</v>
      </c>
      <c r="H12" s="183" t="s">
        <v>213</v>
      </c>
      <c r="I12" s="196" t="s">
        <v>214</v>
      </c>
      <c r="J12" s="185">
        <v>75.819999999999993</v>
      </c>
      <c r="K12" s="185">
        <v>341.88</v>
      </c>
      <c r="L12" s="185">
        <v>522.12</v>
      </c>
      <c r="M12" s="185">
        <f t="shared" si="0"/>
        <v>417.7</v>
      </c>
      <c r="N12" s="186"/>
      <c r="O12" s="159"/>
    </row>
    <row r="13" spans="1:15" x14ac:dyDescent="0.25">
      <c r="A13" s="216" t="s">
        <v>289</v>
      </c>
      <c r="B13" s="217" t="s">
        <v>290</v>
      </c>
      <c r="C13" s="1" t="s">
        <v>164</v>
      </c>
      <c r="D13" s="218" t="s">
        <v>163</v>
      </c>
      <c r="E13" s="219">
        <v>1012.12</v>
      </c>
      <c r="F13" s="184"/>
      <c r="G13" s="182">
        <v>43120</v>
      </c>
      <c r="H13" s="183" t="s">
        <v>224</v>
      </c>
      <c r="I13" s="182" t="s">
        <v>162</v>
      </c>
      <c r="J13" s="185">
        <v>7.88</v>
      </c>
      <c r="K13" s="185">
        <v>16.82</v>
      </c>
      <c r="L13" s="185">
        <v>30.87</v>
      </c>
      <c r="M13" s="185">
        <f t="shared" si="0"/>
        <v>24.7</v>
      </c>
      <c r="N13" s="186"/>
      <c r="O13" s="159"/>
    </row>
    <row r="14" spans="1:15" x14ac:dyDescent="0.25">
      <c r="A14" s="216" t="s">
        <v>430</v>
      </c>
      <c r="B14" s="217" t="s">
        <v>431</v>
      </c>
      <c r="C14" s="1" t="s">
        <v>164</v>
      </c>
      <c r="D14" s="218" t="s">
        <v>163</v>
      </c>
      <c r="E14" s="219">
        <v>1082.5999999999999</v>
      </c>
      <c r="F14" s="184"/>
      <c r="G14" s="182"/>
      <c r="H14" s="183"/>
      <c r="I14" s="182"/>
      <c r="J14" s="185"/>
      <c r="K14" s="185"/>
      <c r="L14" s="185"/>
      <c r="M14" s="185">
        <f>J14+K14</f>
        <v>0</v>
      </c>
      <c r="N14" s="186"/>
      <c r="O14" s="159"/>
    </row>
    <row r="15" spans="1:15" x14ac:dyDescent="0.25">
      <c r="A15" s="216" t="s">
        <v>295</v>
      </c>
      <c r="B15" s="217" t="s">
        <v>296</v>
      </c>
      <c r="C15" s="1" t="s">
        <v>145</v>
      </c>
      <c r="D15" s="218" t="s">
        <v>163</v>
      </c>
      <c r="E15" s="219">
        <v>877.25</v>
      </c>
      <c r="F15" s="184"/>
      <c r="G15" s="182">
        <v>43121</v>
      </c>
      <c r="H15" s="183" t="s">
        <v>225</v>
      </c>
      <c r="I15" s="182" t="s">
        <v>162</v>
      </c>
      <c r="J15" s="185">
        <v>1.17</v>
      </c>
      <c r="K15" s="185">
        <v>17.75</v>
      </c>
      <c r="L15" s="185">
        <v>23.65</v>
      </c>
      <c r="M15" s="185">
        <f t="shared" ref="M15:M78" si="1">J15+K15</f>
        <v>18.920000000000002</v>
      </c>
      <c r="N15" s="186"/>
      <c r="O15" s="159"/>
    </row>
    <row r="16" spans="1:15" x14ac:dyDescent="0.25">
      <c r="A16" s="216" t="s">
        <v>297</v>
      </c>
      <c r="B16" s="217" t="s">
        <v>298</v>
      </c>
      <c r="C16" s="1" t="s">
        <v>162</v>
      </c>
      <c r="D16" s="218" t="s">
        <v>163</v>
      </c>
      <c r="E16" s="219">
        <v>38.68</v>
      </c>
      <c r="F16" s="184"/>
      <c r="G16" s="182">
        <v>43122</v>
      </c>
      <c r="H16" s="183" t="s">
        <v>226</v>
      </c>
      <c r="I16" s="182" t="s">
        <v>162</v>
      </c>
      <c r="J16" s="185">
        <v>15.76</v>
      </c>
      <c r="K16" s="185">
        <v>19.07</v>
      </c>
      <c r="L16" s="185">
        <v>43.53</v>
      </c>
      <c r="M16" s="185">
        <f t="shared" si="1"/>
        <v>34.83</v>
      </c>
      <c r="N16" s="186"/>
      <c r="O16" s="159"/>
    </row>
    <row r="17" spans="1:14" x14ac:dyDescent="0.25">
      <c r="A17" s="216" t="s">
        <v>304</v>
      </c>
      <c r="B17" s="217" t="s">
        <v>305</v>
      </c>
      <c r="C17" s="1" t="s">
        <v>162</v>
      </c>
      <c r="D17" s="218" t="s">
        <v>301</v>
      </c>
      <c r="E17" s="219">
        <v>87.07</v>
      </c>
      <c r="F17" s="184"/>
      <c r="G17" s="196">
        <v>43212</v>
      </c>
      <c r="H17" s="183" t="s">
        <v>227</v>
      </c>
      <c r="I17" s="196" t="s">
        <v>162</v>
      </c>
      <c r="J17" s="185">
        <v>7.88</v>
      </c>
      <c r="K17" s="185">
        <v>14.04</v>
      </c>
      <c r="L17" s="185">
        <v>27.4</v>
      </c>
      <c r="M17" s="185">
        <f t="shared" si="1"/>
        <v>21.919999999999998</v>
      </c>
      <c r="N17" s="186"/>
    </row>
    <row r="18" spans="1:14" x14ac:dyDescent="0.25">
      <c r="A18" s="216" t="s">
        <v>302</v>
      </c>
      <c r="B18" s="217" t="s">
        <v>303</v>
      </c>
      <c r="C18" s="1" t="s">
        <v>162</v>
      </c>
      <c r="D18" s="218" t="s">
        <v>301</v>
      </c>
      <c r="E18" s="219">
        <v>99.89</v>
      </c>
      <c r="F18" s="184"/>
      <c r="G18" s="196">
        <v>43050</v>
      </c>
      <c r="H18" s="183" t="s">
        <v>228</v>
      </c>
      <c r="I18" s="196" t="s">
        <v>212</v>
      </c>
      <c r="J18" s="185">
        <v>3.94</v>
      </c>
      <c r="K18" s="185">
        <v>6.29</v>
      </c>
      <c r="L18" s="185">
        <v>12.78</v>
      </c>
      <c r="M18" s="185">
        <f t="shared" si="1"/>
        <v>10.23</v>
      </c>
      <c r="N18" s="186"/>
    </row>
    <row r="19" spans="1:14" x14ac:dyDescent="0.25">
      <c r="A19" s="216" t="s">
        <v>299</v>
      </c>
      <c r="B19" s="217" t="s">
        <v>300</v>
      </c>
      <c r="C19" s="1" t="s">
        <v>162</v>
      </c>
      <c r="D19" s="218" t="s">
        <v>301</v>
      </c>
      <c r="E19" s="219">
        <v>80.989999999999995</v>
      </c>
      <c r="F19" s="184"/>
      <c r="G19" s="196">
        <v>43051</v>
      </c>
      <c r="H19" s="183" t="s">
        <v>229</v>
      </c>
      <c r="I19" s="196" t="s">
        <v>212</v>
      </c>
      <c r="J19" s="185">
        <v>7.88</v>
      </c>
      <c r="K19" s="185">
        <v>8.8800000000000008</v>
      </c>
      <c r="L19" s="185">
        <v>20.95</v>
      </c>
      <c r="M19" s="185">
        <f t="shared" si="1"/>
        <v>16.760000000000002</v>
      </c>
      <c r="N19" s="186"/>
    </row>
    <row r="20" spans="1:14" x14ac:dyDescent="0.25">
      <c r="A20" s="216" t="s">
        <v>312</v>
      </c>
      <c r="B20" s="217" t="s">
        <v>313</v>
      </c>
      <c r="C20" s="1" t="s">
        <v>162</v>
      </c>
      <c r="D20" s="218" t="s">
        <v>301</v>
      </c>
      <c r="E20" s="219">
        <v>100.76</v>
      </c>
      <c r="F20" s="184"/>
      <c r="G20" s="196">
        <v>43052</v>
      </c>
      <c r="H20" s="183" t="s">
        <v>230</v>
      </c>
      <c r="I20" s="196" t="s">
        <v>212</v>
      </c>
      <c r="J20" s="185">
        <v>11.82</v>
      </c>
      <c r="K20" s="185">
        <v>57.36</v>
      </c>
      <c r="L20" s="185">
        <v>86.47</v>
      </c>
      <c r="M20" s="185">
        <f t="shared" si="1"/>
        <v>69.180000000000007</v>
      </c>
      <c r="N20" s="186"/>
    </row>
    <row r="21" spans="1:14" x14ac:dyDescent="0.25">
      <c r="A21" s="216" t="s">
        <v>306</v>
      </c>
      <c r="B21" s="217" t="s">
        <v>307</v>
      </c>
      <c r="C21" s="1" t="s">
        <v>162</v>
      </c>
      <c r="D21" s="218" t="s">
        <v>301</v>
      </c>
      <c r="E21" s="219">
        <v>84.39</v>
      </c>
      <c r="F21" s="184"/>
      <c r="G21" s="196">
        <v>43156</v>
      </c>
      <c r="H21" s="197" t="s">
        <v>231</v>
      </c>
      <c r="I21" s="196" t="s">
        <v>212</v>
      </c>
      <c r="J21" s="185">
        <v>11.82</v>
      </c>
      <c r="K21" s="185">
        <v>8.74</v>
      </c>
      <c r="L21" s="185">
        <v>25.7</v>
      </c>
      <c r="M21" s="185">
        <f t="shared" si="1"/>
        <v>20.560000000000002</v>
      </c>
      <c r="N21" s="186"/>
    </row>
    <row r="22" spans="1:14" x14ac:dyDescent="0.25">
      <c r="A22" s="216" t="s">
        <v>314</v>
      </c>
      <c r="B22" s="217" t="s">
        <v>315</v>
      </c>
      <c r="C22" s="1" t="s">
        <v>162</v>
      </c>
      <c r="D22" s="218" t="s">
        <v>301</v>
      </c>
      <c r="E22" s="219">
        <v>94.67</v>
      </c>
      <c r="F22" s="184"/>
      <c r="G22" s="196">
        <v>43118</v>
      </c>
      <c r="H22" s="183" t="s">
        <v>239</v>
      </c>
      <c r="I22" s="196" t="s">
        <v>162</v>
      </c>
      <c r="J22" s="185">
        <v>5.91</v>
      </c>
      <c r="K22" s="185">
        <v>5.04</v>
      </c>
      <c r="L22" s="185">
        <v>13.68</v>
      </c>
      <c r="M22" s="185">
        <f t="shared" si="1"/>
        <v>10.95</v>
      </c>
      <c r="N22" s="186"/>
    </row>
    <row r="23" spans="1:14" x14ac:dyDescent="0.25">
      <c r="A23" s="216" t="s">
        <v>295</v>
      </c>
      <c r="B23" s="217" t="s">
        <v>296</v>
      </c>
      <c r="C23" s="1" t="s">
        <v>145</v>
      </c>
      <c r="D23" s="218" t="s">
        <v>163</v>
      </c>
      <c r="E23" s="219">
        <v>877.25</v>
      </c>
      <c r="F23" s="184"/>
      <c r="G23" s="196">
        <v>43062</v>
      </c>
      <c r="H23" s="183" t="s">
        <v>242</v>
      </c>
      <c r="I23" s="196" t="s">
        <v>212</v>
      </c>
      <c r="J23" s="185">
        <v>2.35</v>
      </c>
      <c r="K23" s="185">
        <v>2.68</v>
      </c>
      <c r="L23" s="185">
        <v>6.28</v>
      </c>
      <c r="M23" s="185">
        <f t="shared" si="1"/>
        <v>5.03</v>
      </c>
      <c r="N23" s="186"/>
    </row>
    <row r="24" spans="1:14" x14ac:dyDescent="0.25">
      <c r="A24" s="216" t="s">
        <v>319</v>
      </c>
      <c r="B24" s="217" t="s">
        <v>320</v>
      </c>
      <c r="C24" s="1" t="s">
        <v>162</v>
      </c>
      <c r="D24" s="218" t="s">
        <v>301</v>
      </c>
      <c r="E24" s="219">
        <v>72.19</v>
      </c>
      <c r="F24" s="184"/>
      <c r="G24" s="196">
        <v>43087</v>
      </c>
      <c r="H24" s="183" t="s">
        <v>243</v>
      </c>
      <c r="I24" s="196" t="s">
        <v>212</v>
      </c>
      <c r="J24" s="185">
        <v>7.88</v>
      </c>
      <c r="K24" s="185">
        <v>2.99</v>
      </c>
      <c r="L24" s="185">
        <v>13.58</v>
      </c>
      <c r="M24" s="185">
        <f t="shared" si="1"/>
        <v>10.870000000000001</v>
      </c>
      <c r="N24" s="186"/>
    </row>
    <row r="25" spans="1:14" x14ac:dyDescent="0.25">
      <c r="A25" s="216" t="s">
        <v>321</v>
      </c>
      <c r="B25" s="217" t="s">
        <v>322</v>
      </c>
      <c r="C25" s="1" t="s">
        <v>145</v>
      </c>
      <c r="D25" s="218" t="s">
        <v>301</v>
      </c>
      <c r="E25" s="219">
        <v>22.55</v>
      </c>
      <c r="F25" s="184"/>
      <c r="G25" s="196">
        <v>42911</v>
      </c>
      <c r="H25" s="183" t="s">
        <v>246</v>
      </c>
      <c r="I25" s="196" t="s">
        <v>212</v>
      </c>
      <c r="J25" s="185">
        <v>30.36</v>
      </c>
      <c r="K25" s="185">
        <v>328.04</v>
      </c>
      <c r="L25" s="185">
        <v>448</v>
      </c>
      <c r="M25" s="185">
        <f t="shared" si="1"/>
        <v>358.40000000000003</v>
      </c>
    </row>
    <row r="26" spans="1:14" x14ac:dyDescent="0.25">
      <c r="A26" s="216" t="s">
        <v>323</v>
      </c>
      <c r="B26" s="217" t="s">
        <v>324</v>
      </c>
      <c r="C26" s="1" t="s">
        <v>162</v>
      </c>
      <c r="D26" s="218" t="s">
        <v>301</v>
      </c>
      <c r="E26" s="219">
        <v>79.81</v>
      </c>
      <c r="F26" s="190"/>
      <c r="G26" s="182">
        <v>42846</v>
      </c>
      <c r="H26" s="183" t="s">
        <v>166</v>
      </c>
      <c r="I26" s="182" t="s">
        <v>145</v>
      </c>
      <c r="J26" s="185">
        <v>7.55</v>
      </c>
      <c r="K26" s="185">
        <v>0</v>
      </c>
      <c r="L26" s="185">
        <v>9.43</v>
      </c>
      <c r="M26" s="185">
        <f t="shared" si="1"/>
        <v>7.55</v>
      </c>
    </row>
    <row r="27" spans="1:14" x14ac:dyDescent="0.25">
      <c r="A27" s="216" t="s">
        <v>260</v>
      </c>
      <c r="B27" s="217" t="s">
        <v>261</v>
      </c>
      <c r="C27" s="1" t="s">
        <v>145</v>
      </c>
      <c r="D27" s="218" t="s">
        <v>163</v>
      </c>
      <c r="E27" s="219">
        <v>38.47</v>
      </c>
      <c r="F27" s="191"/>
      <c r="G27" s="196">
        <v>42541</v>
      </c>
      <c r="H27" s="183" t="s">
        <v>247</v>
      </c>
      <c r="I27" s="196" t="s">
        <v>145</v>
      </c>
      <c r="J27" s="185">
        <v>16.239999999999998</v>
      </c>
      <c r="K27" s="185">
        <v>0</v>
      </c>
      <c r="L27" s="185">
        <v>20.3</v>
      </c>
      <c r="M27" s="185">
        <f t="shared" si="1"/>
        <v>16.239999999999998</v>
      </c>
    </row>
    <row r="28" spans="1:14" x14ac:dyDescent="0.25">
      <c r="A28" s="216" t="s">
        <v>433</v>
      </c>
      <c r="B28" s="217" t="s">
        <v>434</v>
      </c>
      <c r="C28" s="1" t="s">
        <v>145</v>
      </c>
      <c r="D28" s="218" t="s">
        <v>301</v>
      </c>
      <c r="E28" s="219">
        <v>45.21</v>
      </c>
      <c r="F28" s="191"/>
      <c r="G28" s="196">
        <v>42546</v>
      </c>
      <c r="H28" s="183" t="s">
        <v>248</v>
      </c>
      <c r="I28" s="196" t="s">
        <v>145</v>
      </c>
      <c r="J28" s="185">
        <v>10.199999999999999</v>
      </c>
      <c r="K28" s="185">
        <v>0</v>
      </c>
      <c r="L28" s="185">
        <v>12.75</v>
      </c>
      <c r="M28" s="185">
        <f t="shared" si="1"/>
        <v>10.199999999999999</v>
      </c>
    </row>
    <row r="29" spans="1:14" x14ac:dyDescent="0.25">
      <c r="A29" s="216" t="s">
        <v>323</v>
      </c>
      <c r="B29" s="217" t="s">
        <v>324</v>
      </c>
      <c r="C29" s="1" t="s">
        <v>162</v>
      </c>
      <c r="D29" s="218" t="s">
        <v>301</v>
      </c>
      <c r="E29" s="219">
        <v>79.81</v>
      </c>
      <c r="F29" s="184"/>
      <c r="G29" s="196">
        <v>42704</v>
      </c>
      <c r="H29" s="183" t="s">
        <v>249</v>
      </c>
      <c r="I29" s="196" t="s">
        <v>145</v>
      </c>
      <c r="J29" s="185">
        <v>102.48</v>
      </c>
      <c r="K29" s="185">
        <v>343.88</v>
      </c>
      <c r="L29" s="185">
        <v>557.95000000000005</v>
      </c>
      <c r="M29" s="185">
        <f t="shared" si="1"/>
        <v>446.36</v>
      </c>
    </row>
    <row r="30" spans="1:14" x14ac:dyDescent="0.25">
      <c r="A30" s="216" t="s">
        <v>337</v>
      </c>
      <c r="B30" s="217" t="s">
        <v>338</v>
      </c>
      <c r="C30" s="1" t="s">
        <v>145</v>
      </c>
      <c r="D30" s="218" t="s">
        <v>163</v>
      </c>
      <c r="E30" s="219">
        <v>3.9</v>
      </c>
      <c r="F30" s="184"/>
      <c r="G30" s="196">
        <v>42700</v>
      </c>
      <c r="H30" s="183" t="s">
        <v>256</v>
      </c>
      <c r="I30" s="196" t="s">
        <v>257</v>
      </c>
      <c r="J30" s="185">
        <v>37.909999999999997</v>
      </c>
      <c r="K30" s="185">
        <v>572.38</v>
      </c>
      <c r="L30" s="185">
        <v>762.86</v>
      </c>
      <c r="M30" s="185">
        <f t="shared" si="1"/>
        <v>610.29</v>
      </c>
    </row>
    <row r="31" spans="1:14" x14ac:dyDescent="0.25">
      <c r="A31" s="216" t="s">
        <v>342</v>
      </c>
      <c r="B31" s="217" t="s">
        <v>343</v>
      </c>
      <c r="C31" s="1" t="s">
        <v>162</v>
      </c>
      <c r="D31" s="218" t="s">
        <v>163</v>
      </c>
      <c r="E31" s="219">
        <v>22.72</v>
      </c>
      <c r="F31" s="184"/>
      <c r="G31" s="196">
        <v>40142</v>
      </c>
      <c r="H31" s="183" t="s">
        <v>259</v>
      </c>
      <c r="I31" s="196" t="s">
        <v>167</v>
      </c>
      <c r="J31" s="185">
        <v>0</v>
      </c>
      <c r="K31" s="185">
        <v>516.99</v>
      </c>
      <c r="L31" s="185">
        <v>646.23</v>
      </c>
      <c r="M31" s="185">
        <f t="shared" si="1"/>
        <v>516.99</v>
      </c>
      <c r="N31" s="186"/>
    </row>
    <row r="32" spans="1:14" x14ac:dyDescent="0.25">
      <c r="A32" s="216" t="s">
        <v>344</v>
      </c>
      <c r="B32" s="217" t="s">
        <v>345</v>
      </c>
      <c r="C32" s="1" t="s">
        <v>145</v>
      </c>
      <c r="D32" s="218" t="s">
        <v>163</v>
      </c>
      <c r="E32" s="219">
        <v>59.52</v>
      </c>
      <c r="F32" s="184"/>
      <c r="G32" s="196">
        <v>43612</v>
      </c>
      <c r="H32" s="183" t="s">
        <v>264</v>
      </c>
      <c r="I32" s="196" t="s">
        <v>212</v>
      </c>
      <c r="J32" s="185">
        <v>8.3000000000000007</v>
      </c>
      <c r="K32" s="185">
        <v>124.11</v>
      </c>
      <c r="L32" s="185">
        <v>165.51</v>
      </c>
      <c r="M32" s="185">
        <f t="shared" si="1"/>
        <v>132.41</v>
      </c>
      <c r="N32" s="186"/>
    </row>
    <row r="33" spans="1:14" x14ac:dyDescent="0.25">
      <c r="A33" s="216" t="s">
        <v>350</v>
      </c>
      <c r="B33" s="217" t="s">
        <v>351</v>
      </c>
      <c r="C33" s="1" t="s">
        <v>162</v>
      </c>
      <c r="D33" s="218" t="s">
        <v>163</v>
      </c>
      <c r="E33" s="219">
        <v>5.84</v>
      </c>
      <c r="F33" s="184"/>
      <c r="G33" s="196">
        <v>40058</v>
      </c>
      <c r="H33" s="183" t="s">
        <v>265</v>
      </c>
      <c r="I33" s="196" t="s">
        <v>212</v>
      </c>
      <c r="J33" s="185">
        <v>8.3000000000000007</v>
      </c>
      <c r="K33" s="185">
        <v>104.63</v>
      </c>
      <c r="L33" s="185">
        <v>141.16</v>
      </c>
      <c r="M33" s="185">
        <f t="shared" si="1"/>
        <v>112.92999999999999</v>
      </c>
      <c r="N33" s="186"/>
    </row>
    <row r="34" spans="1:14" x14ac:dyDescent="0.25">
      <c r="A34" s="216" t="s">
        <v>323</v>
      </c>
      <c r="B34" s="217" t="s">
        <v>324</v>
      </c>
      <c r="C34" s="1" t="s">
        <v>162</v>
      </c>
      <c r="D34" s="218" t="s">
        <v>301</v>
      </c>
      <c r="E34" s="219">
        <v>79.81</v>
      </c>
      <c r="F34" s="184"/>
      <c r="G34" s="196">
        <v>43700</v>
      </c>
      <c r="H34" s="183" t="s">
        <v>266</v>
      </c>
      <c r="I34" s="196" t="s">
        <v>212</v>
      </c>
      <c r="J34" s="185">
        <v>3.02</v>
      </c>
      <c r="K34" s="185">
        <v>16.28</v>
      </c>
      <c r="L34" s="185">
        <v>24.12</v>
      </c>
      <c r="M34" s="185">
        <f t="shared" si="1"/>
        <v>19.3</v>
      </c>
      <c r="N34" s="186"/>
    </row>
    <row r="35" spans="1:14" x14ac:dyDescent="0.25">
      <c r="A35" s="216" t="s">
        <v>359</v>
      </c>
      <c r="B35" s="217" t="s">
        <v>360</v>
      </c>
      <c r="C35" s="1" t="s">
        <v>145</v>
      </c>
      <c r="D35" s="218" t="s">
        <v>163</v>
      </c>
      <c r="E35" s="219">
        <v>1.65</v>
      </c>
      <c r="F35" s="184"/>
      <c r="G35" s="196">
        <v>43155</v>
      </c>
      <c r="H35" s="183" t="s">
        <v>267</v>
      </c>
      <c r="I35" s="196" t="s">
        <v>151</v>
      </c>
      <c r="J35" s="185">
        <v>343.24</v>
      </c>
      <c r="K35" s="185">
        <v>354.63</v>
      </c>
      <c r="L35" s="185">
        <v>872.33</v>
      </c>
      <c r="M35" s="185">
        <f t="shared" si="1"/>
        <v>697.87</v>
      </c>
      <c r="N35" s="186"/>
    </row>
    <row r="36" spans="1:14" x14ac:dyDescent="0.25">
      <c r="A36" s="216" t="s">
        <v>362</v>
      </c>
      <c r="B36" s="217" t="s">
        <v>363</v>
      </c>
      <c r="C36" s="1" t="s">
        <v>164</v>
      </c>
      <c r="D36" s="218" t="s">
        <v>163</v>
      </c>
      <c r="E36" s="219">
        <v>152.47999999999999</v>
      </c>
      <c r="F36" s="184"/>
      <c r="G36" s="196">
        <v>43153</v>
      </c>
      <c r="H36" s="183" t="s">
        <v>269</v>
      </c>
      <c r="I36" s="196" t="s">
        <v>151</v>
      </c>
      <c r="J36" s="185">
        <v>334.56</v>
      </c>
      <c r="K36" s="185">
        <v>387.69</v>
      </c>
      <c r="L36" s="185">
        <v>902.81</v>
      </c>
      <c r="M36" s="185">
        <f t="shared" si="1"/>
        <v>722.25</v>
      </c>
      <c r="N36" s="186"/>
    </row>
    <row r="37" spans="1:14" x14ac:dyDescent="0.25">
      <c r="A37" s="216" t="s">
        <v>364</v>
      </c>
      <c r="B37" s="217" t="s">
        <v>365</v>
      </c>
      <c r="C37" s="1" t="s">
        <v>164</v>
      </c>
      <c r="D37" s="218" t="s">
        <v>163</v>
      </c>
      <c r="E37" s="219">
        <v>483.48</v>
      </c>
      <c r="F37" s="184"/>
      <c r="G37" s="196">
        <v>43154</v>
      </c>
      <c r="H37" s="183" t="s">
        <v>270</v>
      </c>
      <c r="I37" s="196" t="s">
        <v>271</v>
      </c>
      <c r="J37" s="185">
        <v>343.24</v>
      </c>
      <c r="K37" s="185">
        <v>354.63</v>
      </c>
      <c r="L37" s="185">
        <v>872.33</v>
      </c>
      <c r="M37" s="185">
        <f t="shared" si="1"/>
        <v>697.87</v>
      </c>
      <c r="N37" s="186"/>
    </row>
    <row r="38" spans="1:14" x14ac:dyDescent="0.25">
      <c r="A38" s="216" t="s">
        <v>366</v>
      </c>
      <c r="B38" s="217" t="s">
        <v>367</v>
      </c>
      <c r="C38" s="1" t="s">
        <v>164</v>
      </c>
      <c r="D38" s="218" t="s">
        <v>163</v>
      </c>
      <c r="E38" s="219">
        <v>184.86</v>
      </c>
      <c r="F38" s="184"/>
      <c r="G38" s="196">
        <v>42574</v>
      </c>
      <c r="H38" s="183" t="s">
        <v>273</v>
      </c>
      <c r="I38" s="196" t="s">
        <v>145</v>
      </c>
      <c r="J38" s="185">
        <v>42.47</v>
      </c>
      <c r="K38" s="185">
        <v>40.590000000000003</v>
      </c>
      <c r="L38" s="185">
        <v>103.82</v>
      </c>
      <c r="M38" s="185">
        <f t="shared" si="1"/>
        <v>83.06</v>
      </c>
      <c r="N38" s="186"/>
    </row>
    <row r="39" spans="1:14" x14ac:dyDescent="0.25">
      <c r="A39" s="216" t="s">
        <v>368</v>
      </c>
      <c r="B39" s="217" t="s">
        <v>369</v>
      </c>
      <c r="C39" s="1" t="s">
        <v>164</v>
      </c>
      <c r="D39" s="218" t="s">
        <v>163</v>
      </c>
      <c r="E39" s="219">
        <v>151.19999999999999</v>
      </c>
      <c r="F39" s="184"/>
      <c r="G39" s="196">
        <v>42515</v>
      </c>
      <c r="H39" s="183" t="s">
        <v>278</v>
      </c>
      <c r="I39" s="196" t="s">
        <v>145</v>
      </c>
      <c r="J39" s="185">
        <v>5.75</v>
      </c>
      <c r="K39" s="185">
        <v>0</v>
      </c>
      <c r="L39" s="185">
        <v>7.18</v>
      </c>
      <c r="M39" s="185">
        <f t="shared" si="1"/>
        <v>5.75</v>
      </c>
      <c r="N39" s="186"/>
    </row>
    <row r="40" spans="1:14" x14ac:dyDescent="0.25">
      <c r="A40" s="212">
        <v>37401</v>
      </c>
      <c r="B40" s="213" t="s">
        <v>376</v>
      </c>
      <c r="C40" s="1" t="s">
        <v>164</v>
      </c>
      <c r="D40" s="214" t="s">
        <v>377</v>
      </c>
      <c r="E40" s="215">
        <v>64.22</v>
      </c>
      <c r="F40" s="184"/>
      <c r="G40" s="182">
        <v>42850</v>
      </c>
      <c r="H40" s="183" t="s">
        <v>283</v>
      </c>
      <c r="I40" s="178" t="s">
        <v>151</v>
      </c>
      <c r="J40" s="185">
        <v>15.1</v>
      </c>
      <c r="K40" s="185">
        <v>34.5</v>
      </c>
      <c r="L40" s="185">
        <v>62</v>
      </c>
      <c r="M40" s="185">
        <f t="shared" si="1"/>
        <v>49.6</v>
      </c>
      <c r="N40" s="186"/>
    </row>
    <row r="41" spans="1:14" x14ac:dyDescent="0.25">
      <c r="A41" s="212">
        <v>11703</v>
      </c>
      <c r="B41" s="213" t="s">
        <v>378</v>
      </c>
      <c r="C41" s="1" t="s">
        <v>164</v>
      </c>
      <c r="D41" s="214" t="s">
        <v>379</v>
      </c>
      <c r="E41" s="215">
        <v>43.6</v>
      </c>
      <c r="F41" s="184"/>
      <c r="G41" s="196">
        <v>42558</v>
      </c>
      <c r="H41" s="183" t="s">
        <v>284</v>
      </c>
      <c r="I41" s="196" t="s">
        <v>22</v>
      </c>
      <c r="J41" s="185">
        <v>15.1</v>
      </c>
      <c r="K41" s="185">
        <v>0</v>
      </c>
      <c r="L41" s="185">
        <v>18.87</v>
      </c>
      <c r="M41" s="185">
        <f t="shared" si="1"/>
        <v>15.1</v>
      </c>
      <c r="N41" s="186"/>
    </row>
    <row r="42" spans="1:14" x14ac:dyDescent="0.25">
      <c r="A42" s="212">
        <v>11758</v>
      </c>
      <c r="B42" s="213" t="s">
        <v>381</v>
      </c>
      <c r="C42" s="1" t="s">
        <v>164</v>
      </c>
      <c r="D42" s="214" t="s">
        <v>377</v>
      </c>
      <c r="E42" s="215">
        <v>61.69</v>
      </c>
      <c r="F42" s="184"/>
      <c r="G42" s="182">
        <v>42806</v>
      </c>
      <c r="H42" s="183" t="s">
        <v>286</v>
      </c>
      <c r="I42" s="178" t="s">
        <v>145</v>
      </c>
      <c r="J42" s="185">
        <v>48.44</v>
      </c>
      <c r="K42" s="185">
        <v>17.96</v>
      </c>
      <c r="L42" s="185">
        <v>83</v>
      </c>
      <c r="M42" s="185">
        <f t="shared" si="1"/>
        <v>66.400000000000006</v>
      </c>
      <c r="N42" s="186"/>
    </row>
    <row r="43" spans="1:14" ht="30" x14ac:dyDescent="0.25">
      <c r="A43" s="28" t="s">
        <v>403</v>
      </c>
      <c r="B43" s="204" t="s">
        <v>404</v>
      </c>
      <c r="C43" s="173" t="s">
        <v>164</v>
      </c>
      <c r="D43" s="208" t="s">
        <v>163</v>
      </c>
      <c r="E43" s="176">
        <v>24.97</v>
      </c>
      <c r="F43" s="184"/>
      <c r="G43" s="177">
        <v>40222</v>
      </c>
      <c r="H43" s="198" t="s">
        <v>288</v>
      </c>
      <c r="I43" s="28" t="s">
        <v>167</v>
      </c>
      <c r="J43" s="185">
        <v>26.56</v>
      </c>
      <c r="K43" s="185">
        <v>33.799999999999997</v>
      </c>
      <c r="L43" s="185">
        <v>75.45</v>
      </c>
      <c r="M43" s="185">
        <f t="shared" si="1"/>
        <v>60.36</v>
      </c>
      <c r="N43" s="186"/>
    </row>
    <row r="44" spans="1:14" x14ac:dyDescent="0.25">
      <c r="A44" s="178" t="s">
        <v>405</v>
      </c>
      <c r="B44" s="179" t="s">
        <v>406</v>
      </c>
      <c r="C44" s="173" t="s">
        <v>164</v>
      </c>
      <c r="D44" s="174" t="s">
        <v>163</v>
      </c>
      <c r="E44" s="175">
        <v>177.2</v>
      </c>
      <c r="F44" s="184"/>
      <c r="G44" s="196">
        <v>42729</v>
      </c>
      <c r="H44" s="183" t="s">
        <v>318</v>
      </c>
      <c r="I44" s="196" t="s">
        <v>145</v>
      </c>
      <c r="J44" s="185">
        <v>10.23</v>
      </c>
      <c r="K44" s="185">
        <v>30.41</v>
      </c>
      <c r="L44" s="185">
        <v>50.8</v>
      </c>
      <c r="M44" s="185">
        <f t="shared" si="1"/>
        <v>40.64</v>
      </c>
      <c r="N44" s="186"/>
    </row>
    <row r="45" spans="1:14" x14ac:dyDescent="0.25">
      <c r="A45" s="216" t="s">
        <v>414</v>
      </c>
      <c r="B45" s="217" t="s">
        <v>415</v>
      </c>
      <c r="C45" s="1" t="s">
        <v>145</v>
      </c>
      <c r="D45" s="218" t="s">
        <v>163</v>
      </c>
      <c r="E45" s="219">
        <v>2.94</v>
      </c>
      <c r="F45" s="184"/>
      <c r="G45" s="196">
        <v>42751</v>
      </c>
      <c r="H45" s="183" t="s">
        <v>325</v>
      </c>
      <c r="I45" s="196" t="s">
        <v>162</v>
      </c>
      <c r="J45" s="185">
        <v>18.98</v>
      </c>
      <c r="K45" s="185">
        <v>24.04</v>
      </c>
      <c r="L45" s="185">
        <v>53.77</v>
      </c>
      <c r="M45" s="185">
        <f t="shared" si="1"/>
        <v>43.019999999999996</v>
      </c>
      <c r="N45" s="186"/>
    </row>
    <row r="46" spans="1:14" x14ac:dyDescent="0.25">
      <c r="A46" s="216" t="s">
        <v>416</v>
      </c>
      <c r="B46" s="217" t="s">
        <v>417</v>
      </c>
      <c r="C46" s="1" t="s">
        <v>145</v>
      </c>
      <c r="D46" s="218" t="s">
        <v>163</v>
      </c>
      <c r="E46" s="219">
        <v>6.33</v>
      </c>
      <c r="F46" s="184"/>
      <c r="G46" s="196">
        <v>42782</v>
      </c>
      <c r="H46" s="183" t="s">
        <v>326</v>
      </c>
      <c r="I46" s="196" t="s">
        <v>145</v>
      </c>
      <c r="J46" s="185">
        <v>5.3</v>
      </c>
      <c r="K46" s="185">
        <v>7.62</v>
      </c>
      <c r="L46" s="185">
        <v>16.149999999999999</v>
      </c>
      <c r="M46" s="185">
        <f t="shared" si="1"/>
        <v>12.92</v>
      </c>
      <c r="N46" s="186"/>
    </row>
    <row r="47" spans="1:14" x14ac:dyDescent="0.25">
      <c r="A47" s="178" t="s">
        <v>436</v>
      </c>
      <c r="B47" s="179" t="s">
        <v>437</v>
      </c>
      <c r="C47" s="173" t="s">
        <v>145</v>
      </c>
      <c r="D47" s="174" t="s">
        <v>163</v>
      </c>
      <c r="E47" s="175">
        <v>86.45</v>
      </c>
      <c r="F47" s="184"/>
      <c r="G47" s="182">
        <v>42802</v>
      </c>
      <c r="H47" s="183" t="s">
        <v>327</v>
      </c>
      <c r="I47" s="182" t="s">
        <v>145</v>
      </c>
      <c r="J47" s="185">
        <v>1.0900000000000001</v>
      </c>
      <c r="K47" s="185">
        <v>1.17</v>
      </c>
      <c r="L47" s="185">
        <v>2.82</v>
      </c>
      <c r="M47" s="185">
        <f t="shared" si="1"/>
        <v>2.2599999999999998</v>
      </c>
      <c r="N47" s="186"/>
    </row>
    <row r="48" spans="1:14" x14ac:dyDescent="0.25">
      <c r="A48" s="216" t="s">
        <v>439</v>
      </c>
      <c r="B48" s="217" t="s">
        <v>440</v>
      </c>
      <c r="C48" s="1" t="s">
        <v>162</v>
      </c>
      <c r="D48" s="218" t="s">
        <v>301</v>
      </c>
      <c r="E48" s="219">
        <v>58.34</v>
      </c>
      <c r="G48" s="182">
        <v>42781</v>
      </c>
      <c r="H48" s="183" t="s">
        <v>329</v>
      </c>
      <c r="I48" s="182" t="s">
        <v>145</v>
      </c>
      <c r="J48" s="185">
        <v>11.75</v>
      </c>
      <c r="K48" s="185">
        <v>10.99</v>
      </c>
      <c r="L48" s="185">
        <v>28.42</v>
      </c>
      <c r="M48" s="185">
        <f t="shared" si="1"/>
        <v>22.740000000000002</v>
      </c>
      <c r="N48" s="184"/>
    </row>
    <row r="49" spans="1:14" x14ac:dyDescent="0.25">
      <c r="A49" s="178" t="s">
        <v>441</v>
      </c>
      <c r="B49" s="179" t="s">
        <v>442</v>
      </c>
      <c r="C49" s="173" t="s">
        <v>164</v>
      </c>
      <c r="D49" s="174" t="s">
        <v>163</v>
      </c>
      <c r="E49" s="175">
        <v>701.21</v>
      </c>
      <c r="G49" s="182">
        <v>43865</v>
      </c>
      <c r="H49" s="183" t="s">
        <v>332</v>
      </c>
      <c r="I49" s="182" t="s">
        <v>162</v>
      </c>
      <c r="J49" s="185">
        <v>18.95</v>
      </c>
      <c r="K49" s="185">
        <v>74.11</v>
      </c>
      <c r="L49" s="185">
        <v>116.32</v>
      </c>
      <c r="M49" s="185">
        <f t="shared" si="1"/>
        <v>93.06</v>
      </c>
      <c r="N49" s="184"/>
    </row>
    <row r="50" spans="1:14" x14ac:dyDescent="0.25">
      <c r="A50" s="216" t="s">
        <v>444</v>
      </c>
      <c r="B50" s="217" t="s">
        <v>445</v>
      </c>
      <c r="C50" s="1" t="s">
        <v>164</v>
      </c>
      <c r="D50" s="218" t="s">
        <v>163</v>
      </c>
      <c r="E50" s="219">
        <v>417.21</v>
      </c>
      <c r="G50" s="182">
        <v>42590</v>
      </c>
      <c r="H50" s="183" t="s">
        <v>333</v>
      </c>
      <c r="I50" s="182" t="s">
        <v>151</v>
      </c>
      <c r="J50" s="185">
        <v>52.85</v>
      </c>
      <c r="K50" s="185">
        <v>0</v>
      </c>
      <c r="L50" s="185">
        <v>66.06</v>
      </c>
      <c r="M50" s="185">
        <f t="shared" si="1"/>
        <v>52.85</v>
      </c>
      <c r="N50" s="184"/>
    </row>
    <row r="51" spans="1:14" x14ac:dyDescent="0.25">
      <c r="A51" s="178" t="s">
        <v>368</v>
      </c>
      <c r="B51" s="179" t="s">
        <v>369</v>
      </c>
      <c r="C51" s="173" t="s">
        <v>164</v>
      </c>
      <c r="D51" s="174" t="s">
        <v>163</v>
      </c>
      <c r="E51" s="175">
        <v>151.19999999999999</v>
      </c>
      <c r="G51" s="182">
        <v>42590</v>
      </c>
      <c r="H51" s="183" t="s">
        <v>334</v>
      </c>
      <c r="I51" s="182" t="s">
        <v>271</v>
      </c>
      <c r="J51" s="185">
        <v>52.85</v>
      </c>
      <c r="K51" s="185">
        <v>0</v>
      </c>
      <c r="L51" s="185">
        <v>66.06</v>
      </c>
      <c r="M51" s="185">
        <f t="shared" si="1"/>
        <v>52.85</v>
      </c>
    </row>
    <row r="52" spans="1:14" x14ac:dyDescent="0.25">
      <c r="A52" s="216" t="s">
        <v>366</v>
      </c>
      <c r="B52" s="217" t="s">
        <v>367</v>
      </c>
      <c r="C52" s="1" t="s">
        <v>164</v>
      </c>
      <c r="D52" s="218" t="s">
        <v>163</v>
      </c>
      <c r="E52" s="219">
        <v>184.86</v>
      </c>
      <c r="G52" s="182">
        <v>42726</v>
      </c>
      <c r="H52" s="183" t="s">
        <v>335</v>
      </c>
      <c r="I52" s="182" t="s">
        <v>145</v>
      </c>
      <c r="J52" s="185">
        <v>15.9</v>
      </c>
      <c r="K52" s="185">
        <v>23.4</v>
      </c>
      <c r="L52" s="185">
        <v>49.12</v>
      </c>
      <c r="M52" s="185">
        <f t="shared" si="1"/>
        <v>39.299999999999997</v>
      </c>
    </row>
    <row r="53" spans="1:14" x14ac:dyDescent="0.25">
      <c r="A53" s="178" t="s">
        <v>453</v>
      </c>
      <c r="B53" s="179" t="s">
        <v>454</v>
      </c>
      <c r="C53" s="173" t="s">
        <v>164</v>
      </c>
      <c r="D53" s="174" t="s">
        <v>163</v>
      </c>
      <c r="E53" s="175">
        <v>206.19</v>
      </c>
      <c r="G53" s="182">
        <v>42665</v>
      </c>
      <c r="H53" s="183" t="s">
        <v>336</v>
      </c>
      <c r="I53" s="182" t="s">
        <v>145</v>
      </c>
      <c r="J53" s="185">
        <v>26.53</v>
      </c>
      <c r="K53" s="185">
        <v>26.93</v>
      </c>
      <c r="L53" s="185">
        <v>66.819999999999993</v>
      </c>
      <c r="M53" s="185">
        <f t="shared" si="1"/>
        <v>53.46</v>
      </c>
    </row>
    <row r="54" spans="1:14" x14ac:dyDescent="0.25">
      <c r="A54" s="216" t="s">
        <v>455</v>
      </c>
      <c r="B54" s="217" t="s">
        <v>456</v>
      </c>
      <c r="C54" s="1" t="s">
        <v>164</v>
      </c>
      <c r="D54" s="218" t="s">
        <v>163</v>
      </c>
      <c r="E54" s="219">
        <v>187.22</v>
      </c>
      <c r="G54" s="182">
        <v>42892</v>
      </c>
      <c r="H54" s="183" t="s">
        <v>340</v>
      </c>
      <c r="I54" s="182" t="s">
        <v>145</v>
      </c>
      <c r="J54" s="185">
        <v>56.86</v>
      </c>
      <c r="K54" s="185">
        <v>378.71</v>
      </c>
      <c r="L54" s="185">
        <v>544.46</v>
      </c>
      <c r="M54" s="185">
        <f t="shared" si="1"/>
        <v>435.57</v>
      </c>
    </row>
    <row r="55" spans="1:14" x14ac:dyDescent="0.25">
      <c r="A55" s="178" t="s">
        <v>460</v>
      </c>
      <c r="B55" s="179" t="s">
        <v>461</v>
      </c>
      <c r="C55" s="173" t="s">
        <v>164</v>
      </c>
      <c r="D55" s="174" t="s">
        <v>301</v>
      </c>
      <c r="E55" s="175">
        <v>157.61000000000001</v>
      </c>
      <c r="G55" s="182">
        <v>43239</v>
      </c>
      <c r="H55" s="183" t="s">
        <v>341</v>
      </c>
      <c r="I55" s="182" t="s">
        <v>151</v>
      </c>
      <c r="J55" s="185">
        <v>30.2</v>
      </c>
      <c r="K55" s="185">
        <v>118</v>
      </c>
      <c r="L55" s="185">
        <v>185.25</v>
      </c>
      <c r="M55" s="185">
        <f t="shared" si="1"/>
        <v>148.19999999999999</v>
      </c>
    </row>
    <row r="56" spans="1:14" x14ac:dyDescent="0.25">
      <c r="A56" s="216" t="s">
        <v>483</v>
      </c>
      <c r="B56" s="217" t="s">
        <v>484</v>
      </c>
      <c r="C56" s="1" t="s">
        <v>164</v>
      </c>
      <c r="D56" s="218" t="s">
        <v>163</v>
      </c>
      <c r="E56" s="219">
        <v>130.13</v>
      </c>
      <c r="G56" s="182">
        <v>42765</v>
      </c>
      <c r="H56" s="183" t="s">
        <v>287</v>
      </c>
      <c r="I56" s="182" t="s">
        <v>145</v>
      </c>
      <c r="J56" s="185">
        <v>23.48</v>
      </c>
      <c r="K56" s="185">
        <v>5.85</v>
      </c>
      <c r="L56" s="185">
        <v>36.659999999999997</v>
      </c>
      <c r="M56" s="185">
        <f t="shared" si="1"/>
        <v>29.33</v>
      </c>
    </row>
    <row r="57" spans="1:14" x14ac:dyDescent="0.25">
      <c r="A57" s="178" t="s">
        <v>496</v>
      </c>
      <c r="B57" s="179" t="s">
        <v>497</v>
      </c>
      <c r="C57" s="173" t="s">
        <v>164</v>
      </c>
      <c r="D57" s="174" t="s">
        <v>301</v>
      </c>
      <c r="E57" s="175">
        <v>245.03</v>
      </c>
      <c r="G57" s="177">
        <v>40222</v>
      </c>
      <c r="H57" s="181" t="s">
        <v>347</v>
      </c>
      <c r="I57" s="177" t="s">
        <v>167</v>
      </c>
      <c r="J57" s="185">
        <v>26.56</v>
      </c>
      <c r="K57" s="185">
        <v>33.799999999999997</v>
      </c>
      <c r="L57" s="185">
        <v>75.45</v>
      </c>
      <c r="M57" s="185">
        <f t="shared" si="1"/>
        <v>60.36</v>
      </c>
      <c r="N57" s="165"/>
    </row>
    <row r="58" spans="1:14" x14ac:dyDescent="0.25">
      <c r="A58" s="216" t="s">
        <v>498</v>
      </c>
      <c r="B58" s="217" t="s">
        <v>499</v>
      </c>
      <c r="C58" s="1" t="s">
        <v>164</v>
      </c>
      <c r="D58" s="218" t="s">
        <v>301</v>
      </c>
      <c r="E58" s="219">
        <v>1290.2</v>
      </c>
      <c r="G58" s="182">
        <v>43268</v>
      </c>
      <c r="H58" s="183" t="s">
        <v>352</v>
      </c>
      <c r="I58" s="182" t="s">
        <v>145</v>
      </c>
      <c r="J58" s="185">
        <v>17.48</v>
      </c>
      <c r="K58" s="185">
        <v>19.04</v>
      </c>
      <c r="L58" s="185">
        <v>45.65</v>
      </c>
      <c r="M58" s="185">
        <f t="shared" si="1"/>
        <v>36.519999999999996</v>
      </c>
    </row>
    <row r="59" spans="1:14" x14ac:dyDescent="0.25">
      <c r="A59" s="178" t="s">
        <v>500</v>
      </c>
      <c r="B59" s="179" t="s">
        <v>501</v>
      </c>
      <c r="C59" s="173" t="s">
        <v>162</v>
      </c>
      <c r="D59" s="174" t="s">
        <v>163</v>
      </c>
      <c r="E59" s="175">
        <v>25.19</v>
      </c>
      <c r="G59" s="182">
        <v>47984</v>
      </c>
      <c r="H59" s="183" t="s">
        <v>355</v>
      </c>
      <c r="I59" s="182" t="s">
        <v>356</v>
      </c>
      <c r="J59" s="185">
        <v>1.97</v>
      </c>
      <c r="K59" s="185">
        <v>2.58</v>
      </c>
      <c r="L59" s="185">
        <v>5.68</v>
      </c>
      <c r="M59" s="185">
        <f t="shared" si="1"/>
        <v>4.55</v>
      </c>
    </row>
    <row r="60" spans="1:14" x14ac:dyDescent="0.25">
      <c r="A60" s="216" t="s">
        <v>504</v>
      </c>
      <c r="B60" s="217" t="s">
        <v>505</v>
      </c>
      <c r="C60" s="1" t="s">
        <v>162</v>
      </c>
      <c r="D60" s="218" t="s">
        <v>163</v>
      </c>
      <c r="E60" s="219">
        <v>67.989999999999995</v>
      </c>
      <c r="G60" s="182">
        <v>40208</v>
      </c>
      <c r="H60" s="183" t="s">
        <v>357</v>
      </c>
      <c r="I60" s="182" t="s">
        <v>145</v>
      </c>
      <c r="J60" s="185">
        <v>58.49</v>
      </c>
      <c r="K60" s="185">
        <v>19.12</v>
      </c>
      <c r="L60" s="185">
        <v>97.01</v>
      </c>
      <c r="M60" s="185">
        <f t="shared" si="1"/>
        <v>77.61</v>
      </c>
    </row>
    <row r="61" spans="1:14" x14ac:dyDescent="0.25">
      <c r="A61" s="178" t="s">
        <v>506</v>
      </c>
      <c r="B61" s="179" t="s">
        <v>507</v>
      </c>
      <c r="C61" s="173" t="s">
        <v>162</v>
      </c>
      <c r="D61" s="174" t="s">
        <v>163</v>
      </c>
      <c r="E61" s="175">
        <v>28.1</v>
      </c>
      <c r="G61" s="182">
        <v>40089</v>
      </c>
      <c r="H61" s="183" t="s">
        <v>358</v>
      </c>
      <c r="I61" s="182" t="s">
        <v>151</v>
      </c>
      <c r="J61" s="185">
        <v>1300.3900000000001</v>
      </c>
      <c r="K61" s="185">
        <v>1617.79</v>
      </c>
      <c r="L61" s="185">
        <v>3647.72</v>
      </c>
      <c r="M61" s="185">
        <f t="shared" si="1"/>
        <v>2918.1800000000003</v>
      </c>
    </row>
    <row r="62" spans="1:14" x14ac:dyDescent="0.25">
      <c r="A62" s="216" t="s">
        <v>508</v>
      </c>
      <c r="B62" s="217" t="s">
        <v>509</v>
      </c>
      <c r="C62" s="1" t="s">
        <v>162</v>
      </c>
      <c r="D62" s="218" t="s">
        <v>163</v>
      </c>
      <c r="E62" s="219">
        <v>42.94</v>
      </c>
      <c r="G62" s="182">
        <v>43902</v>
      </c>
      <c r="H62" s="183" t="s">
        <v>370</v>
      </c>
      <c r="I62" s="182" t="s">
        <v>145</v>
      </c>
      <c r="J62" s="185">
        <v>3.77</v>
      </c>
      <c r="K62" s="185">
        <v>0</v>
      </c>
      <c r="L62" s="185">
        <v>4.71</v>
      </c>
      <c r="M62" s="185">
        <f t="shared" si="1"/>
        <v>3.77</v>
      </c>
    </row>
    <row r="63" spans="1:14" s="165" customFormat="1" ht="30" x14ac:dyDescent="0.25">
      <c r="A63" s="28" t="s">
        <v>244</v>
      </c>
      <c r="B63" s="204" t="s">
        <v>245</v>
      </c>
      <c r="C63" s="173" t="s">
        <v>162</v>
      </c>
      <c r="D63" s="208" t="s">
        <v>163</v>
      </c>
      <c r="E63" s="176">
        <v>54.87</v>
      </c>
      <c r="G63" s="177">
        <v>43919</v>
      </c>
      <c r="H63" s="181" t="s">
        <v>371</v>
      </c>
      <c r="I63" s="177" t="s">
        <v>22</v>
      </c>
      <c r="J63" s="185">
        <v>676.15</v>
      </c>
      <c r="K63" s="185">
        <v>908.38</v>
      </c>
      <c r="L63" s="185">
        <v>1980.66</v>
      </c>
      <c r="M63" s="185">
        <f t="shared" si="1"/>
        <v>1584.53</v>
      </c>
    </row>
    <row r="64" spans="1:14" x14ac:dyDescent="0.25">
      <c r="A64" s="216" t="s">
        <v>513</v>
      </c>
      <c r="B64" s="217" t="s">
        <v>514</v>
      </c>
      <c r="C64" s="1" t="s">
        <v>164</v>
      </c>
      <c r="D64" s="218" t="s">
        <v>163</v>
      </c>
      <c r="E64" s="219">
        <v>651.72</v>
      </c>
      <c r="G64" s="182">
        <v>42768</v>
      </c>
      <c r="H64" s="183" t="s">
        <v>373</v>
      </c>
      <c r="I64" s="182" t="s">
        <v>145</v>
      </c>
      <c r="J64" s="185">
        <v>56.86</v>
      </c>
      <c r="K64" s="185">
        <v>282.10000000000002</v>
      </c>
      <c r="L64" s="185">
        <v>423.7</v>
      </c>
      <c r="M64" s="185">
        <f t="shared" si="1"/>
        <v>338.96000000000004</v>
      </c>
    </row>
    <row r="65" spans="1:13" x14ac:dyDescent="0.25">
      <c r="A65" s="178" t="s">
        <v>520</v>
      </c>
      <c r="B65" s="179" t="s">
        <v>521</v>
      </c>
      <c r="C65" s="173" t="s">
        <v>164</v>
      </c>
      <c r="D65" s="174" t="s">
        <v>163</v>
      </c>
      <c r="E65" s="175">
        <v>354.12</v>
      </c>
      <c r="G65" s="182">
        <v>42585</v>
      </c>
      <c r="H65" s="183" t="s">
        <v>407</v>
      </c>
      <c r="I65" s="182" t="s">
        <v>151</v>
      </c>
      <c r="J65" s="185">
        <v>22.65</v>
      </c>
      <c r="K65" s="185">
        <v>30.19</v>
      </c>
      <c r="L65" s="185">
        <v>66.05</v>
      </c>
      <c r="M65" s="185">
        <f t="shared" si="1"/>
        <v>52.84</v>
      </c>
    </row>
    <row r="66" spans="1:13" x14ac:dyDescent="0.25">
      <c r="A66" s="216" t="s">
        <v>556</v>
      </c>
      <c r="B66" s="217" t="s">
        <v>557</v>
      </c>
      <c r="C66" s="1" t="s">
        <v>164</v>
      </c>
      <c r="D66" s="218" t="s">
        <v>163</v>
      </c>
      <c r="E66" s="219">
        <v>179.4</v>
      </c>
      <c r="G66" s="182">
        <v>40211</v>
      </c>
      <c r="H66" s="183" t="s">
        <v>413</v>
      </c>
      <c r="I66" s="182" t="s">
        <v>257</v>
      </c>
      <c r="J66" s="185">
        <v>6.04</v>
      </c>
      <c r="K66" s="185">
        <v>0</v>
      </c>
      <c r="L66" s="185">
        <v>7.55</v>
      </c>
      <c r="M66" s="185">
        <f t="shared" si="1"/>
        <v>6.04</v>
      </c>
    </row>
    <row r="67" spans="1:13" x14ac:dyDescent="0.25">
      <c r="A67" s="178" t="s">
        <v>566</v>
      </c>
      <c r="B67" s="179" t="s">
        <v>567</v>
      </c>
      <c r="C67" s="173" t="s">
        <v>164</v>
      </c>
      <c r="D67" s="174" t="s">
        <v>163</v>
      </c>
      <c r="E67" s="175">
        <v>432.81</v>
      </c>
      <c r="G67" s="182">
        <v>42526</v>
      </c>
      <c r="H67" s="183" t="s">
        <v>418</v>
      </c>
      <c r="I67" s="182" t="s">
        <v>145</v>
      </c>
      <c r="J67" s="185">
        <v>21.14</v>
      </c>
      <c r="K67" s="185">
        <v>0</v>
      </c>
      <c r="L67" s="185">
        <v>26.42</v>
      </c>
      <c r="M67" s="185">
        <f t="shared" si="1"/>
        <v>21.14</v>
      </c>
    </row>
    <row r="68" spans="1:13" s="165" customFormat="1" ht="30" x14ac:dyDescent="0.25">
      <c r="A68" s="14" t="s">
        <v>244</v>
      </c>
      <c r="B68" s="228" t="s">
        <v>245</v>
      </c>
      <c r="C68" s="1" t="s">
        <v>162</v>
      </c>
      <c r="D68" s="229" t="s">
        <v>163</v>
      </c>
      <c r="E68" s="230">
        <v>54.87</v>
      </c>
      <c r="G68" s="177">
        <v>47980</v>
      </c>
      <c r="H68" s="181" t="s">
        <v>420</v>
      </c>
      <c r="I68" s="177" t="s">
        <v>419</v>
      </c>
      <c r="J68" s="185">
        <v>18.95</v>
      </c>
      <c r="K68" s="185">
        <v>456.72</v>
      </c>
      <c r="L68" s="185">
        <v>594.58000000000004</v>
      </c>
      <c r="M68" s="185">
        <f t="shared" si="1"/>
        <v>475.67</v>
      </c>
    </row>
    <row r="69" spans="1:13" x14ac:dyDescent="0.25">
      <c r="A69" s="178" t="s">
        <v>584</v>
      </c>
      <c r="B69" s="179" t="s">
        <v>585</v>
      </c>
      <c r="C69" s="173" t="s">
        <v>145</v>
      </c>
      <c r="D69" s="174" t="s">
        <v>163</v>
      </c>
      <c r="E69" s="175">
        <v>66.87</v>
      </c>
      <c r="G69" s="182">
        <v>40064</v>
      </c>
      <c r="H69" s="183" t="s">
        <v>422</v>
      </c>
      <c r="I69" s="182" t="s">
        <v>423</v>
      </c>
      <c r="J69" s="185">
        <v>18.739999999999998</v>
      </c>
      <c r="K69" s="185">
        <v>24.83</v>
      </c>
      <c r="L69" s="185">
        <v>54.46</v>
      </c>
      <c r="M69" s="185">
        <f t="shared" si="1"/>
        <v>43.569999999999993</v>
      </c>
    </row>
    <row r="70" spans="1:13" x14ac:dyDescent="0.25">
      <c r="A70" s="216"/>
      <c r="B70" s="217"/>
      <c r="C70" s="1"/>
      <c r="D70" s="218"/>
      <c r="E70" s="219"/>
      <c r="G70" s="182">
        <v>43382</v>
      </c>
      <c r="H70" s="183" t="s">
        <v>446</v>
      </c>
      <c r="I70" s="182" t="s">
        <v>22</v>
      </c>
      <c r="J70" s="185">
        <v>3.14</v>
      </c>
      <c r="K70" s="185">
        <v>8.34</v>
      </c>
      <c r="L70" s="185">
        <v>14.35</v>
      </c>
      <c r="M70" s="185">
        <f t="shared" si="1"/>
        <v>11.48</v>
      </c>
    </row>
    <row r="71" spans="1:13" x14ac:dyDescent="0.25">
      <c r="G71" s="182">
        <v>43384</v>
      </c>
      <c r="H71" s="183" t="s">
        <v>447</v>
      </c>
      <c r="I71" s="182" t="s">
        <v>22</v>
      </c>
      <c r="J71" s="185">
        <v>9.85</v>
      </c>
      <c r="K71" s="185">
        <v>8.34</v>
      </c>
      <c r="L71" s="185">
        <v>22.73</v>
      </c>
      <c r="M71" s="185">
        <f t="shared" si="1"/>
        <v>18.189999999999998</v>
      </c>
    </row>
    <row r="72" spans="1:13" x14ac:dyDescent="0.25">
      <c r="G72" s="182">
        <v>43385</v>
      </c>
      <c r="H72" s="183" t="s">
        <v>448</v>
      </c>
      <c r="I72" s="182" t="s">
        <v>22</v>
      </c>
      <c r="J72" s="185">
        <v>9.85</v>
      </c>
      <c r="K72" s="185">
        <v>11.83</v>
      </c>
      <c r="L72" s="185">
        <v>27.1</v>
      </c>
      <c r="M72" s="185">
        <f t="shared" si="1"/>
        <v>21.68</v>
      </c>
    </row>
    <row r="73" spans="1:13" s="165" customFormat="1" ht="30" x14ac:dyDescent="0.25">
      <c r="C73" s="223"/>
      <c r="D73" s="224" t="s">
        <v>524</v>
      </c>
      <c r="E73" s="166"/>
      <c r="G73" s="177">
        <v>40165</v>
      </c>
      <c r="H73" s="181" t="s">
        <v>458</v>
      </c>
      <c r="I73" s="177" t="s">
        <v>22</v>
      </c>
      <c r="J73" s="185">
        <v>15.76</v>
      </c>
      <c r="K73" s="185">
        <v>160.15</v>
      </c>
      <c r="L73" s="185">
        <v>219.88</v>
      </c>
      <c r="M73" s="185">
        <f t="shared" si="1"/>
        <v>175.91</v>
      </c>
    </row>
    <row r="74" spans="1:13" x14ac:dyDescent="0.25">
      <c r="G74" s="182">
        <v>42932</v>
      </c>
      <c r="H74" s="183" t="s">
        <v>493</v>
      </c>
      <c r="I74" s="182" t="s">
        <v>22</v>
      </c>
      <c r="J74" s="185">
        <v>11.37</v>
      </c>
      <c r="K74" s="185">
        <v>62.45</v>
      </c>
      <c r="L74" s="185">
        <v>92.27</v>
      </c>
      <c r="M74" s="185">
        <f t="shared" si="1"/>
        <v>73.820000000000007</v>
      </c>
    </row>
    <row r="75" spans="1:13" x14ac:dyDescent="0.25">
      <c r="G75" s="182">
        <v>43029</v>
      </c>
      <c r="H75" s="183" t="s">
        <v>494</v>
      </c>
      <c r="I75" s="182" t="s">
        <v>22</v>
      </c>
      <c r="J75" s="185">
        <v>151.63999999999999</v>
      </c>
      <c r="K75" s="185">
        <v>72.87</v>
      </c>
      <c r="L75" s="185">
        <v>280.63</v>
      </c>
      <c r="M75" s="185">
        <f t="shared" si="1"/>
        <v>224.51</v>
      </c>
    </row>
    <row r="76" spans="1:13" x14ac:dyDescent="0.25">
      <c r="G76" s="182">
        <v>43030</v>
      </c>
      <c r="H76" s="183" t="s">
        <v>495</v>
      </c>
      <c r="I76" s="182" t="s">
        <v>22</v>
      </c>
      <c r="J76" s="185">
        <v>227.46</v>
      </c>
      <c r="K76" s="185">
        <v>147.69</v>
      </c>
      <c r="L76" s="185">
        <v>468.93</v>
      </c>
      <c r="M76" s="185">
        <f t="shared" si="1"/>
        <v>375.15</v>
      </c>
    </row>
    <row r="77" spans="1:13" x14ac:dyDescent="0.25">
      <c r="A77" s="277" t="s">
        <v>43</v>
      </c>
      <c r="B77" s="278"/>
      <c r="C77" s="278"/>
      <c r="D77" s="279"/>
      <c r="G77" s="182">
        <v>40124</v>
      </c>
      <c r="H77" s="183" t="s">
        <v>502</v>
      </c>
      <c r="I77" s="182" t="s">
        <v>423</v>
      </c>
      <c r="J77" s="185">
        <v>3.79</v>
      </c>
      <c r="K77" s="185">
        <v>32.51</v>
      </c>
      <c r="L77" s="185">
        <v>45.37</v>
      </c>
      <c r="M77" s="185">
        <f t="shared" si="1"/>
        <v>36.299999999999997</v>
      </c>
    </row>
    <row r="78" spans="1:13" x14ac:dyDescent="0.25">
      <c r="A78" s="178" t="s">
        <v>525</v>
      </c>
      <c r="B78" s="179" t="s">
        <v>526</v>
      </c>
      <c r="C78" s="28" t="s">
        <v>205</v>
      </c>
      <c r="D78" s="176">
        <v>159.5</v>
      </c>
      <c r="G78" s="182">
        <v>43132</v>
      </c>
      <c r="H78" s="183" t="s">
        <v>510</v>
      </c>
      <c r="I78" s="182" t="s">
        <v>212</v>
      </c>
      <c r="J78" s="185">
        <v>19.7</v>
      </c>
      <c r="K78" s="185">
        <v>35.81</v>
      </c>
      <c r="L78" s="185">
        <v>69.38</v>
      </c>
      <c r="M78" s="185">
        <f t="shared" si="1"/>
        <v>55.510000000000005</v>
      </c>
    </row>
    <row r="79" spans="1:13" x14ac:dyDescent="0.25">
      <c r="A79" s="28"/>
      <c r="B79" s="180"/>
      <c r="C79" s="28"/>
      <c r="D79" s="176"/>
      <c r="G79" s="182">
        <v>43191</v>
      </c>
      <c r="H79" s="183" t="s">
        <v>512</v>
      </c>
      <c r="I79" s="182" t="s">
        <v>212</v>
      </c>
      <c r="J79" s="185">
        <v>11.37</v>
      </c>
      <c r="K79" s="185">
        <v>12.09</v>
      </c>
      <c r="L79" s="185">
        <v>29.32</v>
      </c>
      <c r="M79" s="185">
        <f t="shared" ref="M79:M89" si="2">J79+K79</f>
        <v>23.46</v>
      </c>
    </row>
    <row r="80" spans="1:13" s="165" customFormat="1" ht="30" x14ac:dyDescent="0.2">
      <c r="A80" s="28"/>
      <c r="B80" s="180"/>
      <c r="C80" s="28"/>
      <c r="D80" s="176"/>
      <c r="E80" s="166"/>
      <c r="G80" s="177">
        <v>43921</v>
      </c>
      <c r="H80" s="181" t="s">
        <v>519</v>
      </c>
      <c r="I80" s="177" t="s">
        <v>212</v>
      </c>
      <c r="J80" s="185">
        <v>94.77</v>
      </c>
      <c r="K80" s="185">
        <v>326.39</v>
      </c>
      <c r="L80" s="185">
        <v>526.45000000000005</v>
      </c>
      <c r="M80" s="185">
        <f t="shared" si="2"/>
        <v>421.15999999999997</v>
      </c>
    </row>
    <row r="81" spans="1:18" x14ac:dyDescent="0.25">
      <c r="A81" s="177"/>
      <c r="B81" s="181"/>
      <c r="C81" s="177"/>
      <c r="D81" s="176"/>
      <c r="G81" s="182">
        <v>43920</v>
      </c>
      <c r="H81" s="183" t="s">
        <v>522</v>
      </c>
      <c r="I81" s="182" t="s">
        <v>212</v>
      </c>
      <c r="J81" s="185">
        <v>24.63</v>
      </c>
      <c r="K81" s="185">
        <v>173.43</v>
      </c>
      <c r="L81" s="185">
        <v>247.57</v>
      </c>
      <c r="M81" s="185">
        <f t="shared" si="2"/>
        <v>198.06</v>
      </c>
      <c r="N81" s="160"/>
      <c r="R81" s="185"/>
    </row>
    <row r="82" spans="1:18" x14ac:dyDescent="0.25">
      <c r="A82" s="182"/>
      <c r="B82" s="183"/>
      <c r="C82" s="177"/>
      <c r="D82" s="176"/>
      <c r="G82" s="182">
        <v>42949</v>
      </c>
      <c r="H82" s="183" t="s">
        <v>523</v>
      </c>
      <c r="I82" s="182" t="s">
        <v>212</v>
      </c>
      <c r="J82" s="185">
        <v>26.53</v>
      </c>
      <c r="K82" s="185">
        <v>209.28</v>
      </c>
      <c r="L82" s="185">
        <v>294.76</v>
      </c>
      <c r="M82" s="185">
        <f t="shared" si="2"/>
        <v>235.81</v>
      </c>
      <c r="N82" s="160"/>
      <c r="R82" s="185"/>
    </row>
    <row r="83" spans="1:18" x14ac:dyDescent="0.25">
      <c r="G83" s="182">
        <v>42768</v>
      </c>
      <c r="H83" s="183" t="s">
        <v>373</v>
      </c>
      <c r="I83" s="182" t="s">
        <v>167</v>
      </c>
      <c r="J83" s="185">
        <v>56.86</v>
      </c>
      <c r="K83" s="185">
        <v>282.10000000000002</v>
      </c>
      <c r="L83" s="185">
        <v>423.7</v>
      </c>
      <c r="M83" s="185">
        <f t="shared" si="2"/>
        <v>338.96000000000004</v>
      </c>
      <c r="N83" s="160"/>
      <c r="R83" s="161"/>
    </row>
    <row r="84" spans="1:18" x14ac:dyDescent="0.25">
      <c r="G84" s="182"/>
      <c r="H84" s="183"/>
      <c r="I84" s="182"/>
      <c r="J84" s="185"/>
      <c r="K84" s="185"/>
      <c r="L84" s="185"/>
      <c r="M84" s="185">
        <f t="shared" si="2"/>
        <v>0</v>
      </c>
      <c r="N84" s="160"/>
      <c r="R84" s="161"/>
    </row>
    <row r="85" spans="1:18" x14ac:dyDescent="0.25">
      <c r="G85" s="182"/>
      <c r="H85" s="183"/>
      <c r="I85" s="182"/>
      <c r="J85" s="185"/>
      <c r="K85" s="185"/>
      <c r="L85" s="185"/>
      <c r="M85" s="185">
        <f t="shared" si="2"/>
        <v>0</v>
      </c>
      <c r="N85" s="160"/>
      <c r="R85" s="161"/>
    </row>
    <row r="86" spans="1:18" x14ac:dyDescent="0.25">
      <c r="G86" s="182"/>
      <c r="H86" s="183"/>
      <c r="I86" s="182"/>
      <c r="J86" s="185"/>
      <c r="K86" s="185"/>
      <c r="L86" s="185"/>
      <c r="M86" s="185">
        <f t="shared" si="2"/>
        <v>0</v>
      </c>
      <c r="N86" s="160"/>
      <c r="R86" s="161"/>
    </row>
    <row r="87" spans="1:18" x14ac:dyDescent="0.25">
      <c r="G87" s="182"/>
      <c r="H87" s="183"/>
      <c r="I87" s="182"/>
      <c r="J87" s="185"/>
      <c r="K87" s="185"/>
      <c r="L87" s="185"/>
      <c r="M87" s="185">
        <f t="shared" si="2"/>
        <v>0</v>
      </c>
      <c r="N87" s="160"/>
      <c r="R87" s="161"/>
    </row>
    <row r="88" spans="1:18" x14ac:dyDescent="0.25">
      <c r="G88" s="182"/>
      <c r="H88" s="183"/>
      <c r="I88" s="182"/>
      <c r="J88" s="185"/>
      <c r="K88" s="185"/>
      <c r="L88" s="185"/>
      <c r="M88" s="185">
        <f t="shared" si="2"/>
        <v>0</v>
      </c>
      <c r="N88" s="160"/>
      <c r="R88" s="161"/>
    </row>
    <row r="89" spans="1:18" x14ac:dyDescent="0.25">
      <c r="G89" s="182"/>
      <c r="H89" s="183"/>
      <c r="I89" s="182"/>
      <c r="J89" s="185"/>
      <c r="K89" s="185"/>
      <c r="L89" s="185"/>
      <c r="M89" s="185">
        <f t="shared" si="2"/>
        <v>0</v>
      </c>
      <c r="N89" s="160"/>
      <c r="R89" s="161"/>
    </row>
    <row r="90" spans="1:18" x14ac:dyDescent="0.25">
      <c r="L90" s="160"/>
      <c r="M90"/>
      <c r="N90" s="160"/>
      <c r="R90" s="161"/>
    </row>
    <row r="91" spans="1:18" x14ac:dyDescent="0.25">
      <c r="L91" s="160"/>
      <c r="M91"/>
      <c r="N91" s="160"/>
      <c r="R91" s="161"/>
    </row>
    <row r="92" spans="1:18" x14ac:dyDescent="0.25">
      <c r="L92" s="160"/>
      <c r="M92"/>
      <c r="N92" s="160"/>
      <c r="R92" s="161"/>
    </row>
  </sheetData>
  <mergeCells count="3">
    <mergeCell ref="A77:D77"/>
    <mergeCell ref="A1:E1"/>
    <mergeCell ref="G1:M1"/>
  </mergeCells>
  <pageMargins left="0.511811024" right="0.511811024" top="0.78740157499999996" bottom="0.78740157499999996" header="0.31496062000000002" footer="0.3149606200000000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53"/>
  <sheetViews>
    <sheetView view="pageLayout" zoomScaleNormal="100" workbookViewId="0">
      <selection activeCell="J3" sqref="J3:K4"/>
    </sheetView>
  </sheetViews>
  <sheetFormatPr defaultColWidth="9.140625" defaultRowHeight="11.25" x14ac:dyDescent="0.2"/>
  <cols>
    <col min="1" max="1" width="3.85546875" style="8" customWidth="1"/>
    <col min="2" max="2" width="60.5703125" style="9" customWidth="1"/>
    <col min="3" max="3" width="14.28515625" style="10" customWidth="1"/>
    <col min="4" max="4" width="6.5703125" style="8" customWidth="1"/>
    <col min="5" max="5" width="13.7109375" style="11" customWidth="1"/>
    <col min="6" max="6" width="7.140625" style="11" customWidth="1"/>
    <col min="7" max="7" width="12.7109375" style="2" customWidth="1"/>
    <col min="8" max="8" width="9.7109375" style="2" customWidth="1"/>
    <col min="9" max="9" width="13.28515625" style="2" customWidth="1"/>
    <col min="10" max="10" width="7" style="2" customWidth="1"/>
    <col min="11" max="11" width="13.85546875" style="2" customWidth="1"/>
    <col min="12" max="12" width="7" style="2" customWidth="1"/>
    <col min="13" max="13" width="13.85546875" style="2" customWidth="1"/>
    <col min="14" max="14" width="7" style="2" customWidth="1"/>
    <col min="15" max="15" width="14.42578125" style="2" customWidth="1"/>
    <col min="16" max="16" width="10" style="2" bestFit="1" customWidth="1"/>
    <col min="17" max="18" width="9.140625" style="2"/>
    <col min="19" max="19" width="21" style="2" customWidth="1"/>
    <col min="20" max="16384" width="9.140625" style="2"/>
  </cols>
  <sheetData>
    <row r="1" spans="1:16" ht="20.25" x14ac:dyDescent="0.2">
      <c r="A1" s="249" t="s">
        <v>5</v>
      </c>
      <c r="B1" s="249"/>
      <c r="C1" s="249"/>
      <c r="D1" s="249"/>
      <c r="E1" s="249"/>
      <c r="F1" s="249"/>
      <c r="G1" s="249"/>
      <c r="H1" s="249"/>
      <c r="I1" s="249"/>
      <c r="J1" s="249"/>
      <c r="K1" s="249"/>
      <c r="L1" s="249"/>
      <c r="M1" s="249"/>
      <c r="N1" s="249"/>
      <c r="O1" s="249"/>
    </row>
    <row r="2" spans="1:16" ht="15" customHeight="1" x14ac:dyDescent="0.2">
      <c r="A2" s="304" t="s">
        <v>178</v>
      </c>
      <c r="B2" s="304"/>
      <c r="C2" s="304"/>
      <c r="D2" s="304"/>
      <c r="E2" s="304"/>
      <c r="F2" s="304"/>
      <c r="G2" s="304"/>
      <c r="H2" s="287" t="s">
        <v>16</v>
      </c>
      <c r="I2" s="288"/>
      <c r="J2" s="287" t="s">
        <v>17</v>
      </c>
      <c r="K2" s="288"/>
      <c r="L2" s="253" t="s">
        <v>18</v>
      </c>
      <c r="M2" s="289"/>
      <c r="N2" s="289"/>
      <c r="O2" s="254"/>
    </row>
    <row r="3" spans="1:16" ht="15" customHeight="1" x14ac:dyDescent="0.2">
      <c r="A3" s="304" t="s">
        <v>528</v>
      </c>
      <c r="B3" s="304"/>
      <c r="C3" s="304"/>
      <c r="D3" s="304"/>
      <c r="E3" s="304"/>
      <c r="F3" s="304"/>
      <c r="G3" s="304"/>
      <c r="H3" s="302">
        <f>'ORÇAMENTO '!E3</f>
        <v>0.26500000000000001</v>
      </c>
      <c r="I3" s="303"/>
      <c r="J3" s="298">
        <f>'ORÇAMENTO '!G3:G4</f>
        <v>44741</v>
      </c>
      <c r="K3" s="299"/>
      <c r="L3" s="290">
        <f>'ORÇAMENTO '!H3</f>
        <v>133762.62372356196</v>
      </c>
      <c r="M3" s="291"/>
      <c r="N3" s="291"/>
      <c r="O3" s="292"/>
    </row>
    <row r="4" spans="1:16" ht="15" customHeight="1" x14ac:dyDescent="0.2">
      <c r="A4" s="304" t="s">
        <v>411</v>
      </c>
      <c r="B4" s="304"/>
      <c r="C4" s="304"/>
      <c r="D4" s="304"/>
      <c r="E4" s="304"/>
      <c r="F4" s="304"/>
      <c r="G4" s="304"/>
      <c r="H4" s="253">
        <v>1.2649999999999999</v>
      </c>
      <c r="I4" s="254"/>
      <c r="J4" s="300"/>
      <c r="K4" s="301"/>
      <c r="L4" s="293"/>
      <c r="M4" s="294"/>
      <c r="N4" s="294"/>
      <c r="O4" s="295"/>
    </row>
    <row r="5" spans="1:16" ht="15" customHeight="1" x14ac:dyDescent="0.2">
      <c r="A5" s="199"/>
      <c r="B5" s="200"/>
      <c r="C5" s="200"/>
      <c r="D5" s="200"/>
      <c r="E5" s="200"/>
      <c r="F5" s="201"/>
      <c r="G5" s="201"/>
      <c r="H5" s="202"/>
      <c r="I5" s="202"/>
      <c r="J5" s="203"/>
      <c r="K5" s="203"/>
      <c r="L5" s="203"/>
      <c r="M5" s="203"/>
      <c r="N5" s="203"/>
      <c r="O5" s="203"/>
    </row>
    <row r="6" spans="1:16" ht="12" x14ac:dyDescent="0.2">
      <c r="A6" s="296" t="s">
        <v>0</v>
      </c>
      <c r="B6" s="296"/>
      <c r="C6" s="297" t="s">
        <v>6</v>
      </c>
      <c r="D6" s="286" t="s">
        <v>7</v>
      </c>
      <c r="E6" s="286"/>
      <c r="F6" s="286" t="s">
        <v>8</v>
      </c>
      <c r="G6" s="286"/>
      <c r="H6" s="286" t="s">
        <v>9</v>
      </c>
      <c r="I6" s="286"/>
      <c r="J6" s="286" t="s">
        <v>143</v>
      </c>
      <c r="K6" s="286"/>
      <c r="L6" s="286" t="s">
        <v>144</v>
      </c>
      <c r="M6" s="286"/>
      <c r="N6" s="286" t="s">
        <v>408</v>
      </c>
      <c r="O6" s="286"/>
    </row>
    <row r="7" spans="1:16" ht="12" x14ac:dyDescent="0.2">
      <c r="A7" s="296"/>
      <c r="B7" s="296"/>
      <c r="C7" s="297"/>
      <c r="D7" s="4" t="s">
        <v>10</v>
      </c>
      <c r="E7" s="4" t="s">
        <v>11</v>
      </c>
      <c r="F7" s="4"/>
      <c r="G7" s="4" t="s">
        <v>11</v>
      </c>
      <c r="H7" s="4" t="s">
        <v>10</v>
      </c>
      <c r="I7" s="4" t="s">
        <v>11</v>
      </c>
      <c r="J7" s="4" t="s">
        <v>10</v>
      </c>
      <c r="K7" s="4" t="s">
        <v>11</v>
      </c>
      <c r="L7" s="221" t="s">
        <v>10</v>
      </c>
      <c r="M7" s="221" t="s">
        <v>11</v>
      </c>
      <c r="N7" s="4" t="s">
        <v>10</v>
      </c>
      <c r="O7" s="4" t="s">
        <v>11</v>
      </c>
    </row>
    <row r="8" spans="1:16" ht="12" x14ac:dyDescent="0.2">
      <c r="A8" s="4">
        <v>1</v>
      </c>
      <c r="B8" s="18" t="str">
        <f>'ORÇAMENTO '!D7</f>
        <v>SERVIÇOS PRELIMINARES</v>
      </c>
      <c r="C8" s="15">
        <f>'ORÇAMENTO '!I16</f>
        <v>10201.448416499999</v>
      </c>
      <c r="D8" s="16">
        <v>1</v>
      </c>
      <c r="E8" s="17">
        <f t="shared" ref="E8:E20" si="0">D8*C8</f>
        <v>10201.448416499999</v>
      </c>
      <c r="F8" s="16">
        <v>0</v>
      </c>
      <c r="G8" s="17">
        <f>F8*C8</f>
        <v>0</v>
      </c>
      <c r="H8" s="16">
        <v>0</v>
      </c>
      <c r="I8" s="17">
        <f>H8*C8</f>
        <v>0</v>
      </c>
      <c r="J8" s="16">
        <v>0</v>
      </c>
      <c r="K8" s="17">
        <f>J8*C8</f>
        <v>0</v>
      </c>
      <c r="L8" s="16">
        <v>0</v>
      </c>
      <c r="M8" s="17">
        <f>L8*C8</f>
        <v>0</v>
      </c>
      <c r="N8" s="16">
        <v>0</v>
      </c>
      <c r="O8" s="17">
        <f>N8*C8</f>
        <v>0</v>
      </c>
      <c r="P8" s="225"/>
    </row>
    <row r="9" spans="1:16" ht="12" x14ac:dyDescent="0.2">
      <c r="A9" s="4">
        <v>2</v>
      </c>
      <c r="B9" s="158" t="str">
        <f>'ORÇAMENTO '!D18</f>
        <v>MOVIMENTAÇÃO DE TERRAS E TRANSPORTE</v>
      </c>
      <c r="C9" s="15">
        <f>'ORÇAMENTO '!I21</f>
        <v>1890.4434322269535</v>
      </c>
      <c r="D9" s="16">
        <v>0.5</v>
      </c>
      <c r="E9" s="17">
        <f t="shared" si="0"/>
        <v>945.22171611347676</v>
      </c>
      <c r="F9" s="16">
        <v>0.5</v>
      </c>
      <c r="G9" s="17">
        <f t="shared" ref="G9:G20" si="1">F9*C9</f>
        <v>945.22171611347676</v>
      </c>
      <c r="H9" s="16">
        <v>0</v>
      </c>
      <c r="I9" s="17">
        <f t="shared" ref="I9:I20" si="2">H9*C9</f>
        <v>0</v>
      </c>
      <c r="J9" s="16">
        <v>0</v>
      </c>
      <c r="K9" s="17">
        <f t="shared" ref="K9:K20" si="3">J9*C9</f>
        <v>0</v>
      </c>
      <c r="L9" s="16">
        <v>0</v>
      </c>
      <c r="M9" s="17">
        <f t="shared" ref="M9:M20" si="4">L9*C9</f>
        <v>0</v>
      </c>
      <c r="N9" s="16">
        <v>0</v>
      </c>
      <c r="O9" s="17">
        <f t="shared" ref="O9:O20" si="5">N9*C9</f>
        <v>0</v>
      </c>
      <c r="P9" s="225"/>
    </row>
    <row r="10" spans="1:16" ht="13.5" customHeight="1" x14ac:dyDescent="0.2">
      <c r="A10" s="4">
        <v>3</v>
      </c>
      <c r="B10" s="158" t="str">
        <f>'ORÇAMENTO '!D23</f>
        <v>DEMOLIÇÃO</v>
      </c>
      <c r="C10" s="15">
        <f>'ORÇAMENTO '!I26</f>
        <v>7558.3749999999991</v>
      </c>
      <c r="D10" s="16">
        <v>0</v>
      </c>
      <c r="E10" s="17">
        <f t="shared" si="0"/>
        <v>0</v>
      </c>
      <c r="F10" s="16">
        <v>0</v>
      </c>
      <c r="G10" s="17">
        <f t="shared" si="1"/>
        <v>0</v>
      </c>
      <c r="H10" s="16">
        <v>0</v>
      </c>
      <c r="I10" s="17">
        <f t="shared" si="2"/>
        <v>0</v>
      </c>
      <c r="J10" s="16">
        <v>0</v>
      </c>
      <c r="K10" s="17">
        <f t="shared" si="3"/>
        <v>0</v>
      </c>
      <c r="L10" s="16">
        <v>0</v>
      </c>
      <c r="M10" s="17">
        <f t="shared" si="4"/>
        <v>0</v>
      </c>
      <c r="N10" s="16">
        <v>1</v>
      </c>
      <c r="O10" s="17">
        <f t="shared" si="5"/>
        <v>7558.3749999999991</v>
      </c>
      <c r="P10" s="225"/>
    </row>
    <row r="11" spans="1:16" ht="12" x14ac:dyDescent="0.2">
      <c r="A11" s="4">
        <v>4</v>
      </c>
      <c r="B11" s="158" t="str">
        <f>'ORÇAMENTO '!D28</f>
        <v xml:space="preserve">SERVIÇOS EM CONCRETO </v>
      </c>
      <c r="C11" s="15">
        <f>'ORÇAMENTO '!I38</f>
        <v>27593.071146959996</v>
      </c>
      <c r="D11" s="16">
        <v>0</v>
      </c>
      <c r="E11" s="17">
        <f t="shared" si="0"/>
        <v>0</v>
      </c>
      <c r="F11" s="16">
        <v>0.5</v>
      </c>
      <c r="G11" s="17">
        <f t="shared" si="1"/>
        <v>13796.535573479998</v>
      </c>
      <c r="H11" s="16">
        <v>0.5</v>
      </c>
      <c r="I11" s="17">
        <f t="shared" si="2"/>
        <v>13796.535573479998</v>
      </c>
      <c r="J11" s="16">
        <v>0</v>
      </c>
      <c r="K11" s="17">
        <f t="shared" si="3"/>
        <v>0</v>
      </c>
      <c r="L11" s="16">
        <v>0</v>
      </c>
      <c r="M11" s="17">
        <f t="shared" si="4"/>
        <v>0</v>
      </c>
      <c r="N11" s="16">
        <v>0</v>
      </c>
      <c r="O11" s="17">
        <f t="shared" si="5"/>
        <v>0</v>
      </c>
      <c r="P11" s="225"/>
    </row>
    <row r="12" spans="1:16" ht="14.25" customHeight="1" x14ac:dyDescent="0.2">
      <c r="A12" s="4">
        <v>5</v>
      </c>
      <c r="B12" s="5" t="str">
        <f>'ORÇAMENTO '!D40</f>
        <v>IMPERMEABILIZAÇÃO</v>
      </c>
      <c r="C12" s="15">
        <f>'ORÇAMENTO '!I44</f>
        <v>6174.1965353750002</v>
      </c>
      <c r="D12" s="16">
        <v>0</v>
      </c>
      <c r="E12" s="17">
        <f t="shared" si="0"/>
        <v>0</v>
      </c>
      <c r="F12" s="16">
        <v>0.5</v>
      </c>
      <c r="G12" s="17">
        <f t="shared" si="1"/>
        <v>3087.0982676875001</v>
      </c>
      <c r="H12" s="16">
        <v>0.5</v>
      </c>
      <c r="I12" s="17">
        <f t="shared" si="2"/>
        <v>3087.0982676875001</v>
      </c>
      <c r="J12" s="16">
        <v>0</v>
      </c>
      <c r="K12" s="17">
        <f t="shared" si="3"/>
        <v>0</v>
      </c>
      <c r="L12" s="16">
        <v>0</v>
      </c>
      <c r="M12" s="17">
        <f t="shared" si="4"/>
        <v>0</v>
      </c>
      <c r="N12" s="16">
        <v>0</v>
      </c>
      <c r="O12" s="17">
        <f t="shared" si="5"/>
        <v>0</v>
      </c>
      <c r="P12" s="225"/>
    </row>
    <row r="13" spans="1:16" ht="14.25" customHeight="1" x14ac:dyDescent="0.2">
      <c r="A13" s="207">
        <v>6</v>
      </c>
      <c r="B13" s="5" t="str">
        <f>'ORÇAMENTO '!D46</f>
        <v>SISTEMA DE VEDAÇÃO E REVESTIMENTOS</v>
      </c>
      <c r="C13" s="15">
        <f>'ORÇAMENTO '!I54</f>
        <v>24841.198667999994</v>
      </c>
      <c r="D13" s="16">
        <v>0</v>
      </c>
      <c r="E13" s="17">
        <f t="shared" si="0"/>
        <v>0</v>
      </c>
      <c r="F13" s="16">
        <v>0</v>
      </c>
      <c r="G13" s="17">
        <f t="shared" si="1"/>
        <v>0</v>
      </c>
      <c r="H13" s="16">
        <v>0</v>
      </c>
      <c r="I13" s="17">
        <f t="shared" si="2"/>
        <v>0</v>
      </c>
      <c r="J13" s="16">
        <v>1</v>
      </c>
      <c r="K13" s="17">
        <f t="shared" si="3"/>
        <v>24841.198667999994</v>
      </c>
      <c r="L13" s="16">
        <v>0</v>
      </c>
      <c r="M13" s="17">
        <f t="shared" si="4"/>
        <v>0</v>
      </c>
      <c r="N13" s="16">
        <v>0</v>
      </c>
      <c r="O13" s="17">
        <f t="shared" si="5"/>
        <v>0</v>
      </c>
      <c r="P13" s="225"/>
    </row>
    <row r="14" spans="1:16" ht="14.25" customHeight="1" x14ac:dyDescent="0.2">
      <c r="A14" s="207">
        <v>7</v>
      </c>
      <c r="B14" s="5" t="str">
        <f>'ORÇAMENTO '!D56</f>
        <v>ESQUADRIAS</v>
      </c>
      <c r="C14" s="15">
        <f>'ORÇAMENTO '!I62</f>
        <v>7922.8134040000004</v>
      </c>
      <c r="D14" s="16">
        <v>0</v>
      </c>
      <c r="E14" s="17">
        <f t="shared" si="0"/>
        <v>0</v>
      </c>
      <c r="F14" s="16">
        <v>0</v>
      </c>
      <c r="G14" s="17">
        <f t="shared" si="1"/>
        <v>0</v>
      </c>
      <c r="H14" s="16">
        <v>0</v>
      </c>
      <c r="I14" s="17">
        <f t="shared" si="2"/>
        <v>0</v>
      </c>
      <c r="J14" s="16">
        <v>0</v>
      </c>
      <c r="K14" s="17">
        <f t="shared" si="3"/>
        <v>0</v>
      </c>
      <c r="L14" s="16">
        <v>1</v>
      </c>
      <c r="M14" s="17">
        <f t="shared" si="4"/>
        <v>7922.8134040000004</v>
      </c>
      <c r="N14" s="16">
        <v>0</v>
      </c>
      <c r="O14" s="17">
        <f t="shared" si="5"/>
        <v>0</v>
      </c>
      <c r="P14" s="225"/>
    </row>
    <row r="15" spans="1:16" ht="14.25" customHeight="1" x14ac:dyDescent="0.2">
      <c r="A15" s="207">
        <v>8</v>
      </c>
      <c r="B15" s="5" t="str">
        <f>'ORÇAMENTO '!D64</f>
        <v>COBERTURA</v>
      </c>
      <c r="C15" s="15">
        <f>'ORÇAMENTO '!I72</f>
        <v>18851.201913500001</v>
      </c>
      <c r="D15" s="16">
        <v>0</v>
      </c>
      <c r="E15" s="17">
        <f t="shared" si="0"/>
        <v>0</v>
      </c>
      <c r="F15" s="16">
        <v>0</v>
      </c>
      <c r="G15" s="17">
        <f t="shared" si="1"/>
        <v>0</v>
      </c>
      <c r="H15" s="16">
        <v>0</v>
      </c>
      <c r="I15" s="17">
        <f t="shared" si="2"/>
        <v>0</v>
      </c>
      <c r="J15" s="16">
        <v>0.5</v>
      </c>
      <c r="K15" s="17">
        <f t="shared" si="3"/>
        <v>9425.6009567500005</v>
      </c>
      <c r="L15" s="16">
        <v>0.5</v>
      </c>
      <c r="M15" s="17">
        <f t="shared" si="4"/>
        <v>9425.6009567500005</v>
      </c>
      <c r="N15" s="16">
        <v>0</v>
      </c>
      <c r="O15" s="17">
        <f t="shared" si="5"/>
        <v>0</v>
      </c>
      <c r="P15" s="225"/>
    </row>
    <row r="16" spans="1:16" ht="14.25" customHeight="1" x14ac:dyDescent="0.2">
      <c r="A16" s="207">
        <v>9</v>
      </c>
      <c r="B16" s="5" t="str">
        <f>'ORÇAMENTO '!D74</f>
        <v>ELÉTRICA</v>
      </c>
      <c r="C16" s="15">
        <f>'ORÇAMENTO '!I83</f>
        <v>4098.4608500000004</v>
      </c>
      <c r="D16" s="16">
        <v>0</v>
      </c>
      <c r="E16" s="17">
        <f t="shared" si="0"/>
        <v>0</v>
      </c>
      <c r="F16" s="16">
        <v>0</v>
      </c>
      <c r="G16" s="17">
        <f t="shared" si="1"/>
        <v>0</v>
      </c>
      <c r="H16" s="16">
        <v>0</v>
      </c>
      <c r="I16" s="17">
        <f t="shared" si="2"/>
        <v>0</v>
      </c>
      <c r="J16" s="16">
        <v>0</v>
      </c>
      <c r="K16" s="17">
        <f t="shared" si="3"/>
        <v>0</v>
      </c>
      <c r="L16" s="16">
        <v>1</v>
      </c>
      <c r="M16" s="17">
        <f t="shared" si="4"/>
        <v>4098.4608500000004</v>
      </c>
      <c r="N16" s="16">
        <v>0</v>
      </c>
      <c r="O16" s="17">
        <f t="shared" si="5"/>
        <v>0</v>
      </c>
      <c r="P16" s="225"/>
    </row>
    <row r="17" spans="1:22" ht="12" x14ac:dyDescent="0.2">
      <c r="A17" s="207">
        <v>10</v>
      </c>
      <c r="B17" s="158" t="str">
        <f>'ORÇAMENTO '!D85</f>
        <v>INSTALAÇÕES HIDROSSANITÁRIAS</v>
      </c>
      <c r="C17" s="15">
        <f>'ORÇAMENTO '!I97</f>
        <v>10219.515905499999</v>
      </c>
      <c r="D17" s="16">
        <v>0</v>
      </c>
      <c r="E17" s="17">
        <f t="shared" si="0"/>
        <v>0</v>
      </c>
      <c r="F17" s="16">
        <v>0.7</v>
      </c>
      <c r="G17" s="17">
        <f t="shared" si="1"/>
        <v>7153.6611338499988</v>
      </c>
      <c r="H17" s="16">
        <v>0</v>
      </c>
      <c r="I17" s="17">
        <f t="shared" si="2"/>
        <v>0</v>
      </c>
      <c r="J17" s="16">
        <v>0.3</v>
      </c>
      <c r="K17" s="17">
        <f t="shared" si="3"/>
        <v>3065.8547716499993</v>
      </c>
      <c r="L17" s="16">
        <v>0</v>
      </c>
      <c r="M17" s="17">
        <f t="shared" si="4"/>
        <v>0</v>
      </c>
      <c r="N17" s="16">
        <v>0</v>
      </c>
      <c r="O17" s="17">
        <f t="shared" si="5"/>
        <v>0</v>
      </c>
      <c r="P17" s="225"/>
    </row>
    <row r="18" spans="1:22" ht="12" x14ac:dyDescent="0.2">
      <c r="A18" s="221">
        <v>11</v>
      </c>
      <c r="B18" s="158" t="s">
        <v>527</v>
      </c>
      <c r="C18" s="15">
        <f>'ORÇAMENTO '!I106</f>
        <v>1750.6714499999998</v>
      </c>
      <c r="D18" s="16">
        <v>0</v>
      </c>
      <c r="E18" s="17">
        <f t="shared" si="0"/>
        <v>0</v>
      </c>
      <c r="F18" s="16">
        <v>0</v>
      </c>
      <c r="G18" s="17">
        <f t="shared" si="1"/>
        <v>0</v>
      </c>
      <c r="H18" s="16">
        <v>0</v>
      </c>
      <c r="I18" s="17">
        <f t="shared" si="2"/>
        <v>0</v>
      </c>
      <c r="J18" s="16">
        <v>0</v>
      </c>
      <c r="K18" s="17">
        <f t="shared" si="3"/>
        <v>0</v>
      </c>
      <c r="L18" s="16">
        <v>1</v>
      </c>
      <c r="M18" s="17">
        <f t="shared" si="4"/>
        <v>1750.6714499999998</v>
      </c>
      <c r="N18" s="16">
        <v>0</v>
      </c>
      <c r="O18" s="17">
        <f t="shared" si="5"/>
        <v>0</v>
      </c>
      <c r="P18" s="225"/>
    </row>
    <row r="19" spans="1:22" ht="12" x14ac:dyDescent="0.2">
      <c r="A19" s="207">
        <v>12</v>
      </c>
      <c r="B19" s="158" t="str">
        <f>'ORÇAMENTO '!D108</f>
        <v>PINTURA E ACABAMENTOS</v>
      </c>
      <c r="C19" s="15">
        <f>'ORÇAMENTO '!I112</f>
        <v>1901.9629199999999</v>
      </c>
      <c r="D19" s="16">
        <v>0</v>
      </c>
      <c r="E19" s="17">
        <f t="shared" si="0"/>
        <v>0</v>
      </c>
      <c r="F19" s="16">
        <v>0</v>
      </c>
      <c r="G19" s="17">
        <f t="shared" si="1"/>
        <v>0</v>
      </c>
      <c r="H19" s="16">
        <v>0</v>
      </c>
      <c r="I19" s="17">
        <f t="shared" si="2"/>
        <v>0</v>
      </c>
      <c r="J19" s="16">
        <v>0</v>
      </c>
      <c r="K19" s="17">
        <f t="shared" si="3"/>
        <v>0</v>
      </c>
      <c r="L19" s="16">
        <v>0</v>
      </c>
      <c r="M19" s="17">
        <f t="shared" si="4"/>
        <v>0</v>
      </c>
      <c r="N19" s="16">
        <v>1</v>
      </c>
      <c r="O19" s="17">
        <f t="shared" si="5"/>
        <v>1901.9629199999999</v>
      </c>
      <c r="P19" s="225"/>
    </row>
    <row r="20" spans="1:22" ht="12" customHeight="1" x14ac:dyDescent="0.2">
      <c r="A20" s="207">
        <v>13</v>
      </c>
      <c r="B20" s="5" t="str">
        <f>'ORÇAMENTO '!D114</f>
        <v>SERVIÇOS DIVERSOS</v>
      </c>
      <c r="C20" s="15">
        <f>'ORÇAMENTO '!I120</f>
        <v>10759.264081500001</v>
      </c>
      <c r="D20" s="16">
        <v>0</v>
      </c>
      <c r="E20" s="17">
        <f t="shared" si="0"/>
        <v>0</v>
      </c>
      <c r="F20" s="16">
        <v>0</v>
      </c>
      <c r="G20" s="17">
        <f t="shared" si="1"/>
        <v>0</v>
      </c>
      <c r="H20" s="16">
        <v>0</v>
      </c>
      <c r="I20" s="17">
        <f t="shared" si="2"/>
        <v>0</v>
      </c>
      <c r="J20" s="16">
        <v>0</v>
      </c>
      <c r="K20" s="17">
        <f t="shared" si="3"/>
        <v>0</v>
      </c>
      <c r="L20" s="16">
        <v>0.5</v>
      </c>
      <c r="M20" s="17">
        <f t="shared" si="4"/>
        <v>5379.6320407500007</v>
      </c>
      <c r="N20" s="16">
        <v>0.5</v>
      </c>
      <c r="O20" s="17">
        <f t="shared" si="5"/>
        <v>5379.6320407500007</v>
      </c>
      <c r="P20" s="225"/>
    </row>
    <row r="21" spans="1:22" ht="12" x14ac:dyDescent="0.2">
      <c r="A21" s="282" t="s">
        <v>593</v>
      </c>
      <c r="B21" s="283"/>
      <c r="C21" s="157">
        <f>SUM(C8:C20)</f>
        <v>133762.62372356193</v>
      </c>
      <c r="D21" s="155">
        <f>E21/$C$21</f>
        <v>8.3331724680053648E-2</v>
      </c>
      <c r="E21" s="154">
        <f>SUM(E8:E20)</f>
        <v>11146.670132613475</v>
      </c>
      <c r="F21" s="155">
        <f>G21/$C$21</f>
        <v>0.18676754384513741</v>
      </c>
      <c r="G21" s="154">
        <f>SUM(G8:G20)</f>
        <v>24982.516691130972</v>
      </c>
      <c r="H21" s="155">
        <f>I21/$C$21</f>
        <v>0.1262208632813584</v>
      </c>
      <c r="I21" s="154">
        <f>SUM(I8:I20)</f>
        <v>16883.633841167499</v>
      </c>
      <c r="J21" s="155">
        <f>K21/$C$21</f>
        <v>0.2790963077515049</v>
      </c>
      <c r="K21" s="154">
        <f>SUM(K8:K20)</f>
        <v>37332.654396399994</v>
      </c>
      <c r="L21" s="155">
        <f>M21/$C$21</f>
        <v>0.21364098509729071</v>
      </c>
      <c r="M21" s="154">
        <f>SUM(M8:M20)</f>
        <v>28577.178701500001</v>
      </c>
      <c r="N21" s="155">
        <f>O21/$C$21</f>
        <v>0.11094257534465495</v>
      </c>
      <c r="O21" s="154">
        <f>SUM(O8:O20)</f>
        <v>14839.969960749999</v>
      </c>
    </row>
    <row r="22" spans="1:22" ht="12" x14ac:dyDescent="0.2">
      <c r="A22" s="284"/>
      <c r="B22" s="285"/>
      <c r="C22" s="154" t="s">
        <v>12</v>
      </c>
      <c r="D22" s="155">
        <f>D21</f>
        <v>8.3331724680053648E-2</v>
      </c>
      <c r="E22" s="154">
        <f>E21</f>
        <v>11146.670132613475</v>
      </c>
      <c r="F22" s="155">
        <f>F21+D22</f>
        <v>0.27009926852519106</v>
      </c>
      <c r="G22" s="154">
        <f>E22+G21</f>
        <v>36129.186823744443</v>
      </c>
      <c r="H22" s="155">
        <f t="shared" ref="H22:M22" si="6">H21+F22</f>
        <v>0.39632013180654946</v>
      </c>
      <c r="I22" s="154">
        <f t="shared" si="6"/>
        <v>53012.820664911938</v>
      </c>
      <c r="J22" s="155">
        <f t="shared" si="6"/>
        <v>0.67541643955805442</v>
      </c>
      <c r="K22" s="154">
        <f t="shared" si="6"/>
        <v>90345.475061311939</v>
      </c>
      <c r="L22" s="155">
        <f t="shared" si="6"/>
        <v>0.8890574246553451</v>
      </c>
      <c r="M22" s="154">
        <f t="shared" si="6"/>
        <v>118922.65376281194</v>
      </c>
      <c r="N22" s="155">
        <f>N21+L22</f>
        <v>1</v>
      </c>
      <c r="O22" s="154">
        <f>O21+M22</f>
        <v>133762.62372356193</v>
      </c>
    </row>
    <row r="23" spans="1:22" x14ac:dyDescent="0.2">
      <c r="A23" s="2"/>
      <c r="B23" s="2"/>
      <c r="C23" s="2"/>
      <c r="D23" s="2"/>
      <c r="E23" s="2"/>
      <c r="F23" s="2"/>
    </row>
    <row r="24" spans="1:22" x14ac:dyDescent="0.2">
      <c r="A24" s="2"/>
      <c r="B24" s="2"/>
      <c r="C24" s="2"/>
      <c r="D24" s="2"/>
      <c r="E24" s="2"/>
      <c r="F24" s="2"/>
    </row>
    <row r="25" spans="1:22" ht="15" customHeight="1" x14ac:dyDescent="0.2">
      <c r="A25" s="2"/>
      <c r="B25" s="2"/>
      <c r="C25" s="2"/>
      <c r="D25" s="2"/>
      <c r="E25" s="2"/>
      <c r="F25" s="2"/>
    </row>
    <row r="26" spans="1:22" s="3" customFormat="1" x14ac:dyDescent="0.2">
      <c r="A26" s="2"/>
      <c r="B26" s="2"/>
      <c r="C26" s="2"/>
      <c r="D26" s="2"/>
      <c r="E26" s="2"/>
      <c r="F26" s="2"/>
      <c r="G26" s="2"/>
      <c r="H26" s="2"/>
      <c r="I26" s="2"/>
      <c r="J26" s="2"/>
      <c r="K26" s="2"/>
      <c r="L26" s="2"/>
      <c r="M26" s="2"/>
      <c r="N26" s="2"/>
      <c r="O26" s="2"/>
      <c r="P26" s="2"/>
      <c r="Q26" s="2"/>
      <c r="R26" s="2"/>
      <c r="S26" s="2"/>
      <c r="T26" s="2"/>
      <c r="U26" s="2"/>
      <c r="V26" s="2"/>
    </row>
    <row r="27" spans="1:22" x14ac:dyDescent="0.2">
      <c r="A27" s="2"/>
      <c r="B27" s="2"/>
      <c r="C27" s="2"/>
      <c r="D27" s="2"/>
      <c r="E27" s="2"/>
      <c r="F27" s="2"/>
    </row>
    <row r="28" spans="1:22" x14ac:dyDescent="0.2">
      <c r="A28" s="2"/>
      <c r="B28" s="2"/>
      <c r="C28" s="2"/>
      <c r="D28" s="2"/>
      <c r="E28" s="2"/>
      <c r="F28" s="2"/>
    </row>
    <row r="29" spans="1:22" x14ac:dyDescent="0.2">
      <c r="A29" s="2"/>
      <c r="B29" s="2"/>
      <c r="C29" s="2"/>
      <c r="D29" s="2"/>
      <c r="E29" s="2"/>
      <c r="F29" s="2"/>
    </row>
    <row r="30" spans="1:22" ht="11.25" customHeight="1" x14ac:dyDescent="0.2">
      <c r="A30" s="2"/>
      <c r="B30" s="2"/>
      <c r="C30" s="2"/>
      <c r="D30" s="2"/>
      <c r="E30" s="2"/>
      <c r="F30" s="2"/>
    </row>
    <row r="31" spans="1:22" x14ac:dyDescent="0.2">
      <c r="A31" s="2"/>
      <c r="B31" s="6"/>
      <c r="C31" s="7"/>
      <c r="D31" s="2"/>
      <c r="E31" s="2"/>
      <c r="F31" s="2"/>
    </row>
    <row r="32" spans="1:22" x14ac:dyDescent="0.2">
      <c r="A32" s="2"/>
      <c r="B32" s="2"/>
      <c r="C32" s="2"/>
      <c r="D32" s="2"/>
      <c r="E32" s="2"/>
      <c r="F32" s="2"/>
    </row>
    <row r="33" spans="1:22" x14ac:dyDescent="0.2">
      <c r="A33" s="2"/>
      <c r="B33" s="2"/>
      <c r="C33" s="2"/>
      <c r="D33" s="2"/>
      <c r="E33" s="2"/>
      <c r="F33" s="2"/>
    </row>
    <row r="34" spans="1:22" x14ac:dyDescent="0.2">
      <c r="A34" s="2"/>
      <c r="B34" s="2"/>
      <c r="C34" s="2"/>
      <c r="D34" s="2"/>
      <c r="E34" s="2"/>
      <c r="F34" s="2"/>
    </row>
    <row r="35" spans="1:22" ht="15" customHeight="1" x14ac:dyDescent="0.2">
      <c r="A35" s="2"/>
      <c r="B35" s="2"/>
      <c r="C35" s="2"/>
      <c r="D35" s="2"/>
      <c r="E35" s="2"/>
      <c r="F35" s="2"/>
    </row>
    <row r="36" spans="1:22" s="3" customFormat="1" x14ac:dyDescent="0.2">
      <c r="A36" s="2"/>
      <c r="B36" s="2"/>
      <c r="C36" s="2"/>
      <c r="D36" s="2"/>
      <c r="E36" s="2"/>
      <c r="F36" s="2"/>
      <c r="G36" s="2"/>
      <c r="H36" s="2"/>
      <c r="I36" s="2"/>
      <c r="J36" s="2"/>
      <c r="K36" s="2"/>
      <c r="L36" s="2"/>
      <c r="M36" s="2"/>
      <c r="N36" s="2"/>
      <c r="O36" s="2"/>
      <c r="P36" s="2"/>
      <c r="Q36" s="2"/>
      <c r="R36" s="2"/>
      <c r="S36" s="2"/>
      <c r="T36" s="2"/>
      <c r="U36" s="2"/>
      <c r="V36" s="2"/>
    </row>
    <row r="37" spans="1:22" x14ac:dyDescent="0.2">
      <c r="A37" s="2"/>
      <c r="B37" s="2"/>
      <c r="C37" s="2"/>
      <c r="D37" s="2"/>
      <c r="E37" s="2"/>
      <c r="F37" s="2"/>
    </row>
    <row r="38" spans="1:22" x14ac:dyDescent="0.2">
      <c r="A38" s="2"/>
      <c r="B38" s="2"/>
      <c r="C38" s="2"/>
      <c r="D38" s="2"/>
      <c r="E38" s="2"/>
      <c r="F38" s="2"/>
    </row>
    <row r="39" spans="1:22" x14ac:dyDescent="0.2">
      <c r="A39" s="2"/>
      <c r="B39" s="2"/>
      <c r="C39" s="2"/>
      <c r="D39" s="2"/>
      <c r="E39" s="2"/>
      <c r="F39" s="2"/>
    </row>
    <row r="40" spans="1:22" ht="11.25" customHeight="1" x14ac:dyDescent="0.2">
      <c r="A40" s="2"/>
      <c r="B40" s="2"/>
      <c r="C40" s="2"/>
      <c r="D40" s="2"/>
      <c r="E40" s="2"/>
      <c r="F40" s="2"/>
    </row>
    <row r="41" spans="1:22" x14ac:dyDescent="0.2">
      <c r="A41" s="2"/>
      <c r="B41" s="2"/>
      <c r="C41" s="2"/>
      <c r="D41" s="2"/>
      <c r="E41" s="2"/>
      <c r="F41" s="2"/>
    </row>
    <row r="42" spans="1:22" ht="13.5" customHeight="1" x14ac:dyDescent="0.2">
      <c r="A42" s="2"/>
      <c r="B42" s="2"/>
      <c r="C42" s="2"/>
      <c r="D42" s="2"/>
      <c r="E42" s="2"/>
      <c r="F42" s="2"/>
    </row>
    <row r="43" spans="1:22" x14ac:dyDescent="0.2">
      <c r="A43" s="2"/>
      <c r="B43" s="2"/>
      <c r="C43" s="2"/>
      <c r="D43" s="2"/>
      <c r="E43" s="2"/>
      <c r="F43" s="2"/>
    </row>
    <row r="44" spans="1:22" s="3" customFormat="1" x14ac:dyDescent="0.2">
      <c r="A44" s="2"/>
      <c r="B44" s="2"/>
      <c r="C44" s="2"/>
      <c r="D44" s="2"/>
      <c r="E44" s="2"/>
      <c r="F44" s="2"/>
      <c r="G44" s="2"/>
      <c r="H44" s="2"/>
      <c r="I44" s="2"/>
      <c r="J44" s="2"/>
      <c r="K44" s="2"/>
      <c r="L44" s="2"/>
      <c r="M44" s="2"/>
      <c r="N44" s="2"/>
      <c r="O44" s="2"/>
      <c r="P44" s="2"/>
      <c r="Q44" s="2"/>
      <c r="R44" s="2"/>
      <c r="S44" s="2"/>
      <c r="T44" s="2"/>
      <c r="U44" s="2"/>
      <c r="V44" s="2"/>
    </row>
    <row r="45" spans="1:22" x14ac:dyDescent="0.2">
      <c r="A45" s="2"/>
      <c r="B45" s="2"/>
      <c r="C45" s="2"/>
      <c r="D45" s="2"/>
      <c r="E45" s="2"/>
      <c r="F45" s="2"/>
    </row>
    <row r="46" spans="1:22" x14ac:dyDescent="0.2">
      <c r="A46" s="2"/>
      <c r="B46" s="2"/>
      <c r="C46" s="2"/>
      <c r="D46" s="2"/>
      <c r="E46" s="2"/>
      <c r="F46" s="2"/>
    </row>
    <row r="47" spans="1:22" x14ac:dyDescent="0.2">
      <c r="A47" s="2"/>
      <c r="B47" s="2"/>
      <c r="C47" s="2"/>
      <c r="D47" s="2"/>
      <c r="E47" s="2"/>
      <c r="F47" s="2"/>
    </row>
    <row r="48" spans="1:22" x14ac:dyDescent="0.2">
      <c r="A48" s="2"/>
      <c r="B48" s="2"/>
      <c r="C48" s="2"/>
      <c r="D48" s="2"/>
      <c r="E48" s="2"/>
      <c r="F48" s="2"/>
    </row>
    <row r="49" spans="1:22" x14ac:dyDescent="0.2">
      <c r="A49" s="2"/>
      <c r="B49" s="2"/>
      <c r="C49" s="2"/>
      <c r="D49" s="2"/>
      <c r="E49" s="2"/>
      <c r="F49" s="2"/>
    </row>
    <row r="50" spans="1:22" s="3" customFormat="1" x14ac:dyDescent="0.2">
      <c r="A50" s="2"/>
      <c r="B50" s="2"/>
      <c r="C50" s="2"/>
      <c r="D50" s="2"/>
      <c r="E50" s="2"/>
      <c r="F50" s="2"/>
      <c r="G50" s="2"/>
      <c r="H50" s="2"/>
      <c r="I50" s="2"/>
      <c r="J50" s="2"/>
      <c r="K50" s="2"/>
      <c r="L50" s="2"/>
      <c r="M50" s="2"/>
      <c r="N50" s="2"/>
      <c r="O50" s="2"/>
      <c r="P50" s="2"/>
      <c r="Q50" s="2"/>
      <c r="R50" s="2"/>
      <c r="S50" s="2"/>
      <c r="T50" s="2"/>
      <c r="U50" s="2"/>
      <c r="V50" s="2"/>
    </row>
    <row r="51" spans="1:22" x14ac:dyDescent="0.2">
      <c r="A51" s="2"/>
      <c r="B51" s="2"/>
      <c r="C51" s="2"/>
      <c r="D51" s="2"/>
      <c r="E51" s="2"/>
      <c r="F51" s="2"/>
    </row>
    <row r="52" spans="1:22" x14ac:dyDescent="0.2">
      <c r="A52" s="2"/>
      <c r="B52" s="2"/>
      <c r="C52" s="2"/>
      <c r="D52" s="2"/>
      <c r="E52" s="2"/>
      <c r="F52" s="2"/>
    </row>
    <row r="53" spans="1:22" x14ac:dyDescent="0.2">
      <c r="A53" s="2"/>
      <c r="B53" s="2"/>
      <c r="C53" s="2"/>
      <c r="D53" s="2"/>
      <c r="E53" s="2"/>
      <c r="F53" s="2"/>
    </row>
    <row r="54" spans="1:22" x14ac:dyDescent="0.2">
      <c r="A54" s="2"/>
      <c r="B54" s="2"/>
      <c r="C54" s="2"/>
      <c r="D54" s="2"/>
      <c r="E54" s="2"/>
      <c r="F54" s="2"/>
    </row>
    <row r="55" spans="1:22" x14ac:dyDescent="0.2">
      <c r="A55" s="2"/>
      <c r="B55" s="2"/>
      <c r="C55" s="2"/>
      <c r="D55" s="2"/>
      <c r="E55" s="2"/>
      <c r="F55" s="2"/>
    </row>
    <row r="56" spans="1:22" x14ac:dyDescent="0.2">
      <c r="A56" s="2"/>
      <c r="B56" s="2"/>
      <c r="C56" s="2"/>
      <c r="D56" s="2"/>
      <c r="E56" s="2"/>
      <c r="F56" s="2"/>
    </row>
    <row r="57" spans="1:22" x14ac:dyDescent="0.2">
      <c r="A57" s="2"/>
      <c r="B57" s="2"/>
      <c r="C57" s="2"/>
      <c r="D57" s="2"/>
      <c r="E57" s="2"/>
      <c r="F57" s="2"/>
    </row>
    <row r="58" spans="1:22" x14ac:dyDescent="0.2">
      <c r="A58" s="2"/>
      <c r="B58" s="2"/>
      <c r="C58" s="2"/>
      <c r="D58" s="2"/>
      <c r="E58" s="2"/>
      <c r="F58" s="2"/>
    </row>
    <row r="59" spans="1:22" x14ac:dyDescent="0.2">
      <c r="A59" s="2"/>
      <c r="B59" s="2"/>
      <c r="C59" s="2"/>
      <c r="D59" s="2"/>
      <c r="E59" s="2"/>
      <c r="F59" s="2"/>
    </row>
    <row r="60" spans="1:22" x14ac:dyDescent="0.2">
      <c r="A60" s="2"/>
      <c r="B60" s="2"/>
      <c r="C60" s="2"/>
      <c r="D60" s="2"/>
      <c r="E60" s="2"/>
      <c r="F60" s="2"/>
    </row>
    <row r="61" spans="1:22" ht="14.25" customHeight="1" x14ac:dyDescent="0.2"/>
    <row r="63" spans="1:22" ht="13.5" customHeight="1" x14ac:dyDescent="0.2"/>
    <row r="68" spans="1:28" ht="14.25" customHeight="1" x14ac:dyDescent="0.2">
      <c r="A68" s="2"/>
    </row>
    <row r="74" spans="1:28" s="8" customFormat="1" ht="36.75" customHeight="1" x14ac:dyDescent="0.2">
      <c r="B74" s="9"/>
      <c r="C74" s="10"/>
      <c r="E74" s="11"/>
      <c r="F74" s="11"/>
      <c r="G74" s="2"/>
      <c r="H74" s="2"/>
      <c r="I74" s="2"/>
      <c r="J74" s="2"/>
      <c r="K74" s="2"/>
      <c r="L74" s="2"/>
      <c r="M74" s="2"/>
      <c r="N74" s="2"/>
      <c r="O74" s="2"/>
      <c r="P74" s="2"/>
      <c r="Q74" s="2"/>
      <c r="R74" s="2"/>
      <c r="S74" s="2"/>
      <c r="T74" s="2"/>
      <c r="U74" s="2"/>
      <c r="V74" s="2"/>
      <c r="W74" s="2"/>
      <c r="X74" s="2"/>
      <c r="Y74" s="2"/>
      <c r="Z74" s="2"/>
      <c r="AA74" s="2"/>
      <c r="AB74" s="2"/>
    </row>
    <row r="75" spans="1:28" s="8" customFormat="1" ht="27" customHeight="1" x14ac:dyDescent="0.2">
      <c r="B75" s="9"/>
      <c r="C75" s="10"/>
      <c r="E75" s="11"/>
      <c r="F75" s="11"/>
      <c r="G75" s="2"/>
      <c r="H75" s="2"/>
      <c r="I75" s="2"/>
      <c r="J75" s="2"/>
      <c r="K75" s="2"/>
      <c r="L75" s="2"/>
      <c r="M75" s="2"/>
      <c r="N75" s="2"/>
      <c r="O75" s="2"/>
      <c r="P75" s="2"/>
      <c r="Q75" s="2"/>
      <c r="R75" s="2"/>
      <c r="S75" s="2"/>
      <c r="T75" s="2"/>
      <c r="U75" s="2"/>
      <c r="V75" s="2"/>
      <c r="W75" s="2"/>
      <c r="X75" s="2"/>
      <c r="Y75" s="2"/>
      <c r="Z75" s="2"/>
      <c r="AA75" s="2"/>
      <c r="AB75" s="2"/>
    </row>
    <row r="90" spans="1:28" ht="24.75" customHeight="1" x14ac:dyDescent="0.2">
      <c r="A90" s="2"/>
    </row>
    <row r="91" spans="1:28" ht="27.75" customHeight="1" x14ac:dyDescent="0.2"/>
    <row r="94" spans="1:28" ht="15.75" customHeight="1" x14ac:dyDescent="0.2"/>
    <row r="96" spans="1:28" s="3" customFormat="1" x14ac:dyDescent="0.2">
      <c r="A96" s="8"/>
      <c r="B96" s="9"/>
      <c r="C96" s="10"/>
      <c r="D96" s="8"/>
      <c r="E96" s="11"/>
      <c r="F96" s="11"/>
      <c r="G96" s="2"/>
      <c r="H96" s="2"/>
      <c r="I96" s="2"/>
      <c r="J96" s="2"/>
      <c r="K96" s="2"/>
      <c r="L96" s="2"/>
      <c r="M96" s="2"/>
      <c r="N96" s="2"/>
      <c r="O96" s="2"/>
      <c r="P96" s="2"/>
      <c r="Q96" s="2"/>
      <c r="R96" s="2"/>
      <c r="S96" s="2"/>
      <c r="T96" s="2"/>
      <c r="U96" s="2"/>
      <c r="V96" s="2"/>
      <c r="W96" s="2"/>
      <c r="X96" s="2"/>
      <c r="Y96" s="2"/>
      <c r="Z96" s="2"/>
      <c r="AA96" s="2"/>
      <c r="AB96" s="2"/>
    </row>
    <row r="97" spans="1:28" s="12" customFormat="1" x14ac:dyDescent="0.2">
      <c r="A97" s="8"/>
      <c r="B97" s="9"/>
      <c r="C97" s="10"/>
      <c r="D97" s="8"/>
      <c r="E97" s="11"/>
      <c r="F97" s="11"/>
      <c r="G97" s="2"/>
      <c r="H97" s="2"/>
      <c r="I97" s="2"/>
      <c r="J97" s="2"/>
      <c r="K97" s="2"/>
      <c r="L97" s="2"/>
      <c r="M97" s="2"/>
      <c r="N97" s="2"/>
      <c r="O97" s="2"/>
      <c r="P97" s="2"/>
      <c r="Q97" s="2"/>
      <c r="R97" s="2"/>
      <c r="S97" s="2"/>
      <c r="T97" s="2"/>
      <c r="U97" s="2"/>
      <c r="V97" s="2"/>
      <c r="W97" s="2"/>
      <c r="X97" s="2"/>
      <c r="Y97" s="2"/>
      <c r="Z97" s="2"/>
      <c r="AA97" s="2"/>
      <c r="AB97" s="2"/>
    </row>
    <row r="98" spans="1:28" s="12" customFormat="1" ht="11.25" customHeight="1" x14ac:dyDescent="0.2">
      <c r="A98" s="8"/>
      <c r="B98" s="9"/>
      <c r="C98" s="10"/>
      <c r="D98" s="8"/>
      <c r="E98" s="11"/>
      <c r="F98" s="11"/>
      <c r="G98" s="2"/>
      <c r="H98" s="2"/>
      <c r="I98" s="2"/>
      <c r="J98" s="2"/>
      <c r="K98" s="2"/>
      <c r="L98" s="2"/>
      <c r="M98" s="2"/>
      <c r="N98" s="2"/>
      <c r="O98" s="2"/>
      <c r="P98" s="2"/>
      <c r="Q98" s="2"/>
      <c r="R98" s="2"/>
      <c r="S98" s="2"/>
      <c r="T98" s="2"/>
      <c r="U98" s="2"/>
      <c r="V98" s="2"/>
      <c r="W98" s="2"/>
      <c r="X98" s="2"/>
      <c r="Y98" s="2"/>
      <c r="Z98" s="2"/>
      <c r="AA98" s="2"/>
      <c r="AB98" s="2"/>
    </row>
    <row r="99" spans="1:28" s="12" customFormat="1" x14ac:dyDescent="0.2">
      <c r="A99" s="8"/>
      <c r="B99" s="9"/>
      <c r="C99" s="10"/>
      <c r="D99" s="8"/>
      <c r="E99" s="11"/>
      <c r="F99" s="11"/>
      <c r="G99" s="2"/>
      <c r="H99" s="2"/>
      <c r="I99" s="2"/>
      <c r="J99" s="2"/>
      <c r="K99" s="2"/>
      <c r="L99" s="2"/>
      <c r="M99" s="2"/>
      <c r="N99" s="2"/>
      <c r="O99" s="2"/>
      <c r="P99" s="2"/>
      <c r="Q99" s="2"/>
      <c r="R99" s="2"/>
      <c r="S99" s="2"/>
      <c r="T99" s="2"/>
      <c r="U99" s="2"/>
      <c r="V99" s="2"/>
      <c r="W99" s="2"/>
      <c r="X99" s="2"/>
      <c r="Y99" s="2"/>
      <c r="Z99" s="2"/>
      <c r="AA99" s="2"/>
      <c r="AB99" s="2"/>
    </row>
    <row r="100" spans="1:28" s="12" customFormat="1" ht="24.75" customHeight="1" x14ac:dyDescent="0.2">
      <c r="A100" s="8"/>
      <c r="B100" s="9"/>
      <c r="C100" s="10"/>
      <c r="D100" s="8"/>
      <c r="E100" s="11"/>
      <c r="F100" s="11"/>
      <c r="G100" s="2"/>
      <c r="H100" s="2"/>
      <c r="I100" s="2"/>
      <c r="J100" s="2"/>
      <c r="K100" s="2"/>
      <c r="L100" s="2"/>
      <c r="M100" s="2"/>
      <c r="N100" s="2"/>
      <c r="O100" s="2"/>
      <c r="P100" s="2"/>
      <c r="Q100" s="2"/>
      <c r="R100" s="2"/>
      <c r="S100" s="2"/>
      <c r="T100" s="2"/>
      <c r="U100" s="2"/>
      <c r="V100" s="2"/>
      <c r="W100" s="2"/>
      <c r="X100" s="2"/>
      <c r="Y100" s="2"/>
      <c r="Z100" s="2"/>
      <c r="AA100" s="2"/>
      <c r="AB100" s="2"/>
    </row>
    <row r="101" spans="1:28" s="12" customFormat="1" x14ac:dyDescent="0.2">
      <c r="A101" s="8"/>
      <c r="B101" s="9"/>
      <c r="C101" s="10"/>
      <c r="D101" s="8"/>
      <c r="E101" s="11"/>
      <c r="F101" s="11"/>
      <c r="G101" s="2"/>
      <c r="H101" s="2"/>
      <c r="I101" s="2"/>
      <c r="J101" s="2"/>
      <c r="K101" s="2"/>
      <c r="L101" s="2"/>
      <c r="M101" s="2"/>
      <c r="N101" s="2"/>
      <c r="O101" s="2"/>
      <c r="P101" s="2"/>
      <c r="Q101" s="2"/>
      <c r="R101" s="2"/>
      <c r="S101" s="2"/>
      <c r="T101" s="2"/>
      <c r="U101" s="2"/>
      <c r="V101" s="2"/>
      <c r="W101" s="2"/>
      <c r="X101" s="2"/>
      <c r="Y101" s="2"/>
      <c r="Z101" s="2"/>
      <c r="AA101" s="2"/>
      <c r="AB101" s="2"/>
    </row>
    <row r="102" spans="1:28" s="12" customFormat="1" x14ac:dyDescent="0.2">
      <c r="A102" s="8"/>
      <c r="B102" s="9"/>
      <c r="C102" s="10"/>
      <c r="D102" s="8"/>
      <c r="E102" s="11"/>
      <c r="F102" s="11"/>
      <c r="G102" s="2"/>
      <c r="H102" s="2"/>
      <c r="I102" s="2"/>
      <c r="J102" s="2"/>
      <c r="K102" s="2"/>
      <c r="L102" s="2"/>
      <c r="M102" s="2"/>
      <c r="N102" s="2"/>
      <c r="O102" s="2"/>
      <c r="P102" s="2"/>
      <c r="Q102" s="2"/>
      <c r="R102" s="2"/>
      <c r="S102" s="2"/>
      <c r="T102" s="2"/>
      <c r="U102" s="2"/>
      <c r="V102" s="2"/>
      <c r="W102" s="2"/>
      <c r="X102" s="2"/>
      <c r="Y102" s="2"/>
      <c r="Z102" s="2"/>
      <c r="AA102" s="2"/>
      <c r="AB102" s="2"/>
    </row>
    <row r="103" spans="1:28" s="12" customFormat="1" x14ac:dyDescent="0.2">
      <c r="A103" s="8"/>
      <c r="B103" s="9"/>
      <c r="C103" s="10"/>
      <c r="D103" s="8"/>
      <c r="E103" s="11"/>
      <c r="F103" s="11"/>
      <c r="G103" s="2"/>
      <c r="H103" s="2"/>
      <c r="I103" s="2"/>
      <c r="J103" s="2"/>
      <c r="K103" s="2"/>
      <c r="L103" s="2"/>
      <c r="M103" s="2"/>
      <c r="N103" s="2"/>
      <c r="O103" s="2"/>
      <c r="P103" s="2"/>
      <c r="Q103" s="2"/>
      <c r="R103" s="2"/>
      <c r="S103" s="2"/>
      <c r="T103" s="2"/>
      <c r="U103" s="2"/>
      <c r="V103" s="2"/>
      <c r="W103" s="2"/>
      <c r="X103" s="2"/>
      <c r="Y103" s="2"/>
      <c r="Z103" s="2"/>
      <c r="AA103" s="2"/>
      <c r="AB103" s="2"/>
    </row>
    <row r="104" spans="1:28" s="12" customFormat="1" x14ac:dyDescent="0.2">
      <c r="A104" s="8"/>
      <c r="B104" s="9"/>
      <c r="C104" s="10"/>
      <c r="D104" s="8"/>
      <c r="E104" s="11"/>
      <c r="F104" s="11"/>
      <c r="G104" s="2"/>
      <c r="H104" s="2"/>
      <c r="I104" s="2"/>
      <c r="J104" s="2"/>
      <c r="K104" s="2"/>
      <c r="L104" s="2"/>
      <c r="M104" s="2"/>
      <c r="N104" s="2"/>
      <c r="O104" s="2"/>
      <c r="P104" s="2"/>
      <c r="Q104" s="2"/>
      <c r="R104" s="2"/>
      <c r="S104" s="2"/>
      <c r="T104" s="2"/>
      <c r="U104" s="2"/>
      <c r="V104" s="2"/>
      <c r="W104" s="2"/>
      <c r="X104" s="2"/>
      <c r="Y104" s="2"/>
      <c r="Z104" s="2"/>
      <c r="AA104" s="2"/>
      <c r="AB104" s="2"/>
    </row>
    <row r="105" spans="1:28" s="12" customFormat="1" x14ac:dyDescent="0.2">
      <c r="A105" s="8"/>
      <c r="B105" s="9"/>
      <c r="C105" s="10"/>
      <c r="D105" s="8"/>
      <c r="E105" s="11"/>
      <c r="F105" s="11"/>
      <c r="G105" s="2"/>
      <c r="H105" s="2"/>
      <c r="I105" s="2"/>
      <c r="J105" s="2"/>
      <c r="K105" s="2"/>
      <c r="L105" s="2"/>
      <c r="M105" s="2"/>
      <c r="N105" s="2"/>
      <c r="O105" s="2"/>
      <c r="P105" s="2"/>
      <c r="Q105" s="2"/>
      <c r="R105" s="2"/>
      <c r="S105" s="2"/>
      <c r="T105" s="2"/>
      <c r="U105" s="2"/>
      <c r="V105" s="2"/>
      <c r="W105" s="2"/>
      <c r="X105" s="2"/>
      <c r="Y105" s="2"/>
      <c r="Z105" s="2"/>
      <c r="AA105" s="2"/>
      <c r="AB105" s="2"/>
    </row>
    <row r="106" spans="1:28" s="12" customFormat="1" x14ac:dyDescent="0.2">
      <c r="A106" s="8"/>
      <c r="B106" s="9"/>
      <c r="C106" s="10"/>
      <c r="D106" s="8"/>
      <c r="E106" s="11"/>
      <c r="F106" s="11"/>
      <c r="G106" s="2"/>
      <c r="H106" s="2"/>
      <c r="I106" s="2"/>
      <c r="J106" s="2"/>
      <c r="K106" s="2"/>
      <c r="L106" s="2"/>
      <c r="M106" s="2"/>
      <c r="N106" s="2"/>
      <c r="O106" s="2"/>
      <c r="P106" s="2"/>
      <c r="Q106" s="2"/>
      <c r="R106" s="2"/>
      <c r="S106" s="2"/>
      <c r="T106" s="2"/>
      <c r="U106" s="2"/>
      <c r="V106" s="2"/>
      <c r="W106" s="2"/>
      <c r="X106" s="2"/>
      <c r="Y106" s="2"/>
      <c r="Z106" s="2"/>
      <c r="AA106" s="2"/>
      <c r="AB106" s="2"/>
    </row>
    <row r="107" spans="1:28" s="12" customFormat="1" ht="13.5" customHeight="1" x14ac:dyDescent="0.2">
      <c r="A107" s="8"/>
      <c r="B107" s="9"/>
      <c r="C107" s="10"/>
      <c r="D107" s="8"/>
      <c r="E107" s="11"/>
      <c r="F107" s="11"/>
      <c r="G107" s="2"/>
      <c r="H107" s="2"/>
      <c r="I107" s="2"/>
      <c r="J107" s="2"/>
      <c r="K107" s="2"/>
      <c r="L107" s="2"/>
      <c r="M107" s="2"/>
      <c r="N107" s="2"/>
      <c r="O107" s="2"/>
      <c r="P107" s="2"/>
      <c r="Q107" s="2"/>
      <c r="R107" s="2"/>
      <c r="S107" s="2"/>
      <c r="T107" s="2"/>
      <c r="U107" s="2"/>
      <c r="V107" s="2"/>
      <c r="W107" s="2"/>
      <c r="X107" s="2"/>
      <c r="Y107" s="2"/>
      <c r="Z107" s="2"/>
      <c r="AA107" s="2"/>
      <c r="AB107" s="2"/>
    </row>
    <row r="108" spans="1:28" s="12" customFormat="1" x14ac:dyDescent="0.2">
      <c r="A108" s="8"/>
      <c r="B108" s="9"/>
      <c r="C108" s="10"/>
      <c r="D108" s="8"/>
      <c r="E108" s="11"/>
      <c r="F108" s="11"/>
      <c r="G108" s="2"/>
      <c r="H108" s="2"/>
      <c r="I108" s="2"/>
      <c r="J108" s="2"/>
      <c r="K108" s="2"/>
      <c r="L108" s="2"/>
      <c r="M108" s="2"/>
      <c r="N108" s="2"/>
      <c r="O108" s="2"/>
      <c r="P108" s="2"/>
      <c r="Q108" s="2"/>
      <c r="R108" s="2"/>
      <c r="S108" s="2"/>
      <c r="T108" s="2"/>
      <c r="U108" s="2"/>
      <c r="V108" s="2"/>
      <c r="W108" s="2"/>
      <c r="X108" s="2"/>
      <c r="Y108" s="2"/>
      <c r="Z108" s="2"/>
      <c r="AA108" s="2"/>
      <c r="AB108" s="2"/>
    </row>
    <row r="109" spans="1:28" s="12" customFormat="1" x14ac:dyDescent="0.2">
      <c r="A109" s="8"/>
      <c r="B109" s="9"/>
      <c r="C109" s="10"/>
      <c r="D109" s="8"/>
      <c r="E109" s="11"/>
      <c r="F109" s="11"/>
      <c r="G109" s="2"/>
      <c r="H109" s="2"/>
      <c r="I109" s="2"/>
      <c r="J109" s="2"/>
      <c r="K109" s="2"/>
      <c r="L109" s="2"/>
      <c r="M109" s="2"/>
      <c r="N109" s="2"/>
      <c r="O109" s="2"/>
      <c r="P109" s="2"/>
      <c r="Q109" s="2"/>
      <c r="R109" s="2"/>
      <c r="S109" s="2"/>
      <c r="T109" s="2"/>
      <c r="U109" s="2"/>
      <c r="V109" s="2"/>
      <c r="W109" s="2"/>
      <c r="X109" s="2"/>
      <c r="Y109" s="2"/>
      <c r="Z109" s="2"/>
      <c r="AA109" s="2"/>
      <c r="AB109" s="2"/>
    </row>
    <row r="110" spans="1:28" s="12" customFormat="1" x14ac:dyDescent="0.2">
      <c r="A110" s="8"/>
      <c r="B110" s="9"/>
      <c r="C110" s="10"/>
      <c r="D110" s="8"/>
      <c r="E110" s="11"/>
      <c r="F110" s="11"/>
      <c r="G110" s="2"/>
      <c r="H110" s="2"/>
      <c r="I110" s="2"/>
      <c r="J110" s="2"/>
      <c r="K110" s="2"/>
      <c r="L110" s="2"/>
      <c r="M110" s="2"/>
      <c r="N110" s="2"/>
      <c r="O110" s="2"/>
      <c r="P110" s="2"/>
      <c r="Q110" s="2"/>
      <c r="R110" s="2"/>
      <c r="S110" s="2"/>
      <c r="T110" s="2"/>
      <c r="U110" s="2"/>
      <c r="V110" s="2"/>
      <c r="W110" s="2"/>
      <c r="X110" s="2"/>
      <c r="Y110" s="2"/>
      <c r="Z110" s="2"/>
      <c r="AA110" s="2"/>
      <c r="AB110" s="2"/>
    </row>
    <row r="111" spans="1:28" s="12" customFormat="1" x14ac:dyDescent="0.2">
      <c r="A111" s="8"/>
      <c r="B111" s="9"/>
      <c r="C111" s="10"/>
      <c r="D111" s="8"/>
      <c r="E111" s="11"/>
      <c r="F111" s="11"/>
      <c r="G111" s="2"/>
      <c r="H111" s="2"/>
      <c r="I111" s="2"/>
      <c r="J111" s="2"/>
      <c r="K111" s="2"/>
      <c r="L111" s="2"/>
      <c r="M111" s="2"/>
      <c r="N111" s="2"/>
      <c r="O111" s="2"/>
      <c r="P111" s="2"/>
      <c r="Q111" s="2"/>
      <c r="R111" s="2"/>
      <c r="S111" s="2"/>
      <c r="T111" s="2"/>
      <c r="U111" s="2"/>
      <c r="V111" s="2"/>
      <c r="W111" s="2"/>
      <c r="X111" s="2"/>
      <c r="Y111" s="2"/>
      <c r="Z111" s="2"/>
      <c r="AA111" s="2"/>
      <c r="AB111" s="2"/>
    </row>
    <row r="112" spans="1:28" s="12" customFormat="1" x14ac:dyDescent="0.2">
      <c r="A112" s="8"/>
      <c r="B112" s="9"/>
      <c r="C112" s="10"/>
      <c r="D112" s="8"/>
      <c r="E112" s="11"/>
      <c r="F112" s="11"/>
      <c r="G112" s="2"/>
      <c r="H112" s="2"/>
      <c r="I112" s="2"/>
      <c r="J112" s="2"/>
      <c r="K112" s="2"/>
      <c r="L112" s="2"/>
      <c r="M112" s="2"/>
      <c r="N112" s="2"/>
      <c r="O112" s="2"/>
      <c r="P112" s="2"/>
      <c r="Q112" s="2"/>
      <c r="R112" s="2"/>
      <c r="S112" s="2"/>
      <c r="T112" s="2"/>
      <c r="U112" s="2"/>
      <c r="V112" s="2"/>
      <c r="W112" s="2"/>
      <c r="X112" s="2"/>
      <c r="Y112" s="2"/>
      <c r="Z112" s="2"/>
      <c r="AA112" s="2"/>
      <c r="AB112" s="2"/>
    </row>
    <row r="113" spans="1:28" s="12" customFormat="1" x14ac:dyDescent="0.2">
      <c r="A113" s="8"/>
      <c r="B113" s="9"/>
      <c r="C113" s="10"/>
      <c r="D113" s="8"/>
      <c r="E113" s="11"/>
      <c r="F113" s="11"/>
      <c r="G113" s="2"/>
      <c r="H113" s="2"/>
      <c r="I113" s="2"/>
      <c r="J113" s="2"/>
      <c r="K113" s="2"/>
      <c r="L113" s="2"/>
      <c r="M113" s="2"/>
      <c r="N113" s="2"/>
      <c r="O113" s="2"/>
      <c r="P113" s="2"/>
      <c r="Q113" s="2"/>
      <c r="R113" s="2"/>
      <c r="S113" s="2"/>
      <c r="T113" s="2"/>
      <c r="U113" s="2"/>
      <c r="V113" s="2"/>
      <c r="W113" s="2"/>
      <c r="X113" s="2"/>
      <c r="Y113" s="2"/>
      <c r="Z113" s="2"/>
      <c r="AA113" s="2"/>
      <c r="AB113" s="2"/>
    </row>
    <row r="114" spans="1:28" s="12" customFormat="1" x14ac:dyDescent="0.2">
      <c r="A114" s="8"/>
      <c r="B114" s="9"/>
      <c r="C114" s="10"/>
      <c r="D114" s="8"/>
      <c r="E114" s="11"/>
      <c r="F114" s="11"/>
      <c r="G114" s="2"/>
      <c r="H114" s="2"/>
      <c r="I114" s="2"/>
      <c r="J114" s="2"/>
      <c r="K114" s="2"/>
      <c r="L114" s="2"/>
      <c r="M114" s="2"/>
      <c r="N114" s="2"/>
      <c r="O114" s="2"/>
      <c r="P114" s="2"/>
      <c r="Q114" s="2"/>
      <c r="R114" s="2"/>
      <c r="S114" s="2"/>
      <c r="T114" s="2"/>
      <c r="U114" s="2"/>
      <c r="V114" s="2"/>
      <c r="W114" s="2"/>
      <c r="X114" s="2"/>
      <c r="Y114" s="2"/>
      <c r="Z114" s="2"/>
      <c r="AA114" s="2"/>
      <c r="AB114" s="2"/>
    </row>
    <row r="115" spans="1:28" s="12" customFormat="1" x14ac:dyDescent="0.2">
      <c r="A115" s="8"/>
      <c r="B115" s="9"/>
      <c r="C115" s="10"/>
      <c r="D115" s="8"/>
      <c r="E115" s="11"/>
      <c r="F115" s="11"/>
      <c r="G115" s="2"/>
      <c r="H115" s="2"/>
      <c r="I115" s="2"/>
      <c r="J115" s="2"/>
      <c r="K115" s="2"/>
      <c r="L115" s="2"/>
      <c r="M115" s="2"/>
      <c r="N115" s="2"/>
      <c r="O115" s="2"/>
      <c r="P115" s="2"/>
      <c r="Q115" s="2"/>
      <c r="R115" s="2"/>
      <c r="S115" s="2"/>
      <c r="T115" s="2"/>
      <c r="U115" s="2"/>
      <c r="V115" s="2"/>
      <c r="W115" s="2"/>
      <c r="X115" s="2"/>
      <c r="Y115" s="2"/>
      <c r="Z115" s="2"/>
      <c r="AA115" s="2"/>
      <c r="AB115" s="2"/>
    </row>
    <row r="116" spans="1:28" s="12" customFormat="1" x14ac:dyDescent="0.2">
      <c r="A116" s="8"/>
      <c r="B116" s="9"/>
      <c r="C116" s="10"/>
      <c r="D116" s="8"/>
      <c r="E116" s="11"/>
      <c r="F116" s="11"/>
      <c r="G116" s="2"/>
      <c r="H116" s="2"/>
      <c r="I116" s="2"/>
      <c r="J116" s="2"/>
      <c r="K116" s="2"/>
      <c r="L116" s="2"/>
      <c r="M116" s="2"/>
      <c r="N116" s="2"/>
      <c r="O116" s="2"/>
      <c r="P116" s="2"/>
      <c r="Q116" s="2"/>
      <c r="R116" s="2"/>
      <c r="S116" s="2"/>
      <c r="T116" s="2"/>
      <c r="U116" s="2"/>
      <c r="V116" s="2"/>
      <c r="W116" s="2"/>
      <c r="X116" s="2"/>
      <c r="Y116" s="2"/>
      <c r="Z116" s="2"/>
      <c r="AA116" s="2"/>
      <c r="AB116" s="2"/>
    </row>
    <row r="117" spans="1:28" s="12" customFormat="1" ht="13.5" customHeight="1" x14ac:dyDescent="0.2">
      <c r="A117" s="8"/>
      <c r="B117" s="9"/>
      <c r="C117" s="10"/>
      <c r="D117" s="8"/>
      <c r="E117" s="11"/>
      <c r="F117" s="11"/>
      <c r="G117" s="2"/>
      <c r="H117" s="2"/>
      <c r="I117" s="2"/>
      <c r="J117" s="2"/>
      <c r="K117" s="2"/>
      <c r="L117" s="2"/>
      <c r="M117" s="2"/>
      <c r="N117" s="2"/>
      <c r="O117" s="2"/>
      <c r="P117" s="2"/>
      <c r="Q117" s="2"/>
      <c r="R117" s="2"/>
      <c r="S117" s="2"/>
      <c r="T117" s="2"/>
      <c r="U117" s="2"/>
      <c r="V117" s="2"/>
      <c r="W117" s="2"/>
      <c r="X117" s="2"/>
      <c r="Y117" s="2"/>
      <c r="Z117" s="2"/>
      <c r="AA117" s="2"/>
      <c r="AB117" s="2"/>
    </row>
    <row r="118" spans="1:28" s="13" customFormat="1" x14ac:dyDescent="0.2">
      <c r="A118" s="8"/>
      <c r="B118" s="9"/>
      <c r="C118" s="10"/>
      <c r="D118" s="8"/>
      <c r="E118" s="11"/>
      <c r="F118" s="11"/>
      <c r="G118" s="2"/>
      <c r="H118" s="2"/>
      <c r="I118" s="2"/>
      <c r="J118" s="2"/>
      <c r="K118" s="2"/>
      <c r="L118" s="2"/>
      <c r="M118" s="2"/>
      <c r="N118" s="2"/>
      <c r="O118" s="2"/>
      <c r="P118" s="2"/>
      <c r="Q118" s="2"/>
      <c r="R118" s="2"/>
      <c r="S118" s="2"/>
      <c r="T118" s="2"/>
      <c r="U118" s="2"/>
      <c r="V118" s="2"/>
      <c r="W118" s="2"/>
      <c r="X118" s="2"/>
      <c r="Y118" s="2"/>
      <c r="Z118" s="2"/>
      <c r="AA118" s="2"/>
      <c r="AB118" s="2"/>
    </row>
    <row r="119" spans="1:28" s="12" customFormat="1" x14ac:dyDescent="0.2">
      <c r="A119" s="8"/>
      <c r="B119" s="9"/>
      <c r="C119" s="10"/>
      <c r="D119" s="8"/>
      <c r="E119" s="11"/>
      <c r="F119" s="11"/>
      <c r="G119" s="2"/>
      <c r="H119" s="2"/>
      <c r="I119" s="2"/>
      <c r="J119" s="2"/>
      <c r="K119" s="2"/>
      <c r="L119" s="2"/>
      <c r="M119" s="2"/>
      <c r="N119" s="2"/>
      <c r="O119" s="2"/>
      <c r="P119" s="2"/>
      <c r="Q119" s="2"/>
      <c r="R119" s="2"/>
      <c r="S119" s="2"/>
      <c r="T119" s="2"/>
      <c r="U119" s="2"/>
      <c r="V119" s="2"/>
      <c r="W119" s="2"/>
      <c r="X119" s="2"/>
      <c r="Y119" s="2"/>
      <c r="Z119" s="2"/>
      <c r="AA119" s="2"/>
      <c r="AB119" s="2"/>
    </row>
    <row r="120" spans="1:28" s="12" customFormat="1" x14ac:dyDescent="0.2">
      <c r="A120" s="8"/>
      <c r="B120" s="9"/>
      <c r="C120" s="10"/>
      <c r="D120" s="8"/>
      <c r="E120" s="11"/>
      <c r="F120" s="11"/>
      <c r="G120" s="2"/>
      <c r="H120" s="2"/>
      <c r="I120" s="2"/>
      <c r="J120" s="2"/>
      <c r="K120" s="2"/>
      <c r="L120" s="2"/>
      <c r="M120" s="2"/>
      <c r="N120" s="2"/>
      <c r="O120" s="2"/>
      <c r="P120" s="2"/>
      <c r="Q120" s="2"/>
      <c r="R120" s="2"/>
      <c r="S120" s="2"/>
      <c r="T120" s="2"/>
      <c r="U120" s="2"/>
      <c r="V120" s="2"/>
      <c r="W120" s="2"/>
      <c r="X120" s="2"/>
      <c r="Y120" s="2"/>
      <c r="Z120" s="2"/>
      <c r="AA120" s="2"/>
      <c r="AB120" s="2"/>
    </row>
    <row r="121" spans="1:28" s="12" customFormat="1" x14ac:dyDescent="0.2">
      <c r="A121" s="8"/>
      <c r="B121" s="9"/>
      <c r="C121" s="10"/>
      <c r="D121" s="8"/>
      <c r="E121" s="11"/>
      <c r="F121" s="11"/>
      <c r="G121" s="2"/>
      <c r="H121" s="2"/>
      <c r="I121" s="2"/>
      <c r="J121" s="2"/>
      <c r="K121" s="2"/>
      <c r="L121" s="2"/>
      <c r="M121" s="2"/>
      <c r="N121" s="2"/>
      <c r="O121" s="2"/>
      <c r="P121" s="2"/>
      <c r="Q121" s="2"/>
      <c r="R121" s="2"/>
      <c r="S121" s="2"/>
      <c r="T121" s="2"/>
      <c r="U121" s="2"/>
      <c r="V121" s="2"/>
      <c r="W121" s="2"/>
      <c r="X121" s="2"/>
      <c r="Y121" s="2"/>
      <c r="Z121" s="2"/>
      <c r="AA121" s="2"/>
      <c r="AB121" s="2"/>
    </row>
    <row r="122" spans="1:28" s="12" customFormat="1" x14ac:dyDescent="0.2">
      <c r="A122" s="8"/>
      <c r="B122" s="9"/>
      <c r="C122" s="10"/>
      <c r="D122" s="8"/>
      <c r="E122" s="11"/>
      <c r="F122" s="11"/>
      <c r="G122" s="2"/>
      <c r="H122" s="2"/>
      <c r="I122" s="2"/>
      <c r="J122" s="2"/>
      <c r="K122" s="2"/>
      <c r="L122" s="2"/>
      <c r="M122" s="2"/>
      <c r="N122" s="2"/>
      <c r="O122" s="2"/>
      <c r="P122" s="2"/>
      <c r="Q122" s="2"/>
      <c r="R122" s="2"/>
      <c r="S122" s="2"/>
      <c r="T122" s="2"/>
      <c r="U122" s="2"/>
      <c r="V122" s="2"/>
      <c r="W122" s="2"/>
      <c r="X122" s="2"/>
      <c r="Y122" s="2"/>
      <c r="Z122" s="2"/>
      <c r="AA122" s="2"/>
      <c r="AB122" s="2"/>
    </row>
    <row r="123" spans="1:28" s="12" customFormat="1" x14ac:dyDescent="0.2">
      <c r="A123" s="8"/>
      <c r="B123" s="9"/>
      <c r="C123" s="10"/>
      <c r="D123" s="8"/>
      <c r="E123" s="11"/>
      <c r="F123" s="11"/>
      <c r="G123" s="2"/>
      <c r="H123" s="2"/>
      <c r="I123" s="2"/>
      <c r="J123" s="2"/>
      <c r="K123" s="2"/>
      <c r="L123" s="2"/>
      <c r="M123" s="2"/>
      <c r="N123" s="2"/>
      <c r="O123" s="2"/>
      <c r="P123" s="2"/>
      <c r="Q123" s="2"/>
      <c r="R123" s="2"/>
      <c r="S123" s="2"/>
      <c r="T123" s="2"/>
      <c r="U123" s="2"/>
      <c r="V123" s="2"/>
      <c r="W123" s="2"/>
      <c r="X123" s="2"/>
      <c r="Y123" s="2"/>
      <c r="Z123" s="2"/>
      <c r="AA123" s="2"/>
      <c r="AB123" s="2"/>
    </row>
    <row r="124" spans="1:28" s="12" customFormat="1" x14ac:dyDescent="0.2">
      <c r="A124" s="8"/>
      <c r="B124" s="9"/>
      <c r="C124" s="10"/>
      <c r="D124" s="8"/>
      <c r="E124" s="11"/>
      <c r="F124" s="11"/>
      <c r="G124" s="2"/>
      <c r="H124" s="2"/>
      <c r="I124" s="2"/>
      <c r="J124" s="2"/>
      <c r="K124" s="2"/>
      <c r="L124" s="2"/>
      <c r="M124" s="2"/>
      <c r="N124" s="2"/>
      <c r="O124" s="2"/>
      <c r="P124" s="2"/>
      <c r="Q124" s="2"/>
      <c r="R124" s="2"/>
      <c r="S124" s="2"/>
      <c r="T124" s="2"/>
      <c r="U124" s="2"/>
      <c r="V124" s="2"/>
      <c r="W124" s="2"/>
      <c r="X124" s="2"/>
      <c r="Y124" s="2"/>
      <c r="Z124" s="2"/>
      <c r="AA124" s="2"/>
      <c r="AB124" s="2"/>
    </row>
    <row r="125" spans="1:28" s="12" customFormat="1" x14ac:dyDescent="0.2">
      <c r="A125" s="8"/>
      <c r="B125" s="9"/>
      <c r="C125" s="10"/>
      <c r="D125" s="8"/>
      <c r="E125" s="11"/>
      <c r="F125" s="11"/>
      <c r="G125" s="2"/>
      <c r="H125" s="2"/>
      <c r="I125" s="2"/>
      <c r="J125" s="2"/>
      <c r="K125" s="2"/>
      <c r="L125" s="2"/>
      <c r="M125" s="2"/>
      <c r="N125" s="2"/>
      <c r="O125" s="2"/>
      <c r="P125" s="2"/>
      <c r="Q125" s="2"/>
      <c r="R125" s="2"/>
      <c r="S125" s="2"/>
      <c r="T125" s="2"/>
      <c r="U125" s="2"/>
      <c r="V125" s="2"/>
      <c r="W125" s="2"/>
      <c r="X125" s="2"/>
      <c r="Y125" s="2"/>
      <c r="Z125" s="2"/>
      <c r="AA125" s="2"/>
      <c r="AB125" s="2"/>
    </row>
    <row r="126" spans="1:28" s="12" customFormat="1" x14ac:dyDescent="0.2">
      <c r="A126" s="8"/>
      <c r="B126" s="9"/>
      <c r="C126" s="10"/>
      <c r="D126" s="8"/>
      <c r="E126" s="11"/>
      <c r="F126" s="11"/>
      <c r="G126" s="2"/>
      <c r="H126" s="2"/>
      <c r="I126" s="2"/>
      <c r="J126" s="2"/>
      <c r="K126" s="2"/>
      <c r="L126" s="2"/>
      <c r="M126" s="2"/>
      <c r="N126" s="2"/>
      <c r="O126" s="2"/>
      <c r="P126" s="2"/>
      <c r="Q126" s="2"/>
      <c r="R126" s="2"/>
      <c r="S126" s="2"/>
      <c r="T126" s="2"/>
      <c r="U126" s="2"/>
      <c r="V126" s="2"/>
      <c r="W126" s="2"/>
      <c r="X126" s="2"/>
      <c r="Y126" s="2"/>
      <c r="Z126" s="2"/>
      <c r="AA126" s="2"/>
      <c r="AB126" s="2"/>
    </row>
    <row r="127" spans="1:28" s="12" customFormat="1" x14ac:dyDescent="0.2">
      <c r="A127" s="8"/>
      <c r="B127" s="9"/>
      <c r="C127" s="10"/>
      <c r="D127" s="8"/>
      <c r="E127" s="11"/>
      <c r="F127" s="11"/>
      <c r="G127" s="2"/>
      <c r="H127" s="2"/>
      <c r="I127" s="2"/>
      <c r="J127" s="2"/>
      <c r="K127" s="2"/>
      <c r="L127" s="2"/>
      <c r="M127" s="2"/>
      <c r="N127" s="2"/>
      <c r="O127" s="2"/>
      <c r="P127" s="2"/>
      <c r="Q127" s="2"/>
      <c r="R127" s="2"/>
      <c r="S127" s="2"/>
      <c r="T127" s="2"/>
      <c r="U127" s="2"/>
      <c r="V127" s="2"/>
      <c r="W127" s="2"/>
      <c r="X127" s="2"/>
      <c r="Y127" s="2"/>
      <c r="Z127" s="2"/>
      <c r="AA127" s="2"/>
      <c r="AB127" s="2"/>
    </row>
    <row r="128" spans="1:28" s="12" customFormat="1" x14ac:dyDescent="0.2">
      <c r="A128" s="8"/>
      <c r="B128" s="9"/>
      <c r="C128" s="10"/>
      <c r="D128" s="8"/>
      <c r="E128" s="11"/>
      <c r="F128" s="11"/>
      <c r="G128" s="2"/>
      <c r="H128" s="2"/>
      <c r="I128" s="2"/>
      <c r="J128" s="2"/>
      <c r="K128" s="2"/>
      <c r="L128" s="2"/>
      <c r="M128" s="2"/>
      <c r="N128" s="2"/>
      <c r="O128" s="2"/>
      <c r="P128" s="2"/>
      <c r="Q128" s="2"/>
      <c r="R128" s="2"/>
      <c r="S128" s="2"/>
      <c r="T128" s="2"/>
      <c r="U128" s="2"/>
      <c r="V128" s="2"/>
      <c r="W128" s="2"/>
      <c r="X128" s="2"/>
      <c r="Y128" s="2"/>
      <c r="Z128" s="2"/>
      <c r="AA128" s="2"/>
      <c r="AB128" s="2"/>
    </row>
    <row r="129" spans="1:28" s="12" customFormat="1" x14ac:dyDescent="0.2">
      <c r="A129" s="8"/>
      <c r="B129" s="9"/>
      <c r="C129" s="10"/>
      <c r="D129" s="8"/>
      <c r="E129" s="11"/>
      <c r="F129" s="11"/>
      <c r="G129" s="2"/>
      <c r="H129" s="2"/>
      <c r="I129" s="2"/>
      <c r="J129" s="2"/>
      <c r="K129" s="2"/>
      <c r="L129" s="2"/>
      <c r="M129" s="2"/>
      <c r="N129" s="2"/>
      <c r="O129" s="2"/>
      <c r="P129" s="2"/>
      <c r="Q129" s="2"/>
      <c r="R129" s="2"/>
      <c r="S129" s="2"/>
      <c r="T129" s="2"/>
      <c r="U129" s="2"/>
      <c r="V129" s="2"/>
      <c r="W129" s="2"/>
      <c r="X129" s="2"/>
      <c r="Y129" s="2"/>
      <c r="Z129" s="2"/>
      <c r="AA129" s="2"/>
      <c r="AB129" s="2"/>
    </row>
    <row r="130" spans="1:28" s="12" customFormat="1" x14ac:dyDescent="0.2">
      <c r="A130" s="8"/>
      <c r="B130" s="9"/>
      <c r="C130" s="10"/>
      <c r="D130" s="8"/>
      <c r="E130" s="11"/>
      <c r="F130" s="11"/>
      <c r="G130" s="2"/>
      <c r="H130" s="2"/>
      <c r="I130" s="2"/>
      <c r="J130" s="2"/>
      <c r="K130" s="2"/>
      <c r="L130" s="2"/>
      <c r="M130" s="2"/>
      <c r="N130" s="2"/>
      <c r="O130" s="2"/>
      <c r="P130" s="2"/>
      <c r="Q130" s="2"/>
      <c r="R130" s="2"/>
      <c r="S130" s="2"/>
      <c r="T130" s="2"/>
      <c r="U130" s="2"/>
      <c r="V130" s="2"/>
      <c r="W130" s="2"/>
      <c r="X130" s="2"/>
      <c r="Y130" s="2"/>
      <c r="Z130" s="2"/>
      <c r="AA130" s="2"/>
      <c r="AB130" s="2"/>
    </row>
    <row r="131" spans="1:28" s="12" customFormat="1" x14ac:dyDescent="0.2">
      <c r="A131" s="8"/>
      <c r="B131" s="9"/>
      <c r="C131" s="10"/>
      <c r="D131" s="8"/>
      <c r="E131" s="11"/>
      <c r="F131" s="11"/>
      <c r="G131" s="2"/>
      <c r="H131" s="2"/>
      <c r="I131" s="2"/>
      <c r="J131" s="2"/>
      <c r="K131" s="2"/>
      <c r="L131" s="2"/>
      <c r="M131" s="2"/>
      <c r="N131" s="2"/>
      <c r="O131" s="2"/>
      <c r="P131" s="2"/>
      <c r="Q131" s="2"/>
      <c r="R131" s="2"/>
      <c r="S131" s="2"/>
      <c r="T131" s="2"/>
      <c r="U131" s="2"/>
      <c r="V131" s="2"/>
      <c r="W131" s="2"/>
      <c r="X131" s="2"/>
      <c r="Y131" s="2"/>
      <c r="Z131" s="2"/>
      <c r="AA131" s="2"/>
      <c r="AB131" s="2"/>
    </row>
    <row r="132" spans="1:28" s="12" customFormat="1" x14ac:dyDescent="0.2">
      <c r="A132" s="8"/>
      <c r="B132" s="9"/>
      <c r="C132" s="10"/>
      <c r="D132" s="8"/>
      <c r="E132" s="11"/>
      <c r="F132" s="11"/>
      <c r="G132" s="2"/>
      <c r="H132" s="2"/>
      <c r="I132" s="2"/>
      <c r="J132" s="2"/>
      <c r="K132" s="2"/>
      <c r="L132" s="2"/>
      <c r="M132" s="2"/>
      <c r="N132" s="2"/>
      <c r="O132" s="2"/>
      <c r="P132" s="2"/>
      <c r="Q132" s="2"/>
      <c r="R132" s="2"/>
      <c r="S132" s="2"/>
      <c r="T132" s="2"/>
      <c r="U132" s="2"/>
      <c r="V132" s="2"/>
      <c r="W132" s="2"/>
      <c r="X132" s="2"/>
      <c r="Y132" s="2"/>
      <c r="Z132" s="2"/>
      <c r="AA132" s="2"/>
      <c r="AB132" s="2"/>
    </row>
    <row r="133" spans="1:28" s="12" customFormat="1" x14ac:dyDescent="0.2">
      <c r="A133" s="8"/>
      <c r="B133" s="9"/>
      <c r="C133" s="10"/>
      <c r="D133" s="8"/>
      <c r="E133" s="11"/>
      <c r="F133" s="11"/>
      <c r="G133" s="2"/>
      <c r="H133" s="2"/>
      <c r="I133" s="2"/>
      <c r="J133" s="2"/>
      <c r="K133" s="2"/>
      <c r="L133" s="2"/>
      <c r="M133" s="2"/>
      <c r="N133" s="2"/>
      <c r="O133" s="2"/>
      <c r="P133" s="2"/>
      <c r="Q133" s="2"/>
      <c r="R133" s="2"/>
      <c r="S133" s="2"/>
      <c r="T133" s="2"/>
      <c r="U133" s="2"/>
      <c r="V133" s="2"/>
      <c r="W133" s="2"/>
      <c r="X133" s="2"/>
      <c r="Y133" s="2"/>
      <c r="Z133" s="2"/>
      <c r="AA133" s="2"/>
      <c r="AB133" s="2"/>
    </row>
    <row r="134" spans="1:28" s="12" customFormat="1" x14ac:dyDescent="0.2">
      <c r="A134" s="8"/>
      <c r="B134" s="9"/>
      <c r="C134" s="10"/>
      <c r="D134" s="8"/>
      <c r="E134" s="11"/>
      <c r="F134" s="11"/>
      <c r="G134" s="2"/>
      <c r="H134" s="2"/>
      <c r="I134" s="2"/>
      <c r="J134" s="2"/>
      <c r="K134" s="2"/>
      <c r="L134" s="2"/>
      <c r="M134" s="2"/>
      <c r="N134" s="2"/>
      <c r="O134" s="2"/>
      <c r="P134" s="2"/>
      <c r="Q134" s="2"/>
      <c r="R134" s="2"/>
      <c r="S134" s="2"/>
      <c r="T134" s="2"/>
      <c r="U134" s="2"/>
      <c r="V134" s="2"/>
      <c r="W134" s="2"/>
      <c r="X134" s="2"/>
      <c r="Y134" s="2"/>
      <c r="Z134" s="2"/>
      <c r="AA134" s="2"/>
      <c r="AB134" s="2"/>
    </row>
    <row r="135" spans="1:28" s="12" customFormat="1" x14ac:dyDescent="0.2">
      <c r="A135" s="8"/>
      <c r="B135" s="9"/>
      <c r="C135" s="10"/>
      <c r="D135" s="8"/>
      <c r="E135" s="11"/>
      <c r="F135" s="11"/>
      <c r="G135" s="2"/>
      <c r="H135" s="2"/>
      <c r="I135" s="2"/>
      <c r="J135" s="2"/>
      <c r="K135" s="2"/>
      <c r="L135" s="2"/>
      <c r="M135" s="2"/>
      <c r="N135" s="2"/>
      <c r="O135" s="2"/>
      <c r="P135" s="2"/>
      <c r="Q135" s="2"/>
      <c r="R135" s="2"/>
      <c r="S135" s="2"/>
      <c r="T135" s="2"/>
      <c r="U135" s="2"/>
      <c r="V135" s="2"/>
      <c r="W135" s="2"/>
      <c r="X135" s="2"/>
      <c r="Y135" s="2"/>
      <c r="Z135" s="2"/>
      <c r="AA135" s="2"/>
      <c r="AB135" s="2"/>
    </row>
    <row r="136" spans="1:28" s="12" customFormat="1" x14ac:dyDescent="0.2">
      <c r="A136" s="8"/>
      <c r="B136" s="9"/>
      <c r="C136" s="10"/>
      <c r="D136" s="8"/>
      <c r="E136" s="11"/>
      <c r="F136" s="11"/>
      <c r="G136" s="2"/>
      <c r="H136" s="2"/>
      <c r="I136" s="2"/>
      <c r="J136" s="2"/>
      <c r="K136" s="2"/>
      <c r="L136" s="2"/>
      <c r="M136" s="2"/>
      <c r="N136" s="2"/>
      <c r="O136" s="2"/>
      <c r="P136" s="2"/>
      <c r="Q136" s="2"/>
      <c r="R136" s="2"/>
      <c r="S136" s="2"/>
      <c r="T136" s="2"/>
      <c r="U136" s="2"/>
      <c r="V136" s="2"/>
      <c r="W136" s="2"/>
      <c r="X136" s="2"/>
      <c r="Y136" s="2"/>
      <c r="Z136" s="2"/>
      <c r="AA136" s="2"/>
      <c r="AB136" s="2"/>
    </row>
    <row r="137" spans="1:28" s="12" customFormat="1" x14ac:dyDescent="0.2">
      <c r="A137" s="8"/>
      <c r="B137" s="9"/>
      <c r="C137" s="10"/>
      <c r="D137" s="8"/>
      <c r="E137" s="11"/>
      <c r="F137" s="11"/>
      <c r="G137" s="2"/>
      <c r="H137" s="2"/>
      <c r="I137" s="2"/>
      <c r="J137" s="2"/>
      <c r="K137" s="2"/>
      <c r="L137" s="2"/>
      <c r="M137" s="2"/>
      <c r="N137" s="2"/>
      <c r="O137" s="2"/>
      <c r="P137" s="2"/>
      <c r="Q137" s="2"/>
      <c r="R137" s="2"/>
      <c r="S137" s="2"/>
      <c r="T137" s="2"/>
      <c r="U137" s="2"/>
      <c r="V137" s="2"/>
      <c r="W137" s="2"/>
      <c r="X137" s="2"/>
      <c r="Y137" s="2"/>
      <c r="Z137" s="2"/>
      <c r="AA137" s="2"/>
      <c r="AB137" s="2"/>
    </row>
    <row r="138" spans="1:28" s="12" customFormat="1" x14ac:dyDescent="0.2">
      <c r="A138" s="8"/>
      <c r="B138" s="9"/>
      <c r="C138" s="10"/>
      <c r="D138" s="8"/>
      <c r="E138" s="11"/>
      <c r="F138" s="11"/>
      <c r="G138" s="2"/>
      <c r="H138" s="2"/>
      <c r="I138" s="2"/>
      <c r="J138" s="2"/>
      <c r="K138" s="2"/>
      <c r="L138" s="2"/>
      <c r="M138" s="2"/>
      <c r="N138" s="2"/>
      <c r="O138" s="2"/>
      <c r="P138" s="2"/>
      <c r="Q138" s="2"/>
      <c r="R138" s="2"/>
      <c r="S138" s="2"/>
      <c r="T138" s="2"/>
      <c r="U138" s="2"/>
      <c r="V138" s="2"/>
      <c r="W138" s="2"/>
      <c r="X138" s="2"/>
      <c r="Y138" s="2"/>
      <c r="Z138" s="2"/>
      <c r="AA138" s="2"/>
      <c r="AB138" s="2"/>
    </row>
    <row r="139" spans="1:28" s="12" customFormat="1" x14ac:dyDescent="0.2">
      <c r="A139" s="8"/>
      <c r="B139" s="9"/>
      <c r="C139" s="10"/>
      <c r="D139" s="8"/>
      <c r="E139" s="11"/>
      <c r="F139" s="11"/>
      <c r="G139" s="2"/>
      <c r="H139" s="2"/>
      <c r="I139" s="2"/>
      <c r="J139" s="2"/>
      <c r="K139" s="2"/>
      <c r="L139" s="2"/>
      <c r="M139" s="2"/>
      <c r="N139" s="2"/>
      <c r="O139" s="2"/>
      <c r="P139" s="2"/>
      <c r="Q139" s="2"/>
      <c r="R139" s="2"/>
      <c r="S139" s="2"/>
      <c r="T139" s="2"/>
      <c r="U139" s="2"/>
      <c r="V139" s="2"/>
      <c r="W139" s="2"/>
      <c r="X139" s="2"/>
      <c r="Y139" s="2"/>
      <c r="Z139" s="2"/>
      <c r="AA139" s="2"/>
      <c r="AB139" s="2"/>
    </row>
    <row r="145" spans="1:28" s="3" customFormat="1" x14ac:dyDescent="0.2">
      <c r="A145" s="8"/>
      <c r="B145" s="9"/>
      <c r="C145" s="10"/>
      <c r="D145" s="8"/>
      <c r="E145" s="11"/>
      <c r="F145" s="11"/>
      <c r="G145" s="2"/>
      <c r="H145" s="2"/>
      <c r="I145" s="2"/>
      <c r="J145" s="2"/>
      <c r="K145" s="2"/>
      <c r="L145" s="2"/>
      <c r="M145" s="2"/>
      <c r="N145" s="2"/>
      <c r="O145" s="2"/>
      <c r="P145" s="2"/>
      <c r="Q145" s="2"/>
      <c r="R145" s="2"/>
      <c r="S145" s="2"/>
      <c r="T145" s="2"/>
      <c r="U145" s="2"/>
      <c r="V145" s="2"/>
      <c r="W145" s="2"/>
      <c r="X145" s="2"/>
      <c r="Y145" s="2"/>
      <c r="Z145" s="2"/>
      <c r="AA145" s="2"/>
      <c r="AB145" s="2"/>
    </row>
    <row r="146" spans="1:28" s="3" customFormat="1" x14ac:dyDescent="0.2">
      <c r="A146" s="8"/>
      <c r="B146" s="9"/>
      <c r="C146" s="10"/>
      <c r="D146" s="8"/>
      <c r="E146" s="11"/>
      <c r="F146" s="11"/>
      <c r="G146" s="2"/>
      <c r="H146" s="2"/>
      <c r="I146" s="2"/>
      <c r="J146" s="2"/>
      <c r="K146" s="2"/>
      <c r="L146" s="2"/>
      <c r="M146" s="2"/>
      <c r="N146" s="2"/>
      <c r="O146" s="2"/>
      <c r="P146" s="2"/>
      <c r="Q146" s="2"/>
      <c r="R146" s="2"/>
      <c r="S146" s="2"/>
      <c r="T146" s="2"/>
      <c r="U146" s="2"/>
      <c r="V146" s="2"/>
      <c r="W146" s="2"/>
      <c r="X146" s="2"/>
      <c r="Y146" s="2"/>
      <c r="Z146" s="2"/>
      <c r="AA146" s="2"/>
      <c r="AB146" s="2"/>
    </row>
    <row r="147" spans="1:28" s="3" customFormat="1" x14ac:dyDescent="0.2">
      <c r="A147" s="8"/>
      <c r="B147" s="9"/>
      <c r="C147" s="10"/>
      <c r="D147" s="8"/>
      <c r="E147" s="11"/>
      <c r="F147" s="11"/>
      <c r="G147" s="2"/>
      <c r="H147" s="2"/>
      <c r="I147" s="2"/>
      <c r="J147" s="2"/>
      <c r="K147" s="2"/>
      <c r="L147" s="2"/>
      <c r="M147" s="2"/>
      <c r="N147" s="2"/>
      <c r="O147" s="2"/>
      <c r="P147" s="2"/>
      <c r="Q147" s="2"/>
      <c r="R147" s="2"/>
      <c r="S147" s="2"/>
      <c r="T147" s="2"/>
      <c r="U147" s="2"/>
      <c r="V147" s="2"/>
      <c r="W147" s="2"/>
      <c r="X147" s="2"/>
      <c r="Y147" s="2"/>
      <c r="Z147" s="2"/>
      <c r="AA147" s="2"/>
      <c r="AB147" s="2"/>
    </row>
    <row r="148" spans="1:28" s="3" customFormat="1" x14ac:dyDescent="0.2">
      <c r="A148" s="8"/>
      <c r="B148" s="9"/>
      <c r="C148" s="10"/>
      <c r="D148" s="8"/>
      <c r="E148" s="11"/>
      <c r="F148" s="11"/>
      <c r="G148" s="2"/>
      <c r="H148" s="2"/>
      <c r="I148" s="2"/>
      <c r="J148" s="2"/>
      <c r="K148" s="2"/>
      <c r="L148" s="2"/>
      <c r="M148" s="2"/>
      <c r="N148" s="2"/>
      <c r="O148" s="2"/>
      <c r="P148" s="2"/>
      <c r="Q148" s="2"/>
      <c r="R148" s="2"/>
      <c r="S148" s="2"/>
      <c r="T148" s="2"/>
      <c r="U148" s="2"/>
      <c r="V148" s="2"/>
      <c r="W148" s="2"/>
      <c r="X148" s="2"/>
      <c r="Y148" s="2"/>
      <c r="Z148" s="2"/>
      <c r="AA148" s="2"/>
      <c r="AB148" s="2"/>
    </row>
    <row r="149" spans="1:28" s="3" customFormat="1" x14ac:dyDescent="0.2">
      <c r="A149" s="8"/>
      <c r="B149" s="9"/>
      <c r="C149" s="10"/>
      <c r="D149" s="8"/>
      <c r="E149" s="11"/>
      <c r="F149" s="11"/>
      <c r="G149" s="2"/>
      <c r="H149" s="2"/>
      <c r="I149" s="2"/>
      <c r="J149" s="2"/>
      <c r="K149" s="2"/>
      <c r="L149" s="2"/>
      <c r="M149" s="2"/>
      <c r="N149" s="2"/>
      <c r="O149" s="2"/>
      <c r="P149" s="2"/>
      <c r="Q149" s="2"/>
      <c r="R149" s="2"/>
      <c r="S149" s="2"/>
      <c r="T149" s="2"/>
      <c r="U149" s="2"/>
      <c r="V149" s="2"/>
      <c r="W149" s="2"/>
      <c r="X149" s="2"/>
      <c r="Y149" s="2"/>
      <c r="Z149" s="2"/>
      <c r="AA149" s="2"/>
      <c r="AB149" s="2"/>
    </row>
    <row r="150" spans="1:28" s="3" customFormat="1" x14ac:dyDescent="0.2">
      <c r="A150" s="8"/>
      <c r="B150" s="9"/>
      <c r="C150" s="10"/>
      <c r="D150" s="8"/>
      <c r="E150" s="11"/>
      <c r="F150" s="11"/>
      <c r="G150" s="2"/>
      <c r="H150" s="2"/>
      <c r="I150" s="2"/>
      <c r="J150" s="2"/>
      <c r="K150" s="2"/>
      <c r="L150" s="2"/>
      <c r="M150" s="2"/>
      <c r="N150" s="2"/>
      <c r="O150" s="2"/>
      <c r="P150" s="2"/>
      <c r="Q150" s="2"/>
      <c r="R150" s="2"/>
      <c r="S150" s="2"/>
      <c r="T150" s="2"/>
      <c r="U150" s="2"/>
      <c r="V150" s="2"/>
      <c r="W150" s="2"/>
      <c r="X150" s="2"/>
      <c r="Y150" s="2"/>
      <c r="Z150" s="2"/>
      <c r="AA150" s="2"/>
      <c r="AB150" s="2"/>
    </row>
    <row r="151" spans="1:28" s="3" customFormat="1" x14ac:dyDescent="0.2">
      <c r="A151" s="8"/>
      <c r="B151" s="9"/>
      <c r="C151" s="10"/>
      <c r="D151" s="8"/>
      <c r="E151" s="11"/>
      <c r="F151" s="11"/>
      <c r="G151" s="2"/>
      <c r="H151" s="2"/>
      <c r="I151" s="2"/>
      <c r="J151" s="2"/>
      <c r="K151" s="2"/>
      <c r="L151" s="2"/>
      <c r="M151" s="2"/>
      <c r="N151" s="2"/>
      <c r="O151" s="2"/>
      <c r="P151" s="2"/>
      <c r="Q151" s="2"/>
      <c r="R151" s="2"/>
      <c r="S151" s="2"/>
      <c r="T151" s="2"/>
      <c r="U151" s="2"/>
      <c r="V151" s="2"/>
      <c r="W151" s="2"/>
      <c r="X151" s="2"/>
      <c r="Y151" s="2"/>
      <c r="Z151" s="2"/>
      <c r="AA151" s="2"/>
      <c r="AB151" s="2"/>
    </row>
    <row r="152" spans="1:28" s="3" customFormat="1" x14ac:dyDescent="0.2">
      <c r="A152" s="8"/>
      <c r="B152" s="9"/>
      <c r="C152" s="10"/>
      <c r="D152" s="8"/>
      <c r="E152" s="11"/>
      <c r="F152" s="11"/>
      <c r="G152" s="2"/>
      <c r="H152" s="2"/>
      <c r="I152" s="2"/>
      <c r="J152" s="2"/>
      <c r="K152" s="2"/>
      <c r="L152" s="2"/>
      <c r="M152" s="2"/>
      <c r="N152" s="2"/>
      <c r="O152" s="2"/>
      <c r="P152" s="2"/>
      <c r="Q152" s="2"/>
      <c r="R152" s="2"/>
      <c r="S152" s="2"/>
      <c r="T152" s="2"/>
      <c r="U152" s="2"/>
      <c r="V152" s="2"/>
      <c r="W152" s="2"/>
      <c r="X152" s="2"/>
      <c r="Y152" s="2"/>
      <c r="Z152" s="2"/>
      <c r="AA152" s="2"/>
      <c r="AB152" s="2"/>
    </row>
    <row r="153" spans="1:28" s="3" customFormat="1" x14ac:dyDescent="0.2">
      <c r="A153" s="8"/>
      <c r="B153" s="9"/>
      <c r="C153" s="10"/>
      <c r="D153" s="8"/>
      <c r="E153" s="11"/>
      <c r="F153" s="11"/>
      <c r="G153" s="2"/>
      <c r="H153" s="2"/>
      <c r="I153" s="2"/>
      <c r="J153" s="2"/>
      <c r="K153" s="2"/>
      <c r="L153" s="2"/>
      <c r="M153" s="2"/>
      <c r="N153" s="2"/>
      <c r="O153" s="2"/>
      <c r="P153" s="2"/>
      <c r="Q153" s="2"/>
      <c r="R153" s="2"/>
      <c r="S153" s="2"/>
      <c r="T153" s="2"/>
      <c r="U153" s="2"/>
      <c r="V153" s="2"/>
      <c r="W153" s="2"/>
      <c r="X153" s="2"/>
      <c r="Y153" s="2"/>
      <c r="Z153" s="2"/>
      <c r="AA153" s="2"/>
      <c r="AB153" s="2"/>
    </row>
  </sheetData>
  <mergeCells count="20">
    <mergeCell ref="A1:O1"/>
    <mergeCell ref="J2:K2"/>
    <mergeCell ref="J3:K4"/>
    <mergeCell ref="H3:I3"/>
    <mergeCell ref="H4:I4"/>
    <mergeCell ref="A2:G2"/>
    <mergeCell ref="A3:G3"/>
    <mergeCell ref="A4:G4"/>
    <mergeCell ref="A21:B22"/>
    <mergeCell ref="J6:K6"/>
    <mergeCell ref="N6:O6"/>
    <mergeCell ref="H2:I2"/>
    <mergeCell ref="H6:I6"/>
    <mergeCell ref="L6:M6"/>
    <mergeCell ref="L2:O2"/>
    <mergeCell ref="L3:O4"/>
    <mergeCell ref="A6:B7"/>
    <mergeCell ref="C6:C7"/>
    <mergeCell ref="D6:E6"/>
    <mergeCell ref="F6:G6"/>
  </mergeCells>
  <printOptions horizontalCentered="1"/>
  <pageMargins left="0.23622047244094491" right="0.23622047244094491" top="1.7322834645669292" bottom="0.74803149606299213" header="0.31496062992125984" footer="0.31496062992125984"/>
  <pageSetup paperSize="9" scale="69" orientation="landscape" r:id="rId1"/>
  <headerFooter>
    <oddHeader>&amp;L
&amp;G&amp;C&amp;"-,Negrito"
PREFEITURA DE LAGES
SECRETARIA MUNICIPAL DA EDUCAÇÃO&amp;R&amp;G</oddHeader>
    <oddFooter>&amp;C&amp;F&amp;R&amp;N/&amp;P</oddFooter>
  </headerFooter>
  <legacyDrawingHF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59"/>
  <sheetViews>
    <sheetView showGridLines="0" zoomScaleNormal="100" zoomScaleSheetLayoutView="100" workbookViewId="0">
      <selection activeCell="E2" sqref="E2:G2"/>
    </sheetView>
  </sheetViews>
  <sheetFormatPr defaultColWidth="9.140625" defaultRowHeight="12.75" x14ac:dyDescent="0.2"/>
  <cols>
    <col min="1" max="2" width="9.42578125" style="50" customWidth="1"/>
    <col min="3" max="3" width="6.42578125" style="151" customWidth="1"/>
    <col min="4" max="4" width="48.85546875" style="50" customWidth="1"/>
    <col min="5" max="5" width="21.140625" style="50" customWidth="1"/>
    <col min="6" max="6" width="13" style="50" customWidth="1"/>
    <col min="7" max="7" width="11.5703125" style="50" customWidth="1"/>
    <col min="8" max="9" width="13.5703125" style="50" customWidth="1"/>
    <col min="10" max="10" width="9.140625" style="50"/>
    <col min="11" max="11" width="9.42578125" style="50" customWidth="1"/>
    <col min="12" max="12" width="14.85546875" style="50" customWidth="1"/>
    <col min="13" max="23" width="17.7109375" style="47" hidden="1" customWidth="1"/>
    <col min="24" max="24" width="17.7109375" style="50" customWidth="1"/>
    <col min="25" max="25" width="25" style="50" customWidth="1"/>
    <col min="26" max="26" width="11.5703125" style="50" customWidth="1"/>
    <col min="27" max="28" width="11" style="50" customWidth="1"/>
    <col min="29" max="29" width="8.42578125" style="50" customWidth="1"/>
    <col min="30" max="32" width="6.28515625" style="50" bestFit="1" customWidth="1"/>
    <col min="33" max="256" width="9.140625" style="50"/>
    <col min="257" max="258" width="9.42578125" style="50" customWidth="1"/>
    <col min="259" max="259" width="6.42578125" style="50" customWidth="1"/>
    <col min="260" max="260" width="48.85546875" style="50" customWidth="1"/>
    <col min="261" max="261" width="21.140625" style="50" customWidth="1"/>
    <col min="262" max="262" width="13" style="50" customWidth="1"/>
    <col min="263" max="263" width="11.5703125" style="50" customWidth="1"/>
    <col min="264" max="265" width="13.5703125" style="50" customWidth="1"/>
    <col min="266" max="266" width="9.140625" style="50"/>
    <col min="267" max="267" width="9.42578125" style="50" customWidth="1"/>
    <col min="268" max="268" width="14.85546875" style="50" customWidth="1"/>
    <col min="269" max="279" width="0" style="50" hidden="1" customWidth="1"/>
    <col min="280" max="280" width="17.7109375" style="50" customWidth="1"/>
    <col min="281" max="281" width="25" style="50" customWidth="1"/>
    <col min="282" max="282" width="11.5703125" style="50" customWidth="1"/>
    <col min="283" max="284" width="11" style="50" customWidth="1"/>
    <col min="285" max="285" width="8.42578125" style="50" customWidth="1"/>
    <col min="286" max="288" width="6.28515625" style="50" bestFit="1" customWidth="1"/>
    <col min="289" max="512" width="9.140625" style="50"/>
    <col min="513" max="514" width="9.42578125" style="50" customWidth="1"/>
    <col min="515" max="515" width="6.42578125" style="50" customWidth="1"/>
    <col min="516" max="516" width="48.85546875" style="50" customWidth="1"/>
    <col min="517" max="517" width="21.140625" style="50" customWidth="1"/>
    <col min="518" max="518" width="13" style="50" customWidth="1"/>
    <col min="519" max="519" width="11.5703125" style="50" customWidth="1"/>
    <col min="520" max="521" width="13.5703125" style="50" customWidth="1"/>
    <col min="522" max="522" width="9.140625" style="50"/>
    <col min="523" max="523" width="9.42578125" style="50" customWidth="1"/>
    <col min="524" max="524" width="14.85546875" style="50" customWidth="1"/>
    <col min="525" max="535" width="0" style="50" hidden="1" customWidth="1"/>
    <col min="536" max="536" width="17.7109375" style="50" customWidth="1"/>
    <col min="537" max="537" width="25" style="50" customWidth="1"/>
    <col min="538" max="538" width="11.5703125" style="50" customWidth="1"/>
    <col min="539" max="540" width="11" style="50" customWidth="1"/>
    <col min="541" max="541" width="8.42578125" style="50" customWidth="1"/>
    <col min="542" max="544" width="6.28515625" style="50" bestFit="1" customWidth="1"/>
    <col min="545" max="768" width="9.140625" style="50"/>
    <col min="769" max="770" width="9.42578125" style="50" customWidth="1"/>
    <col min="771" max="771" width="6.42578125" style="50" customWidth="1"/>
    <col min="772" max="772" width="48.85546875" style="50" customWidth="1"/>
    <col min="773" max="773" width="21.140625" style="50" customWidth="1"/>
    <col min="774" max="774" width="13" style="50" customWidth="1"/>
    <col min="775" max="775" width="11.5703125" style="50" customWidth="1"/>
    <col min="776" max="777" width="13.5703125" style="50" customWidth="1"/>
    <col min="778" max="778" width="9.140625" style="50"/>
    <col min="779" max="779" width="9.42578125" style="50" customWidth="1"/>
    <col min="780" max="780" width="14.85546875" style="50" customWidth="1"/>
    <col min="781" max="791" width="0" style="50" hidden="1" customWidth="1"/>
    <col min="792" max="792" width="17.7109375" style="50" customWidth="1"/>
    <col min="793" max="793" width="25" style="50" customWidth="1"/>
    <col min="794" max="794" width="11.5703125" style="50" customWidth="1"/>
    <col min="795" max="796" width="11" style="50" customWidth="1"/>
    <col min="797" max="797" width="8.42578125" style="50" customWidth="1"/>
    <col min="798" max="800" width="6.28515625" style="50" bestFit="1" customWidth="1"/>
    <col min="801" max="1024" width="9.140625" style="50"/>
    <col min="1025" max="1026" width="9.42578125" style="50" customWidth="1"/>
    <col min="1027" max="1027" width="6.42578125" style="50" customWidth="1"/>
    <col min="1028" max="1028" width="48.85546875" style="50" customWidth="1"/>
    <col min="1029" max="1029" width="21.140625" style="50" customWidth="1"/>
    <col min="1030" max="1030" width="13" style="50" customWidth="1"/>
    <col min="1031" max="1031" width="11.5703125" style="50" customWidth="1"/>
    <col min="1032" max="1033" width="13.5703125" style="50" customWidth="1"/>
    <col min="1034" max="1034" width="9.140625" style="50"/>
    <col min="1035" max="1035" width="9.42578125" style="50" customWidth="1"/>
    <col min="1036" max="1036" width="14.85546875" style="50" customWidth="1"/>
    <col min="1037" max="1047" width="0" style="50" hidden="1" customWidth="1"/>
    <col min="1048" max="1048" width="17.7109375" style="50" customWidth="1"/>
    <col min="1049" max="1049" width="25" style="50" customWidth="1"/>
    <col min="1050" max="1050" width="11.5703125" style="50" customWidth="1"/>
    <col min="1051" max="1052" width="11" style="50" customWidth="1"/>
    <col min="1053" max="1053" width="8.42578125" style="50" customWidth="1"/>
    <col min="1054" max="1056" width="6.28515625" style="50" bestFit="1" customWidth="1"/>
    <col min="1057" max="1280" width="9.140625" style="50"/>
    <col min="1281" max="1282" width="9.42578125" style="50" customWidth="1"/>
    <col min="1283" max="1283" width="6.42578125" style="50" customWidth="1"/>
    <col min="1284" max="1284" width="48.85546875" style="50" customWidth="1"/>
    <col min="1285" max="1285" width="21.140625" style="50" customWidth="1"/>
    <col min="1286" max="1286" width="13" style="50" customWidth="1"/>
    <col min="1287" max="1287" width="11.5703125" style="50" customWidth="1"/>
    <col min="1288" max="1289" width="13.5703125" style="50" customWidth="1"/>
    <col min="1290" max="1290" width="9.140625" style="50"/>
    <col min="1291" max="1291" width="9.42578125" style="50" customWidth="1"/>
    <col min="1292" max="1292" width="14.85546875" style="50" customWidth="1"/>
    <col min="1293" max="1303" width="0" style="50" hidden="1" customWidth="1"/>
    <col min="1304" max="1304" width="17.7109375" style="50" customWidth="1"/>
    <col min="1305" max="1305" width="25" style="50" customWidth="1"/>
    <col min="1306" max="1306" width="11.5703125" style="50" customWidth="1"/>
    <col min="1307" max="1308" width="11" style="50" customWidth="1"/>
    <col min="1309" max="1309" width="8.42578125" style="50" customWidth="1"/>
    <col min="1310" max="1312" width="6.28515625" style="50" bestFit="1" customWidth="1"/>
    <col min="1313" max="1536" width="9.140625" style="50"/>
    <col min="1537" max="1538" width="9.42578125" style="50" customWidth="1"/>
    <col min="1539" max="1539" width="6.42578125" style="50" customWidth="1"/>
    <col min="1540" max="1540" width="48.85546875" style="50" customWidth="1"/>
    <col min="1541" max="1541" width="21.140625" style="50" customWidth="1"/>
    <col min="1542" max="1542" width="13" style="50" customWidth="1"/>
    <col min="1543" max="1543" width="11.5703125" style="50" customWidth="1"/>
    <col min="1544" max="1545" width="13.5703125" style="50" customWidth="1"/>
    <col min="1546" max="1546" width="9.140625" style="50"/>
    <col min="1547" max="1547" width="9.42578125" style="50" customWidth="1"/>
    <col min="1548" max="1548" width="14.85546875" style="50" customWidth="1"/>
    <col min="1549" max="1559" width="0" style="50" hidden="1" customWidth="1"/>
    <col min="1560" max="1560" width="17.7109375" style="50" customWidth="1"/>
    <col min="1561" max="1561" width="25" style="50" customWidth="1"/>
    <col min="1562" max="1562" width="11.5703125" style="50" customWidth="1"/>
    <col min="1563" max="1564" width="11" style="50" customWidth="1"/>
    <col min="1565" max="1565" width="8.42578125" style="50" customWidth="1"/>
    <col min="1566" max="1568" width="6.28515625" style="50" bestFit="1" customWidth="1"/>
    <col min="1569" max="1792" width="9.140625" style="50"/>
    <col min="1793" max="1794" width="9.42578125" style="50" customWidth="1"/>
    <col min="1795" max="1795" width="6.42578125" style="50" customWidth="1"/>
    <col min="1796" max="1796" width="48.85546875" style="50" customWidth="1"/>
    <col min="1797" max="1797" width="21.140625" style="50" customWidth="1"/>
    <col min="1798" max="1798" width="13" style="50" customWidth="1"/>
    <col min="1799" max="1799" width="11.5703125" style="50" customWidth="1"/>
    <col min="1800" max="1801" width="13.5703125" style="50" customWidth="1"/>
    <col min="1802" max="1802" width="9.140625" style="50"/>
    <col min="1803" max="1803" width="9.42578125" style="50" customWidth="1"/>
    <col min="1804" max="1804" width="14.85546875" style="50" customWidth="1"/>
    <col min="1805" max="1815" width="0" style="50" hidden="1" customWidth="1"/>
    <col min="1816" max="1816" width="17.7109375" style="50" customWidth="1"/>
    <col min="1817" max="1817" width="25" style="50" customWidth="1"/>
    <col min="1818" max="1818" width="11.5703125" style="50" customWidth="1"/>
    <col min="1819" max="1820" width="11" style="50" customWidth="1"/>
    <col min="1821" max="1821" width="8.42578125" style="50" customWidth="1"/>
    <col min="1822" max="1824" width="6.28515625" style="50" bestFit="1" customWidth="1"/>
    <col min="1825" max="2048" width="9.140625" style="50"/>
    <col min="2049" max="2050" width="9.42578125" style="50" customWidth="1"/>
    <col min="2051" max="2051" width="6.42578125" style="50" customWidth="1"/>
    <col min="2052" max="2052" width="48.85546875" style="50" customWidth="1"/>
    <col min="2053" max="2053" width="21.140625" style="50" customWidth="1"/>
    <col min="2054" max="2054" width="13" style="50" customWidth="1"/>
    <col min="2055" max="2055" width="11.5703125" style="50" customWidth="1"/>
    <col min="2056" max="2057" width="13.5703125" style="50" customWidth="1"/>
    <col min="2058" max="2058" width="9.140625" style="50"/>
    <col min="2059" max="2059" width="9.42578125" style="50" customWidth="1"/>
    <col min="2060" max="2060" width="14.85546875" style="50" customWidth="1"/>
    <col min="2061" max="2071" width="0" style="50" hidden="1" customWidth="1"/>
    <col min="2072" max="2072" width="17.7109375" style="50" customWidth="1"/>
    <col min="2073" max="2073" width="25" style="50" customWidth="1"/>
    <col min="2074" max="2074" width="11.5703125" style="50" customWidth="1"/>
    <col min="2075" max="2076" width="11" style="50" customWidth="1"/>
    <col min="2077" max="2077" width="8.42578125" style="50" customWidth="1"/>
    <col min="2078" max="2080" width="6.28515625" style="50" bestFit="1" customWidth="1"/>
    <col min="2081" max="2304" width="9.140625" style="50"/>
    <col min="2305" max="2306" width="9.42578125" style="50" customWidth="1"/>
    <col min="2307" max="2307" width="6.42578125" style="50" customWidth="1"/>
    <col min="2308" max="2308" width="48.85546875" style="50" customWidth="1"/>
    <col min="2309" max="2309" width="21.140625" style="50" customWidth="1"/>
    <col min="2310" max="2310" width="13" style="50" customWidth="1"/>
    <col min="2311" max="2311" width="11.5703125" style="50" customWidth="1"/>
    <col min="2312" max="2313" width="13.5703125" style="50" customWidth="1"/>
    <col min="2314" max="2314" width="9.140625" style="50"/>
    <col min="2315" max="2315" width="9.42578125" style="50" customWidth="1"/>
    <col min="2316" max="2316" width="14.85546875" style="50" customWidth="1"/>
    <col min="2317" max="2327" width="0" style="50" hidden="1" customWidth="1"/>
    <col min="2328" max="2328" width="17.7109375" style="50" customWidth="1"/>
    <col min="2329" max="2329" width="25" style="50" customWidth="1"/>
    <col min="2330" max="2330" width="11.5703125" style="50" customWidth="1"/>
    <col min="2331" max="2332" width="11" style="50" customWidth="1"/>
    <col min="2333" max="2333" width="8.42578125" style="50" customWidth="1"/>
    <col min="2334" max="2336" width="6.28515625" style="50" bestFit="1" customWidth="1"/>
    <col min="2337" max="2560" width="9.140625" style="50"/>
    <col min="2561" max="2562" width="9.42578125" style="50" customWidth="1"/>
    <col min="2563" max="2563" width="6.42578125" style="50" customWidth="1"/>
    <col min="2564" max="2564" width="48.85546875" style="50" customWidth="1"/>
    <col min="2565" max="2565" width="21.140625" style="50" customWidth="1"/>
    <col min="2566" max="2566" width="13" style="50" customWidth="1"/>
    <col min="2567" max="2567" width="11.5703125" style="50" customWidth="1"/>
    <col min="2568" max="2569" width="13.5703125" style="50" customWidth="1"/>
    <col min="2570" max="2570" width="9.140625" style="50"/>
    <col min="2571" max="2571" width="9.42578125" style="50" customWidth="1"/>
    <col min="2572" max="2572" width="14.85546875" style="50" customWidth="1"/>
    <col min="2573" max="2583" width="0" style="50" hidden="1" customWidth="1"/>
    <col min="2584" max="2584" width="17.7109375" style="50" customWidth="1"/>
    <col min="2585" max="2585" width="25" style="50" customWidth="1"/>
    <col min="2586" max="2586" width="11.5703125" style="50" customWidth="1"/>
    <col min="2587" max="2588" width="11" style="50" customWidth="1"/>
    <col min="2589" max="2589" width="8.42578125" style="50" customWidth="1"/>
    <col min="2590" max="2592" width="6.28515625" style="50" bestFit="1" customWidth="1"/>
    <col min="2593" max="2816" width="9.140625" style="50"/>
    <col min="2817" max="2818" width="9.42578125" style="50" customWidth="1"/>
    <col min="2819" max="2819" width="6.42578125" style="50" customWidth="1"/>
    <col min="2820" max="2820" width="48.85546875" style="50" customWidth="1"/>
    <col min="2821" max="2821" width="21.140625" style="50" customWidth="1"/>
    <col min="2822" max="2822" width="13" style="50" customWidth="1"/>
    <col min="2823" max="2823" width="11.5703125" style="50" customWidth="1"/>
    <col min="2824" max="2825" width="13.5703125" style="50" customWidth="1"/>
    <col min="2826" max="2826" width="9.140625" style="50"/>
    <col min="2827" max="2827" width="9.42578125" style="50" customWidth="1"/>
    <col min="2828" max="2828" width="14.85546875" style="50" customWidth="1"/>
    <col min="2829" max="2839" width="0" style="50" hidden="1" customWidth="1"/>
    <col min="2840" max="2840" width="17.7109375" style="50" customWidth="1"/>
    <col min="2841" max="2841" width="25" style="50" customWidth="1"/>
    <col min="2842" max="2842" width="11.5703125" style="50" customWidth="1"/>
    <col min="2843" max="2844" width="11" style="50" customWidth="1"/>
    <col min="2845" max="2845" width="8.42578125" style="50" customWidth="1"/>
    <col min="2846" max="2848" width="6.28515625" style="50" bestFit="1" customWidth="1"/>
    <col min="2849" max="3072" width="9.140625" style="50"/>
    <col min="3073" max="3074" width="9.42578125" style="50" customWidth="1"/>
    <col min="3075" max="3075" width="6.42578125" style="50" customWidth="1"/>
    <col min="3076" max="3076" width="48.85546875" style="50" customWidth="1"/>
    <col min="3077" max="3077" width="21.140625" style="50" customWidth="1"/>
    <col min="3078" max="3078" width="13" style="50" customWidth="1"/>
    <col min="3079" max="3079" width="11.5703125" style="50" customWidth="1"/>
    <col min="3080" max="3081" width="13.5703125" style="50" customWidth="1"/>
    <col min="3082" max="3082" width="9.140625" style="50"/>
    <col min="3083" max="3083" width="9.42578125" style="50" customWidth="1"/>
    <col min="3084" max="3084" width="14.85546875" style="50" customWidth="1"/>
    <col min="3085" max="3095" width="0" style="50" hidden="1" customWidth="1"/>
    <col min="3096" max="3096" width="17.7109375" style="50" customWidth="1"/>
    <col min="3097" max="3097" width="25" style="50" customWidth="1"/>
    <col min="3098" max="3098" width="11.5703125" style="50" customWidth="1"/>
    <col min="3099" max="3100" width="11" style="50" customWidth="1"/>
    <col min="3101" max="3101" width="8.42578125" style="50" customWidth="1"/>
    <col min="3102" max="3104" width="6.28515625" style="50" bestFit="1" customWidth="1"/>
    <col min="3105" max="3328" width="9.140625" style="50"/>
    <col min="3329" max="3330" width="9.42578125" style="50" customWidth="1"/>
    <col min="3331" max="3331" width="6.42578125" style="50" customWidth="1"/>
    <col min="3332" max="3332" width="48.85546875" style="50" customWidth="1"/>
    <col min="3333" max="3333" width="21.140625" style="50" customWidth="1"/>
    <col min="3334" max="3334" width="13" style="50" customWidth="1"/>
    <col min="3335" max="3335" width="11.5703125" style="50" customWidth="1"/>
    <col min="3336" max="3337" width="13.5703125" style="50" customWidth="1"/>
    <col min="3338" max="3338" width="9.140625" style="50"/>
    <col min="3339" max="3339" width="9.42578125" style="50" customWidth="1"/>
    <col min="3340" max="3340" width="14.85546875" style="50" customWidth="1"/>
    <col min="3341" max="3351" width="0" style="50" hidden="1" customWidth="1"/>
    <col min="3352" max="3352" width="17.7109375" style="50" customWidth="1"/>
    <col min="3353" max="3353" width="25" style="50" customWidth="1"/>
    <col min="3354" max="3354" width="11.5703125" style="50" customWidth="1"/>
    <col min="3355" max="3356" width="11" style="50" customWidth="1"/>
    <col min="3357" max="3357" width="8.42578125" style="50" customWidth="1"/>
    <col min="3358" max="3360" width="6.28515625" style="50" bestFit="1" customWidth="1"/>
    <col min="3361" max="3584" width="9.140625" style="50"/>
    <col min="3585" max="3586" width="9.42578125" style="50" customWidth="1"/>
    <col min="3587" max="3587" width="6.42578125" style="50" customWidth="1"/>
    <col min="3588" max="3588" width="48.85546875" style="50" customWidth="1"/>
    <col min="3589" max="3589" width="21.140625" style="50" customWidth="1"/>
    <col min="3590" max="3590" width="13" style="50" customWidth="1"/>
    <col min="3591" max="3591" width="11.5703125" style="50" customWidth="1"/>
    <col min="3592" max="3593" width="13.5703125" style="50" customWidth="1"/>
    <col min="3594" max="3594" width="9.140625" style="50"/>
    <col min="3595" max="3595" width="9.42578125" style="50" customWidth="1"/>
    <col min="3596" max="3596" width="14.85546875" style="50" customWidth="1"/>
    <col min="3597" max="3607" width="0" style="50" hidden="1" customWidth="1"/>
    <col min="3608" max="3608" width="17.7109375" style="50" customWidth="1"/>
    <col min="3609" max="3609" width="25" style="50" customWidth="1"/>
    <col min="3610" max="3610" width="11.5703125" style="50" customWidth="1"/>
    <col min="3611" max="3612" width="11" style="50" customWidth="1"/>
    <col min="3613" max="3613" width="8.42578125" style="50" customWidth="1"/>
    <col min="3614" max="3616" width="6.28515625" style="50" bestFit="1" customWidth="1"/>
    <col min="3617" max="3840" width="9.140625" style="50"/>
    <col min="3841" max="3842" width="9.42578125" style="50" customWidth="1"/>
    <col min="3843" max="3843" width="6.42578125" style="50" customWidth="1"/>
    <col min="3844" max="3844" width="48.85546875" style="50" customWidth="1"/>
    <col min="3845" max="3845" width="21.140625" style="50" customWidth="1"/>
    <col min="3846" max="3846" width="13" style="50" customWidth="1"/>
    <col min="3847" max="3847" width="11.5703125" style="50" customWidth="1"/>
    <col min="3848" max="3849" width="13.5703125" style="50" customWidth="1"/>
    <col min="3850" max="3850" width="9.140625" style="50"/>
    <col min="3851" max="3851" width="9.42578125" style="50" customWidth="1"/>
    <col min="3852" max="3852" width="14.85546875" style="50" customWidth="1"/>
    <col min="3853" max="3863" width="0" style="50" hidden="1" customWidth="1"/>
    <col min="3864" max="3864" width="17.7109375" style="50" customWidth="1"/>
    <col min="3865" max="3865" width="25" style="50" customWidth="1"/>
    <col min="3866" max="3866" width="11.5703125" style="50" customWidth="1"/>
    <col min="3867" max="3868" width="11" style="50" customWidth="1"/>
    <col min="3869" max="3869" width="8.42578125" style="50" customWidth="1"/>
    <col min="3870" max="3872" width="6.28515625" style="50" bestFit="1" customWidth="1"/>
    <col min="3873" max="4096" width="9.140625" style="50"/>
    <col min="4097" max="4098" width="9.42578125" style="50" customWidth="1"/>
    <col min="4099" max="4099" width="6.42578125" style="50" customWidth="1"/>
    <col min="4100" max="4100" width="48.85546875" style="50" customWidth="1"/>
    <col min="4101" max="4101" width="21.140625" style="50" customWidth="1"/>
    <col min="4102" max="4102" width="13" style="50" customWidth="1"/>
    <col min="4103" max="4103" width="11.5703125" style="50" customWidth="1"/>
    <col min="4104" max="4105" width="13.5703125" style="50" customWidth="1"/>
    <col min="4106" max="4106" width="9.140625" style="50"/>
    <col min="4107" max="4107" width="9.42578125" style="50" customWidth="1"/>
    <col min="4108" max="4108" width="14.85546875" style="50" customWidth="1"/>
    <col min="4109" max="4119" width="0" style="50" hidden="1" customWidth="1"/>
    <col min="4120" max="4120" width="17.7109375" style="50" customWidth="1"/>
    <col min="4121" max="4121" width="25" style="50" customWidth="1"/>
    <col min="4122" max="4122" width="11.5703125" style="50" customWidth="1"/>
    <col min="4123" max="4124" width="11" style="50" customWidth="1"/>
    <col min="4125" max="4125" width="8.42578125" style="50" customWidth="1"/>
    <col min="4126" max="4128" width="6.28515625" style="50" bestFit="1" customWidth="1"/>
    <col min="4129" max="4352" width="9.140625" style="50"/>
    <col min="4353" max="4354" width="9.42578125" style="50" customWidth="1"/>
    <col min="4355" max="4355" width="6.42578125" style="50" customWidth="1"/>
    <col min="4356" max="4356" width="48.85546875" style="50" customWidth="1"/>
    <col min="4357" max="4357" width="21.140625" style="50" customWidth="1"/>
    <col min="4358" max="4358" width="13" style="50" customWidth="1"/>
    <col min="4359" max="4359" width="11.5703125" style="50" customWidth="1"/>
    <col min="4360" max="4361" width="13.5703125" style="50" customWidth="1"/>
    <col min="4362" max="4362" width="9.140625" style="50"/>
    <col min="4363" max="4363" width="9.42578125" style="50" customWidth="1"/>
    <col min="4364" max="4364" width="14.85546875" style="50" customWidth="1"/>
    <col min="4365" max="4375" width="0" style="50" hidden="1" customWidth="1"/>
    <col min="4376" max="4376" width="17.7109375" style="50" customWidth="1"/>
    <col min="4377" max="4377" width="25" style="50" customWidth="1"/>
    <col min="4378" max="4378" width="11.5703125" style="50" customWidth="1"/>
    <col min="4379" max="4380" width="11" style="50" customWidth="1"/>
    <col min="4381" max="4381" width="8.42578125" style="50" customWidth="1"/>
    <col min="4382" max="4384" width="6.28515625" style="50" bestFit="1" customWidth="1"/>
    <col min="4385" max="4608" width="9.140625" style="50"/>
    <col min="4609" max="4610" width="9.42578125" style="50" customWidth="1"/>
    <col min="4611" max="4611" width="6.42578125" style="50" customWidth="1"/>
    <col min="4612" max="4612" width="48.85546875" style="50" customWidth="1"/>
    <col min="4613" max="4613" width="21.140625" style="50" customWidth="1"/>
    <col min="4614" max="4614" width="13" style="50" customWidth="1"/>
    <col min="4615" max="4615" width="11.5703125" style="50" customWidth="1"/>
    <col min="4616" max="4617" width="13.5703125" style="50" customWidth="1"/>
    <col min="4618" max="4618" width="9.140625" style="50"/>
    <col min="4619" max="4619" width="9.42578125" style="50" customWidth="1"/>
    <col min="4620" max="4620" width="14.85546875" style="50" customWidth="1"/>
    <col min="4621" max="4631" width="0" style="50" hidden="1" customWidth="1"/>
    <col min="4632" max="4632" width="17.7109375" style="50" customWidth="1"/>
    <col min="4633" max="4633" width="25" style="50" customWidth="1"/>
    <col min="4634" max="4634" width="11.5703125" style="50" customWidth="1"/>
    <col min="4635" max="4636" width="11" style="50" customWidth="1"/>
    <col min="4637" max="4637" width="8.42578125" style="50" customWidth="1"/>
    <col min="4638" max="4640" width="6.28515625" style="50" bestFit="1" customWidth="1"/>
    <col min="4641" max="4864" width="9.140625" style="50"/>
    <col min="4865" max="4866" width="9.42578125" style="50" customWidth="1"/>
    <col min="4867" max="4867" width="6.42578125" style="50" customWidth="1"/>
    <col min="4868" max="4868" width="48.85546875" style="50" customWidth="1"/>
    <col min="4869" max="4869" width="21.140625" style="50" customWidth="1"/>
    <col min="4870" max="4870" width="13" style="50" customWidth="1"/>
    <col min="4871" max="4871" width="11.5703125" style="50" customWidth="1"/>
    <col min="4872" max="4873" width="13.5703125" style="50" customWidth="1"/>
    <col min="4874" max="4874" width="9.140625" style="50"/>
    <col min="4875" max="4875" width="9.42578125" style="50" customWidth="1"/>
    <col min="4876" max="4876" width="14.85546875" style="50" customWidth="1"/>
    <col min="4877" max="4887" width="0" style="50" hidden="1" customWidth="1"/>
    <col min="4888" max="4888" width="17.7109375" style="50" customWidth="1"/>
    <col min="4889" max="4889" width="25" style="50" customWidth="1"/>
    <col min="4890" max="4890" width="11.5703125" style="50" customWidth="1"/>
    <col min="4891" max="4892" width="11" style="50" customWidth="1"/>
    <col min="4893" max="4893" width="8.42578125" style="50" customWidth="1"/>
    <col min="4894" max="4896" width="6.28515625" style="50" bestFit="1" customWidth="1"/>
    <col min="4897" max="5120" width="9.140625" style="50"/>
    <col min="5121" max="5122" width="9.42578125" style="50" customWidth="1"/>
    <col min="5123" max="5123" width="6.42578125" style="50" customWidth="1"/>
    <col min="5124" max="5124" width="48.85546875" style="50" customWidth="1"/>
    <col min="5125" max="5125" width="21.140625" style="50" customWidth="1"/>
    <col min="5126" max="5126" width="13" style="50" customWidth="1"/>
    <col min="5127" max="5127" width="11.5703125" style="50" customWidth="1"/>
    <col min="5128" max="5129" width="13.5703125" style="50" customWidth="1"/>
    <col min="5130" max="5130" width="9.140625" style="50"/>
    <col min="5131" max="5131" width="9.42578125" style="50" customWidth="1"/>
    <col min="5132" max="5132" width="14.85546875" style="50" customWidth="1"/>
    <col min="5133" max="5143" width="0" style="50" hidden="1" customWidth="1"/>
    <col min="5144" max="5144" width="17.7109375" style="50" customWidth="1"/>
    <col min="5145" max="5145" width="25" style="50" customWidth="1"/>
    <col min="5146" max="5146" width="11.5703125" style="50" customWidth="1"/>
    <col min="5147" max="5148" width="11" style="50" customWidth="1"/>
    <col min="5149" max="5149" width="8.42578125" style="50" customWidth="1"/>
    <col min="5150" max="5152" width="6.28515625" style="50" bestFit="1" customWidth="1"/>
    <col min="5153" max="5376" width="9.140625" style="50"/>
    <col min="5377" max="5378" width="9.42578125" style="50" customWidth="1"/>
    <col min="5379" max="5379" width="6.42578125" style="50" customWidth="1"/>
    <col min="5380" max="5380" width="48.85546875" style="50" customWidth="1"/>
    <col min="5381" max="5381" width="21.140625" style="50" customWidth="1"/>
    <col min="5382" max="5382" width="13" style="50" customWidth="1"/>
    <col min="5383" max="5383" width="11.5703125" style="50" customWidth="1"/>
    <col min="5384" max="5385" width="13.5703125" style="50" customWidth="1"/>
    <col min="5386" max="5386" width="9.140625" style="50"/>
    <col min="5387" max="5387" width="9.42578125" style="50" customWidth="1"/>
    <col min="5388" max="5388" width="14.85546875" style="50" customWidth="1"/>
    <col min="5389" max="5399" width="0" style="50" hidden="1" customWidth="1"/>
    <col min="5400" max="5400" width="17.7109375" style="50" customWidth="1"/>
    <col min="5401" max="5401" width="25" style="50" customWidth="1"/>
    <col min="5402" max="5402" width="11.5703125" style="50" customWidth="1"/>
    <col min="5403" max="5404" width="11" style="50" customWidth="1"/>
    <col min="5405" max="5405" width="8.42578125" style="50" customWidth="1"/>
    <col min="5406" max="5408" width="6.28515625" style="50" bestFit="1" customWidth="1"/>
    <col min="5409" max="5632" width="9.140625" style="50"/>
    <col min="5633" max="5634" width="9.42578125" style="50" customWidth="1"/>
    <col min="5635" max="5635" width="6.42578125" style="50" customWidth="1"/>
    <col min="5636" max="5636" width="48.85546875" style="50" customWidth="1"/>
    <col min="5637" max="5637" width="21.140625" style="50" customWidth="1"/>
    <col min="5638" max="5638" width="13" style="50" customWidth="1"/>
    <col min="5639" max="5639" width="11.5703125" style="50" customWidth="1"/>
    <col min="5640" max="5641" width="13.5703125" style="50" customWidth="1"/>
    <col min="5642" max="5642" width="9.140625" style="50"/>
    <col min="5643" max="5643" width="9.42578125" style="50" customWidth="1"/>
    <col min="5644" max="5644" width="14.85546875" style="50" customWidth="1"/>
    <col min="5645" max="5655" width="0" style="50" hidden="1" customWidth="1"/>
    <col min="5656" max="5656" width="17.7109375" style="50" customWidth="1"/>
    <col min="5657" max="5657" width="25" style="50" customWidth="1"/>
    <col min="5658" max="5658" width="11.5703125" style="50" customWidth="1"/>
    <col min="5659" max="5660" width="11" style="50" customWidth="1"/>
    <col min="5661" max="5661" width="8.42578125" style="50" customWidth="1"/>
    <col min="5662" max="5664" width="6.28515625" style="50" bestFit="1" customWidth="1"/>
    <col min="5665" max="5888" width="9.140625" style="50"/>
    <col min="5889" max="5890" width="9.42578125" style="50" customWidth="1"/>
    <col min="5891" max="5891" width="6.42578125" style="50" customWidth="1"/>
    <col min="5892" max="5892" width="48.85546875" style="50" customWidth="1"/>
    <col min="5893" max="5893" width="21.140625" style="50" customWidth="1"/>
    <col min="5894" max="5894" width="13" style="50" customWidth="1"/>
    <col min="5895" max="5895" width="11.5703125" style="50" customWidth="1"/>
    <col min="5896" max="5897" width="13.5703125" style="50" customWidth="1"/>
    <col min="5898" max="5898" width="9.140625" style="50"/>
    <col min="5899" max="5899" width="9.42578125" style="50" customWidth="1"/>
    <col min="5900" max="5900" width="14.85546875" style="50" customWidth="1"/>
    <col min="5901" max="5911" width="0" style="50" hidden="1" customWidth="1"/>
    <col min="5912" max="5912" width="17.7109375" style="50" customWidth="1"/>
    <col min="5913" max="5913" width="25" style="50" customWidth="1"/>
    <col min="5914" max="5914" width="11.5703125" style="50" customWidth="1"/>
    <col min="5915" max="5916" width="11" style="50" customWidth="1"/>
    <col min="5917" max="5917" width="8.42578125" style="50" customWidth="1"/>
    <col min="5918" max="5920" width="6.28515625" style="50" bestFit="1" customWidth="1"/>
    <col min="5921" max="6144" width="9.140625" style="50"/>
    <col min="6145" max="6146" width="9.42578125" style="50" customWidth="1"/>
    <col min="6147" max="6147" width="6.42578125" style="50" customWidth="1"/>
    <col min="6148" max="6148" width="48.85546875" style="50" customWidth="1"/>
    <col min="6149" max="6149" width="21.140625" style="50" customWidth="1"/>
    <col min="6150" max="6150" width="13" style="50" customWidth="1"/>
    <col min="6151" max="6151" width="11.5703125" style="50" customWidth="1"/>
    <col min="6152" max="6153" width="13.5703125" style="50" customWidth="1"/>
    <col min="6154" max="6154" width="9.140625" style="50"/>
    <col min="6155" max="6155" width="9.42578125" style="50" customWidth="1"/>
    <col min="6156" max="6156" width="14.85546875" style="50" customWidth="1"/>
    <col min="6157" max="6167" width="0" style="50" hidden="1" customWidth="1"/>
    <col min="6168" max="6168" width="17.7109375" style="50" customWidth="1"/>
    <col min="6169" max="6169" width="25" style="50" customWidth="1"/>
    <col min="6170" max="6170" width="11.5703125" style="50" customWidth="1"/>
    <col min="6171" max="6172" width="11" style="50" customWidth="1"/>
    <col min="6173" max="6173" width="8.42578125" style="50" customWidth="1"/>
    <col min="6174" max="6176" width="6.28515625" style="50" bestFit="1" customWidth="1"/>
    <col min="6177" max="6400" width="9.140625" style="50"/>
    <col min="6401" max="6402" width="9.42578125" style="50" customWidth="1"/>
    <col min="6403" max="6403" width="6.42578125" style="50" customWidth="1"/>
    <col min="6404" max="6404" width="48.85546875" style="50" customWidth="1"/>
    <col min="6405" max="6405" width="21.140625" style="50" customWidth="1"/>
    <col min="6406" max="6406" width="13" style="50" customWidth="1"/>
    <col min="6407" max="6407" width="11.5703125" style="50" customWidth="1"/>
    <col min="6408" max="6409" width="13.5703125" style="50" customWidth="1"/>
    <col min="6410" max="6410" width="9.140625" style="50"/>
    <col min="6411" max="6411" width="9.42578125" style="50" customWidth="1"/>
    <col min="6412" max="6412" width="14.85546875" style="50" customWidth="1"/>
    <col min="6413" max="6423" width="0" style="50" hidden="1" customWidth="1"/>
    <col min="6424" max="6424" width="17.7109375" style="50" customWidth="1"/>
    <col min="6425" max="6425" width="25" style="50" customWidth="1"/>
    <col min="6426" max="6426" width="11.5703125" style="50" customWidth="1"/>
    <col min="6427" max="6428" width="11" style="50" customWidth="1"/>
    <col min="6429" max="6429" width="8.42578125" style="50" customWidth="1"/>
    <col min="6430" max="6432" width="6.28515625" style="50" bestFit="1" customWidth="1"/>
    <col min="6433" max="6656" width="9.140625" style="50"/>
    <col min="6657" max="6658" width="9.42578125" style="50" customWidth="1"/>
    <col min="6659" max="6659" width="6.42578125" style="50" customWidth="1"/>
    <col min="6660" max="6660" width="48.85546875" style="50" customWidth="1"/>
    <col min="6661" max="6661" width="21.140625" style="50" customWidth="1"/>
    <col min="6662" max="6662" width="13" style="50" customWidth="1"/>
    <col min="6663" max="6663" width="11.5703125" style="50" customWidth="1"/>
    <col min="6664" max="6665" width="13.5703125" style="50" customWidth="1"/>
    <col min="6666" max="6666" width="9.140625" style="50"/>
    <col min="6667" max="6667" width="9.42578125" style="50" customWidth="1"/>
    <col min="6668" max="6668" width="14.85546875" style="50" customWidth="1"/>
    <col min="6669" max="6679" width="0" style="50" hidden="1" customWidth="1"/>
    <col min="6680" max="6680" width="17.7109375" style="50" customWidth="1"/>
    <col min="6681" max="6681" width="25" style="50" customWidth="1"/>
    <col min="6682" max="6682" width="11.5703125" style="50" customWidth="1"/>
    <col min="6683" max="6684" width="11" style="50" customWidth="1"/>
    <col min="6685" max="6685" width="8.42578125" style="50" customWidth="1"/>
    <col min="6686" max="6688" width="6.28515625" style="50" bestFit="1" customWidth="1"/>
    <col min="6689" max="6912" width="9.140625" style="50"/>
    <col min="6913" max="6914" width="9.42578125" style="50" customWidth="1"/>
    <col min="6915" max="6915" width="6.42578125" style="50" customWidth="1"/>
    <col min="6916" max="6916" width="48.85546875" style="50" customWidth="1"/>
    <col min="6917" max="6917" width="21.140625" style="50" customWidth="1"/>
    <col min="6918" max="6918" width="13" style="50" customWidth="1"/>
    <col min="6919" max="6919" width="11.5703125" style="50" customWidth="1"/>
    <col min="6920" max="6921" width="13.5703125" style="50" customWidth="1"/>
    <col min="6922" max="6922" width="9.140625" style="50"/>
    <col min="6923" max="6923" width="9.42578125" style="50" customWidth="1"/>
    <col min="6924" max="6924" width="14.85546875" style="50" customWidth="1"/>
    <col min="6925" max="6935" width="0" style="50" hidden="1" customWidth="1"/>
    <col min="6936" max="6936" width="17.7109375" style="50" customWidth="1"/>
    <col min="6937" max="6937" width="25" style="50" customWidth="1"/>
    <col min="6938" max="6938" width="11.5703125" style="50" customWidth="1"/>
    <col min="6939" max="6940" width="11" style="50" customWidth="1"/>
    <col min="6941" max="6941" width="8.42578125" style="50" customWidth="1"/>
    <col min="6942" max="6944" width="6.28515625" style="50" bestFit="1" customWidth="1"/>
    <col min="6945" max="7168" width="9.140625" style="50"/>
    <col min="7169" max="7170" width="9.42578125" style="50" customWidth="1"/>
    <col min="7171" max="7171" width="6.42578125" style="50" customWidth="1"/>
    <col min="7172" max="7172" width="48.85546875" style="50" customWidth="1"/>
    <col min="7173" max="7173" width="21.140625" style="50" customWidth="1"/>
    <col min="7174" max="7174" width="13" style="50" customWidth="1"/>
    <col min="7175" max="7175" width="11.5703125" style="50" customWidth="1"/>
    <col min="7176" max="7177" width="13.5703125" style="50" customWidth="1"/>
    <col min="7178" max="7178" width="9.140625" style="50"/>
    <col min="7179" max="7179" width="9.42578125" style="50" customWidth="1"/>
    <col min="7180" max="7180" width="14.85546875" style="50" customWidth="1"/>
    <col min="7181" max="7191" width="0" style="50" hidden="1" customWidth="1"/>
    <col min="7192" max="7192" width="17.7109375" style="50" customWidth="1"/>
    <col min="7193" max="7193" width="25" style="50" customWidth="1"/>
    <col min="7194" max="7194" width="11.5703125" style="50" customWidth="1"/>
    <col min="7195" max="7196" width="11" style="50" customWidth="1"/>
    <col min="7197" max="7197" width="8.42578125" style="50" customWidth="1"/>
    <col min="7198" max="7200" width="6.28515625" style="50" bestFit="1" customWidth="1"/>
    <col min="7201" max="7424" width="9.140625" style="50"/>
    <col min="7425" max="7426" width="9.42578125" style="50" customWidth="1"/>
    <col min="7427" max="7427" width="6.42578125" style="50" customWidth="1"/>
    <col min="7428" max="7428" width="48.85546875" style="50" customWidth="1"/>
    <col min="7429" max="7429" width="21.140625" style="50" customWidth="1"/>
    <col min="7430" max="7430" width="13" style="50" customWidth="1"/>
    <col min="7431" max="7431" width="11.5703125" style="50" customWidth="1"/>
    <col min="7432" max="7433" width="13.5703125" style="50" customWidth="1"/>
    <col min="7434" max="7434" width="9.140625" style="50"/>
    <col min="7435" max="7435" width="9.42578125" style="50" customWidth="1"/>
    <col min="7436" max="7436" width="14.85546875" style="50" customWidth="1"/>
    <col min="7437" max="7447" width="0" style="50" hidden="1" customWidth="1"/>
    <col min="7448" max="7448" width="17.7109375" style="50" customWidth="1"/>
    <col min="7449" max="7449" width="25" style="50" customWidth="1"/>
    <col min="7450" max="7450" width="11.5703125" style="50" customWidth="1"/>
    <col min="7451" max="7452" width="11" style="50" customWidth="1"/>
    <col min="7453" max="7453" width="8.42578125" style="50" customWidth="1"/>
    <col min="7454" max="7456" width="6.28515625" style="50" bestFit="1" customWidth="1"/>
    <col min="7457" max="7680" width="9.140625" style="50"/>
    <col min="7681" max="7682" width="9.42578125" style="50" customWidth="1"/>
    <col min="7683" max="7683" width="6.42578125" style="50" customWidth="1"/>
    <col min="7684" max="7684" width="48.85546875" style="50" customWidth="1"/>
    <col min="7685" max="7685" width="21.140625" style="50" customWidth="1"/>
    <col min="7686" max="7686" width="13" style="50" customWidth="1"/>
    <col min="7687" max="7687" width="11.5703125" style="50" customWidth="1"/>
    <col min="7688" max="7689" width="13.5703125" style="50" customWidth="1"/>
    <col min="7690" max="7690" width="9.140625" style="50"/>
    <col min="7691" max="7691" width="9.42578125" style="50" customWidth="1"/>
    <col min="7692" max="7692" width="14.85546875" style="50" customWidth="1"/>
    <col min="7693" max="7703" width="0" style="50" hidden="1" customWidth="1"/>
    <col min="7704" max="7704" width="17.7109375" style="50" customWidth="1"/>
    <col min="7705" max="7705" width="25" style="50" customWidth="1"/>
    <col min="7706" max="7706" width="11.5703125" style="50" customWidth="1"/>
    <col min="7707" max="7708" width="11" style="50" customWidth="1"/>
    <col min="7709" max="7709" width="8.42578125" style="50" customWidth="1"/>
    <col min="7710" max="7712" width="6.28515625" style="50" bestFit="1" customWidth="1"/>
    <col min="7713" max="7936" width="9.140625" style="50"/>
    <col min="7937" max="7938" width="9.42578125" style="50" customWidth="1"/>
    <col min="7939" max="7939" width="6.42578125" style="50" customWidth="1"/>
    <col min="7940" max="7940" width="48.85546875" style="50" customWidth="1"/>
    <col min="7941" max="7941" width="21.140625" style="50" customWidth="1"/>
    <col min="7942" max="7942" width="13" style="50" customWidth="1"/>
    <col min="7943" max="7943" width="11.5703125" style="50" customWidth="1"/>
    <col min="7944" max="7945" width="13.5703125" style="50" customWidth="1"/>
    <col min="7946" max="7946" width="9.140625" style="50"/>
    <col min="7947" max="7947" width="9.42578125" style="50" customWidth="1"/>
    <col min="7948" max="7948" width="14.85546875" style="50" customWidth="1"/>
    <col min="7949" max="7959" width="0" style="50" hidden="1" customWidth="1"/>
    <col min="7960" max="7960" width="17.7109375" style="50" customWidth="1"/>
    <col min="7961" max="7961" width="25" style="50" customWidth="1"/>
    <col min="7962" max="7962" width="11.5703125" style="50" customWidth="1"/>
    <col min="7963" max="7964" width="11" style="50" customWidth="1"/>
    <col min="7965" max="7965" width="8.42578125" style="50" customWidth="1"/>
    <col min="7966" max="7968" width="6.28515625" style="50" bestFit="1" customWidth="1"/>
    <col min="7969" max="8192" width="9.140625" style="50"/>
    <col min="8193" max="8194" width="9.42578125" style="50" customWidth="1"/>
    <col min="8195" max="8195" width="6.42578125" style="50" customWidth="1"/>
    <col min="8196" max="8196" width="48.85546875" style="50" customWidth="1"/>
    <col min="8197" max="8197" width="21.140625" style="50" customWidth="1"/>
    <col min="8198" max="8198" width="13" style="50" customWidth="1"/>
    <col min="8199" max="8199" width="11.5703125" style="50" customWidth="1"/>
    <col min="8200" max="8201" width="13.5703125" style="50" customWidth="1"/>
    <col min="8202" max="8202" width="9.140625" style="50"/>
    <col min="8203" max="8203" width="9.42578125" style="50" customWidth="1"/>
    <col min="8204" max="8204" width="14.85546875" style="50" customWidth="1"/>
    <col min="8205" max="8215" width="0" style="50" hidden="1" customWidth="1"/>
    <col min="8216" max="8216" width="17.7109375" style="50" customWidth="1"/>
    <col min="8217" max="8217" width="25" style="50" customWidth="1"/>
    <col min="8218" max="8218" width="11.5703125" style="50" customWidth="1"/>
    <col min="8219" max="8220" width="11" style="50" customWidth="1"/>
    <col min="8221" max="8221" width="8.42578125" style="50" customWidth="1"/>
    <col min="8222" max="8224" width="6.28515625" style="50" bestFit="1" customWidth="1"/>
    <col min="8225" max="8448" width="9.140625" style="50"/>
    <col min="8449" max="8450" width="9.42578125" style="50" customWidth="1"/>
    <col min="8451" max="8451" width="6.42578125" style="50" customWidth="1"/>
    <col min="8452" max="8452" width="48.85546875" style="50" customWidth="1"/>
    <col min="8453" max="8453" width="21.140625" style="50" customWidth="1"/>
    <col min="8454" max="8454" width="13" style="50" customWidth="1"/>
    <col min="8455" max="8455" width="11.5703125" style="50" customWidth="1"/>
    <col min="8456" max="8457" width="13.5703125" style="50" customWidth="1"/>
    <col min="8458" max="8458" width="9.140625" style="50"/>
    <col min="8459" max="8459" width="9.42578125" style="50" customWidth="1"/>
    <col min="8460" max="8460" width="14.85546875" style="50" customWidth="1"/>
    <col min="8461" max="8471" width="0" style="50" hidden="1" customWidth="1"/>
    <col min="8472" max="8472" width="17.7109375" style="50" customWidth="1"/>
    <col min="8473" max="8473" width="25" style="50" customWidth="1"/>
    <col min="8474" max="8474" width="11.5703125" style="50" customWidth="1"/>
    <col min="8475" max="8476" width="11" style="50" customWidth="1"/>
    <col min="8477" max="8477" width="8.42578125" style="50" customWidth="1"/>
    <col min="8478" max="8480" width="6.28515625" style="50" bestFit="1" customWidth="1"/>
    <col min="8481" max="8704" width="9.140625" style="50"/>
    <col min="8705" max="8706" width="9.42578125" style="50" customWidth="1"/>
    <col min="8707" max="8707" width="6.42578125" style="50" customWidth="1"/>
    <col min="8708" max="8708" width="48.85546875" style="50" customWidth="1"/>
    <col min="8709" max="8709" width="21.140625" style="50" customWidth="1"/>
    <col min="8710" max="8710" width="13" style="50" customWidth="1"/>
    <col min="8711" max="8711" width="11.5703125" style="50" customWidth="1"/>
    <col min="8712" max="8713" width="13.5703125" style="50" customWidth="1"/>
    <col min="8714" max="8714" width="9.140625" style="50"/>
    <col min="8715" max="8715" width="9.42578125" style="50" customWidth="1"/>
    <col min="8716" max="8716" width="14.85546875" style="50" customWidth="1"/>
    <col min="8717" max="8727" width="0" style="50" hidden="1" customWidth="1"/>
    <col min="8728" max="8728" width="17.7109375" style="50" customWidth="1"/>
    <col min="8729" max="8729" width="25" style="50" customWidth="1"/>
    <col min="8730" max="8730" width="11.5703125" style="50" customWidth="1"/>
    <col min="8731" max="8732" width="11" style="50" customWidth="1"/>
    <col min="8733" max="8733" width="8.42578125" style="50" customWidth="1"/>
    <col min="8734" max="8736" width="6.28515625" style="50" bestFit="1" customWidth="1"/>
    <col min="8737" max="8960" width="9.140625" style="50"/>
    <col min="8961" max="8962" width="9.42578125" style="50" customWidth="1"/>
    <col min="8963" max="8963" width="6.42578125" style="50" customWidth="1"/>
    <col min="8964" max="8964" width="48.85546875" style="50" customWidth="1"/>
    <col min="8965" max="8965" width="21.140625" style="50" customWidth="1"/>
    <col min="8966" max="8966" width="13" style="50" customWidth="1"/>
    <col min="8967" max="8967" width="11.5703125" style="50" customWidth="1"/>
    <col min="8968" max="8969" width="13.5703125" style="50" customWidth="1"/>
    <col min="8970" max="8970" width="9.140625" style="50"/>
    <col min="8971" max="8971" width="9.42578125" style="50" customWidth="1"/>
    <col min="8972" max="8972" width="14.85546875" style="50" customWidth="1"/>
    <col min="8973" max="8983" width="0" style="50" hidden="1" customWidth="1"/>
    <col min="8984" max="8984" width="17.7109375" style="50" customWidth="1"/>
    <col min="8985" max="8985" width="25" style="50" customWidth="1"/>
    <col min="8986" max="8986" width="11.5703125" style="50" customWidth="1"/>
    <col min="8987" max="8988" width="11" style="50" customWidth="1"/>
    <col min="8989" max="8989" width="8.42578125" style="50" customWidth="1"/>
    <col min="8990" max="8992" width="6.28515625" style="50" bestFit="1" customWidth="1"/>
    <col min="8993" max="9216" width="9.140625" style="50"/>
    <col min="9217" max="9218" width="9.42578125" style="50" customWidth="1"/>
    <col min="9219" max="9219" width="6.42578125" style="50" customWidth="1"/>
    <col min="9220" max="9220" width="48.85546875" style="50" customWidth="1"/>
    <col min="9221" max="9221" width="21.140625" style="50" customWidth="1"/>
    <col min="9222" max="9222" width="13" style="50" customWidth="1"/>
    <col min="9223" max="9223" width="11.5703125" style="50" customWidth="1"/>
    <col min="9224" max="9225" width="13.5703125" style="50" customWidth="1"/>
    <col min="9226" max="9226" width="9.140625" style="50"/>
    <col min="9227" max="9227" width="9.42578125" style="50" customWidth="1"/>
    <col min="9228" max="9228" width="14.85546875" style="50" customWidth="1"/>
    <col min="9229" max="9239" width="0" style="50" hidden="1" customWidth="1"/>
    <col min="9240" max="9240" width="17.7109375" style="50" customWidth="1"/>
    <col min="9241" max="9241" width="25" style="50" customWidth="1"/>
    <col min="9242" max="9242" width="11.5703125" style="50" customWidth="1"/>
    <col min="9243" max="9244" width="11" style="50" customWidth="1"/>
    <col min="9245" max="9245" width="8.42578125" style="50" customWidth="1"/>
    <col min="9246" max="9248" width="6.28515625" style="50" bestFit="1" customWidth="1"/>
    <col min="9249" max="9472" width="9.140625" style="50"/>
    <col min="9473" max="9474" width="9.42578125" style="50" customWidth="1"/>
    <col min="9475" max="9475" width="6.42578125" style="50" customWidth="1"/>
    <col min="9476" max="9476" width="48.85546875" style="50" customWidth="1"/>
    <col min="9477" max="9477" width="21.140625" style="50" customWidth="1"/>
    <col min="9478" max="9478" width="13" style="50" customWidth="1"/>
    <col min="9479" max="9479" width="11.5703125" style="50" customWidth="1"/>
    <col min="9480" max="9481" width="13.5703125" style="50" customWidth="1"/>
    <col min="9482" max="9482" width="9.140625" style="50"/>
    <col min="9483" max="9483" width="9.42578125" style="50" customWidth="1"/>
    <col min="9484" max="9484" width="14.85546875" style="50" customWidth="1"/>
    <col min="9485" max="9495" width="0" style="50" hidden="1" customWidth="1"/>
    <col min="9496" max="9496" width="17.7109375" style="50" customWidth="1"/>
    <col min="9497" max="9497" width="25" style="50" customWidth="1"/>
    <col min="9498" max="9498" width="11.5703125" style="50" customWidth="1"/>
    <col min="9499" max="9500" width="11" style="50" customWidth="1"/>
    <col min="9501" max="9501" width="8.42578125" style="50" customWidth="1"/>
    <col min="9502" max="9504" width="6.28515625" style="50" bestFit="1" customWidth="1"/>
    <col min="9505" max="9728" width="9.140625" style="50"/>
    <col min="9729" max="9730" width="9.42578125" style="50" customWidth="1"/>
    <col min="9731" max="9731" width="6.42578125" style="50" customWidth="1"/>
    <col min="9732" max="9732" width="48.85546875" style="50" customWidth="1"/>
    <col min="9733" max="9733" width="21.140625" style="50" customWidth="1"/>
    <col min="9734" max="9734" width="13" style="50" customWidth="1"/>
    <col min="9735" max="9735" width="11.5703125" style="50" customWidth="1"/>
    <col min="9736" max="9737" width="13.5703125" style="50" customWidth="1"/>
    <col min="9738" max="9738" width="9.140625" style="50"/>
    <col min="9739" max="9739" width="9.42578125" style="50" customWidth="1"/>
    <col min="9740" max="9740" width="14.85546875" style="50" customWidth="1"/>
    <col min="9741" max="9751" width="0" style="50" hidden="1" customWidth="1"/>
    <col min="9752" max="9752" width="17.7109375" style="50" customWidth="1"/>
    <col min="9753" max="9753" width="25" style="50" customWidth="1"/>
    <col min="9754" max="9754" width="11.5703125" style="50" customWidth="1"/>
    <col min="9755" max="9756" width="11" style="50" customWidth="1"/>
    <col min="9757" max="9757" width="8.42578125" style="50" customWidth="1"/>
    <col min="9758" max="9760" width="6.28515625" style="50" bestFit="1" customWidth="1"/>
    <col min="9761" max="9984" width="9.140625" style="50"/>
    <col min="9985" max="9986" width="9.42578125" style="50" customWidth="1"/>
    <col min="9987" max="9987" width="6.42578125" style="50" customWidth="1"/>
    <col min="9988" max="9988" width="48.85546875" style="50" customWidth="1"/>
    <col min="9989" max="9989" width="21.140625" style="50" customWidth="1"/>
    <col min="9990" max="9990" width="13" style="50" customWidth="1"/>
    <col min="9991" max="9991" width="11.5703125" style="50" customWidth="1"/>
    <col min="9992" max="9993" width="13.5703125" style="50" customWidth="1"/>
    <col min="9994" max="9994" width="9.140625" style="50"/>
    <col min="9995" max="9995" width="9.42578125" style="50" customWidth="1"/>
    <col min="9996" max="9996" width="14.85546875" style="50" customWidth="1"/>
    <col min="9997" max="10007" width="0" style="50" hidden="1" customWidth="1"/>
    <col min="10008" max="10008" width="17.7109375" style="50" customWidth="1"/>
    <col min="10009" max="10009" width="25" style="50" customWidth="1"/>
    <col min="10010" max="10010" width="11.5703125" style="50" customWidth="1"/>
    <col min="10011" max="10012" width="11" style="50" customWidth="1"/>
    <col min="10013" max="10013" width="8.42578125" style="50" customWidth="1"/>
    <col min="10014" max="10016" width="6.28515625" style="50" bestFit="1" customWidth="1"/>
    <col min="10017" max="10240" width="9.140625" style="50"/>
    <col min="10241" max="10242" width="9.42578125" style="50" customWidth="1"/>
    <col min="10243" max="10243" width="6.42578125" style="50" customWidth="1"/>
    <col min="10244" max="10244" width="48.85546875" style="50" customWidth="1"/>
    <col min="10245" max="10245" width="21.140625" style="50" customWidth="1"/>
    <col min="10246" max="10246" width="13" style="50" customWidth="1"/>
    <col min="10247" max="10247" width="11.5703125" style="50" customWidth="1"/>
    <col min="10248" max="10249" width="13.5703125" style="50" customWidth="1"/>
    <col min="10250" max="10250" width="9.140625" style="50"/>
    <col min="10251" max="10251" width="9.42578125" style="50" customWidth="1"/>
    <col min="10252" max="10252" width="14.85546875" style="50" customWidth="1"/>
    <col min="10253" max="10263" width="0" style="50" hidden="1" customWidth="1"/>
    <col min="10264" max="10264" width="17.7109375" style="50" customWidth="1"/>
    <col min="10265" max="10265" width="25" style="50" customWidth="1"/>
    <col min="10266" max="10266" width="11.5703125" style="50" customWidth="1"/>
    <col min="10267" max="10268" width="11" style="50" customWidth="1"/>
    <col min="10269" max="10269" width="8.42578125" style="50" customWidth="1"/>
    <col min="10270" max="10272" width="6.28515625" style="50" bestFit="1" customWidth="1"/>
    <col min="10273" max="10496" width="9.140625" style="50"/>
    <col min="10497" max="10498" width="9.42578125" style="50" customWidth="1"/>
    <col min="10499" max="10499" width="6.42578125" style="50" customWidth="1"/>
    <col min="10500" max="10500" width="48.85546875" style="50" customWidth="1"/>
    <col min="10501" max="10501" width="21.140625" style="50" customWidth="1"/>
    <col min="10502" max="10502" width="13" style="50" customWidth="1"/>
    <col min="10503" max="10503" width="11.5703125" style="50" customWidth="1"/>
    <col min="10504" max="10505" width="13.5703125" style="50" customWidth="1"/>
    <col min="10506" max="10506" width="9.140625" style="50"/>
    <col min="10507" max="10507" width="9.42578125" style="50" customWidth="1"/>
    <col min="10508" max="10508" width="14.85546875" style="50" customWidth="1"/>
    <col min="10509" max="10519" width="0" style="50" hidden="1" customWidth="1"/>
    <col min="10520" max="10520" width="17.7109375" style="50" customWidth="1"/>
    <col min="10521" max="10521" width="25" style="50" customWidth="1"/>
    <col min="10522" max="10522" width="11.5703125" style="50" customWidth="1"/>
    <col min="10523" max="10524" width="11" style="50" customWidth="1"/>
    <col min="10525" max="10525" width="8.42578125" style="50" customWidth="1"/>
    <col min="10526" max="10528" width="6.28515625" style="50" bestFit="1" customWidth="1"/>
    <col min="10529" max="10752" width="9.140625" style="50"/>
    <col min="10753" max="10754" width="9.42578125" style="50" customWidth="1"/>
    <col min="10755" max="10755" width="6.42578125" style="50" customWidth="1"/>
    <col min="10756" max="10756" width="48.85546875" style="50" customWidth="1"/>
    <col min="10757" max="10757" width="21.140625" style="50" customWidth="1"/>
    <col min="10758" max="10758" width="13" style="50" customWidth="1"/>
    <col min="10759" max="10759" width="11.5703125" style="50" customWidth="1"/>
    <col min="10760" max="10761" width="13.5703125" style="50" customWidth="1"/>
    <col min="10762" max="10762" width="9.140625" style="50"/>
    <col min="10763" max="10763" width="9.42578125" style="50" customWidth="1"/>
    <col min="10764" max="10764" width="14.85546875" style="50" customWidth="1"/>
    <col min="10765" max="10775" width="0" style="50" hidden="1" customWidth="1"/>
    <col min="10776" max="10776" width="17.7109375" style="50" customWidth="1"/>
    <col min="10777" max="10777" width="25" style="50" customWidth="1"/>
    <col min="10778" max="10778" width="11.5703125" style="50" customWidth="1"/>
    <col min="10779" max="10780" width="11" style="50" customWidth="1"/>
    <col min="10781" max="10781" width="8.42578125" style="50" customWidth="1"/>
    <col min="10782" max="10784" width="6.28515625" style="50" bestFit="1" customWidth="1"/>
    <col min="10785" max="11008" width="9.140625" style="50"/>
    <col min="11009" max="11010" width="9.42578125" style="50" customWidth="1"/>
    <col min="11011" max="11011" width="6.42578125" style="50" customWidth="1"/>
    <col min="11012" max="11012" width="48.85546875" style="50" customWidth="1"/>
    <col min="11013" max="11013" width="21.140625" style="50" customWidth="1"/>
    <col min="11014" max="11014" width="13" style="50" customWidth="1"/>
    <col min="11015" max="11015" width="11.5703125" style="50" customWidth="1"/>
    <col min="11016" max="11017" width="13.5703125" style="50" customWidth="1"/>
    <col min="11018" max="11018" width="9.140625" style="50"/>
    <col min="11019" max="11019" width="9.42578125" style="50" customWidth="1"/>
    <col min="11020" max="11020" width="14.85546875" style="50" customWidth="1"/>
    <col min="11021" max="11031" width="0" style="50" hidden="1" customWidth="1"/>
    <col min="11032" max="11032" width="17.7109375" style="50" customWidth="1"/>
    <col min="11033" max="11033" width="25" style="50" customWidth="1"/>
    <col min="11034" max="11034" width="11.5703125" style="50" customWidth="1"/>
    <col min="11035" max="11036" width="11" style="50" customWidth="1"/>
    <col min="11037" max="11037" width="8.42578125" style="50" customWidth="1"/>
    <col min="11038" max="11040" width="6.28515625" style="50" bestFit="1" customWidth="1"/>
    <col min="11041" max="11264" width="9.140625" style="50"/>
    <col min="11265" max="11266" width="9.42578125" style="50" customWidth="1"/>
    <col min="11267" max="11267" width="6.42578125" style="50" customWidth="1"/>
    <col min="11268" max="11268" width="48.85546875" style="50" customWidth="1"/>
    <col min="11269" max="11269" width="21.140625" style="50" customWidth="1"/>
    <col min="11270" max="11270" width="13" style="50" customWidth="1"/>
    <col min="11271" max="11271" width="11.5703125" style="50" customWidth="1"/>
    <col min="11272" max="11273" width="13.5703125" style="50" customWidth="1"/>
    <col min="11274" max="11274" width="9.140625" style="50"/>
    <col min="11275" max="11275" width="9.42578125" style="50" customWidth="1"/>
    <col min="11276" max="11276" width="14.85546875" style="50" customWidth="1"/>
    <col min="11277" max="11287" width="0" style="50" hidden="1" customWidth="1"/>
    <col min="11288" max="11288" width="17.7109375" style="50" customWidth="1"/>
    <col min="11289" max="11289" width="25" style="50" customWidth="1"/>
    <col min="11290" max="11290" width="11.5703125" style="50" customWidth="1"/>
    <col min="11291" max="11292" width="11" style="50" customWidth="1"/>
    <col min="11293" max="11293" width="8.42578125" style="50" customWidth="1"/>
    <col min="11294" max="11296" width="6.28515625" style="50" bestFit="1" customWidth="1"/>
    <col min="11297" max="11520" width="9.140625" style="50"/>
    <col min="11521" max="11522" width="9.42578125" style="50" customWidth="1"/>
    <col min="11523" max="11523" width="6.42578125" style="50" customWidth="1"/>
    <col min="11524" max="11524" width="48.85546875" style="50" customWidth="1"/>
    <col min="11525" max="11525" width="21.140625" style="50" customWidth="1"/>
    <col min="11526" max="11526" width="13" style="50" customWidth="1"/>
    <col min="11527" max="11527" width="11.5703125" style="50" customWidth="1"/>
    <col min="11528" max="11529" width="13.5703125" style="50" customWidth="1"/>
    <col min="11530" max="11530" width="9.140625" style="50"/>
    <col min="11531" max="11531" width="9.42578125" style="50" customWidth="1"/>
    <col min="11532" max="11532" width="14.85546875" style="50" customWidth="1"/>
    <col min="11533" max="11543" width="0" style="50" hidden="1" customWidth="1"/>
    <col min="11544" max="11544" width="17.7109375" style="50" customWidth="1"/>
    <col min="11545" max="11545" width="25" style="50" customWidth="1"/>
    <col min="11546" max="11546" width="11.5703125" style="50" customWidth="1"/>
    <col min="11547" max="11548" width="11" style="50" customWidth="1"/>
    <col min="11549" max="11549" width="8.42578125" style="50" customWidth="1"/>
    <col min="11550" max="11552" width="6.28515625" style="50" bestFit="1" customWidth="1"/>
    <col min="11553" max="11776" width="9.140625" style="50"/>
    <col min="11777" max="11778" width="9.42578125" style="50" customWidth="1"/>
    <col min="11779" max="11779" width="6.42578125" style="50" customWidth="1"/>
    <col min="11780" max="11780" width="48.85546875" style="50" customWidth="1"/>
    <col min="11781" max="11781" width="21.140625" style="50" customWidth="1"/>
    <col min="11782" max="11782" width="13" style="50" customWidth="1"/>
    <col min="11783" max="11783" width="11.5703125" style="50" customWidth="1"/>
    <col min="11784" max="11785" width="13.5703125" style="50" customWidth="1"/>
    <col min="11786" max="11786" width="9.140625" style="50"/>
    <col min="11787" max="11787" width="9.42578125" style="50" customWidth="1"/>
    <col min="11788" max="11788" width="14.85546875" style="50" customWidth="1"/>
    <col min="11789" max="11799" width="0" style="50" hidden="1" customWidth="1"/>
    <col min="11800" max="11800" width="17.7109375" style="50" customWidth="1"/>
    <col min="11801" max="11801" width="25" style="50" customWidth="1"/>
    <col min="11802" max="11802" width="11.5703125" style="50" customWidth="1"/>
    <col min="11803" max="11804" width="11" style="50" customWidth="1"/>
    <col min="11805" max="11805" width="8.42578125" style="50" customWidth="1"/>
    <col min="11806" max="11808" width="6.28515625" style="50" bestFit="1" customWidth="1"/>
    <col min="11809" max="12032" width="9.140625" style="50"/>
    <col min="12033" max="12034" width="9.42578125" style="50" customWidth="1"/>
    <col min="12035" max="12035" width="6.42578125" style="50" customWidth="1"/>
    <col min="12036" max="12036" width="48.85546875" style="50" customWidth="1"/>
    <col min="12037" max="12037" width="21.140625" style="50" customWidth="1"/>
    <col min="12038" max="12038" width="13" style="50" customWidth="1"/>
    <col min="12039" max="12039" width="11.5703125" style="50" customWidth="1"/>
    <col min="12040" max="12041" width="13.5703125" style="50" customWidth="1"/>
    <col min="12042" max="12042" width="9.140625" style="50"/>
    <col min="12043" max="12043" width="9.42578125" style="50" customWidth="1"/>
    <col min="12044" max="12044" width="14.85546875" style="50" customWidth="1"/>
    <col min="12045" max="12055" width="0" style="50" hidden="1" customWidth="1"/>
    <col min="12056" max="12056" width="17.7109375" style="50" customWidth="1"/>
    <col min="12057" max="12057" width="25" style="50" customWidth="1"/>
    <col min="12058" max="12058" width="11.5703125" style="50" customWidth="1"/>
    <col min="12059" max="12060" width="11" style="50" customWidth="1"/>
    <col min="12061" max="12061" width="8.42578125" style="50" customWidth="1"/>
    <col min="12062" max="12064" width="6.28515625" style="50" bestFit="1" customWidth="1"/>
    <col min="12065" max="12288" width="9.140625" style="50"/>
    <col min="12289" max="12290" width="9.42578125" style="50" customWidth="1"/>
    <col min="12291" max="12291" width="6.42578125" style="50" customWidth="1"/>
    <col min="12292" max="12292" width="48.85546875" style="50" customWidth="1"/>
    <col min="12293" max="12293" width="21.140625" style="50" customWidth="1"/>
    <col min="12294" max="12294" width="13" style="50" customWidth="1"/>
    <col min="12295" max="12295" width="11.5703125" style="50" customWidth="1"/>
    <col min="12296" max="12297" width="13.5703125" style="50" customWidth="1"/>
    <col min="12298" max="12298" width="9.140625" style="50"/>
    <col min="12299" max="12299" width="9.42578125" style="50" customWidth="1"/>
    <col min="12300" max="12300" width="14.85546875" style="50" customWidth="1"/>
    <col min="12301" max="12311" width="0" style="50" hidden="1" customWidth="1"/>
    <col min="12312" max="12312" width="17.7109375" style="50" customWidth="1"/>
    <col min="12313" max="12313" width="25" style="50" customWidth="1"/>
    <col min="12314" max="12314" width="11.5703125" style="50" customWidth="1"/>
    <col min="12315" max="12316" width="11" style="50" customWidth="1"/>
    <col min="12317" max="12317" width="8.42578125" style="50" customWidth="1"/>
    <col min="12318" max="12320" width="6.28515625" style="50" bestFit="1" customWidth="1"/>
    <col min="12321" max="12544" width="9.140625" style="50"/>
    <col min="12545" max="12546" width="9.42578125" style="50" customWidth="1"/>
    <col min="12547" max="12547" width="6.42578125" style="50" customWidth="1"/>
    <col min="12548" max="12548" width="48.85546875" style="50" customWidth="1"/>
    <col min="12549" max="12549" width="21.140625" style="50" customWidth="1"/>
    <col min="12550" max="12550" width="13" style="50" customWidth="1"/>
    <col min="12551" max="12551" width="11.5703125" style="50" customWidth="1"/>
    <col min="12552" max="12553" width="13.5703125" style="50" customWidth="1"/>
    <col min="12554" max="12554" width="9.140625" style="50"/>
    <col min="12555" max="12555" width="9.42578125" style="50" customWidth="1"/>
    <col min="12556" max="12556" width="14.85546875" style="50" customWidth="1"/>
    <col min="12557" max="12567" width="0" style="50" hidden="1" customWidth="1"/>
    <col min="12568" max="12568" width="17.7109375" style="50" customWidth="1"/>
    <col min="12569" max="12569" width="25" style="50" customWidth="1"/>
    <col min="12570" max="12570" width="11.5703125" style="50" customWidth="1"/>
    <col min="12571" max="12572" width="11" style="50" customWidth="1"/>
    <col min="12573" max="12573" width="8.42578125" style="50" customWidth="1"/>
    <col min="12574" max="12576" width="6.28515625" style="50" bestFit="1" customWidth="1"/>
    <col min="12577" max="12800" width="9.140625" style="50"/>
    <col min="12801" max="12802" width="9.42578125" style="50" customWidth="1"/>
    <col min="12803" max="12803" width="6.42578125" style="50" customWidth="1"/>
    <col min="12804" max="12804" width="48.85546875" style="50" customWidth="1"/>
    <col min="12805" max="12805" width="21.140625" style="50" customWidth="1"/>
    <col min="12806" max="12806" width="13" style="50" customWidth="1"/>
    <col min="12807" max="12807" width="11.5703125" style="50" customWidth="1"/>
    <col min="12808" max="12809" width="13.5703125" style="50" customWidth="1"/>
    <col min="12810" max="12810" width="9.140625" style="50"/>
    <col min="12811" max="12811" width="9.42578125" style="50" customWidth="1"/>
    <col min="12812" max="12812" width="14.85546875" style="50" customWidth="1"/>
    <col min="12813" max="12823" width="0" style="50" hidden="1" customWidth="1"/>
    <col min="12824" max="12824" width="17.7109375" style="50" customWidth="1"/>
    <col min="12825" max="12825" width="25" style="50" customWidth="1"/>
    <col min="12826" max="12826" width="11.5703125" style="50" customWidth="1"/>
    <col min="12827" max="12828" width="11" style="50" customWidth="1"/>
    <col min="12829" max="12829" width="8.42578125" style="50" customWidth="1"/>
    <col min="12830" max="12832" width="6.28515625" style="50" bestFit="1" customWidth="1"/>
    <col min="12833" max="13056" width="9.140625" style="50"/>
    <col min="13057" max="13058" width="9.42578125" style="50" customWidth="1"/>
    <col min="13059" max="13059" width="6.42578125" style="50" customWidth="1"/>
    <col min="13060" max="13060" width="48.85546875" style="50" customWidth="1"/>
    <col min="13061" max="13061" width="21.140625" style="50" customWidth="1"/>
    <col min="13062" max="13062" width="13" style="50" customWidth="1"/>
    <col min="13063" max="13063" width="11.5703125" style="50" customWidth="1"/>
    <col min="13064" max="13065" width="13.5703125" style="50" customWidth="1"/>
    <col min="13066" max="13066" width="9.140625" style="50"/>
    <col min="13067" max="13067" width="9.42578125" style="50" customWidth="1"/>
    <col min="13068" max="13068" width="14.85546875" style="50" customWidth="1"/>
    <col min="13069" max="13079" width="0" style="50" hidden="1" customWidth="1"/>
    <col min="13080" max="13080" width="17.7109375" style="50" customWidth="1"/>
    <col min="13081" max="13081" width="25" style="50" customWidth="1"/>
    <col min="13082" max="13082" width="11.5703125" style="50" customWidth="1"/>
    <col min="13083" max="13084" width="11" style="50" customWidth="1"/>
    <col min="13085" max="13085" width="8.42578125" style="50" customWidth="1"/>
    <col min="13086" max="13088" width="6.28515625" style="50" bestFit="1" customWidth="1"/>
    <col min="13089" max="13312" width="9.140625" style="50"/>
    <col min="13313" max="13314" width="9.42578125" style="50" customWidth="1"/>
    <col min="13315" max="13315" width="6.42578125" style="50" customWidth="1"/>
    <col min="13316" max="13316" width="48.85546875" style="50" customWidth="1"/>
    <col min="13317" max="13317" width="21.140625" style="50" customWidth="1"/>
    <col min="13318" max="13318" width="13" style="50" customWidth="1"/>
    <col min="13319" max="13319" width="11.5703125" style="50" customWidth="1"/>
    <col min="13320" max="13321" width="13.5703125" style="50" customWidth="1"/>
    <col min="13322" max="13322" width="9.140625" style="50"/>
    <col min="13323" max="13323" width="9.42578125" style="50" customWidth="1"/>
    <col min="13324" max="13324" width="14.85546875" style="50" customWidth="1"/>
    <col min="13325" max="13335" width="0" style="50" hidden="1" customWidth="1"/>
    <col min="13336" max="13336" width="17.7109375" style="50" customWidth="1"/>
    <col min="13337" max="13337" width="25" style="50" customWidth="1"/>
    <col min="13338" max="13338" width="11.5703125" style="50" customWidth="1"/>
    <col min="13339" max="13340" width="11" style="50" customWidth="1"/>
    <col min="13341" max="13341" width="8.42578125" style="50" customWidth="1"/>
    <col min="13342" max="13344" width="6.28515625" style="50" bestFit="1" customWidth="1"/>
    <col min="13345" max="13568" width="9.140625" style="50"/>
    <col min="13569" max="13570" width="9.42578125" style="50" customWidth="1"/>
    <col min="13571" max="13571" width="6.42578125" style="50" customWidth="1"/>
    <col min="13572" max="13572" width="48.85546875" style="50" customWidth="1"/>
    <col min="13573" max="13573" width="21.140625" style="50" customWidth="1"/>
    <col min="13574" max="13574" width="13" style="50" customWidth="1"/>
    <col min="13575" max="13575" width="11.5703125" style="50" customWidth="1"/>
    <col min="13576" max="13577" width="13.5703125" style="50" customWidth="1"/>
    <col min="13578" max="13578" width="9.140625" style="50"/>
    <col min="13579" max="13579" width="9.42578125" style="50" customWidth="1"/>
    <col min="13580" max="13580" width="14.85546875" style="50" customWidth="1"/>
    <col min="13581" max="13591" width="0" style="50" hidden="1" customWidth="1"/>
    <col min="13592" max="13592" width="17.7109375" style="50" customWidth="1"/>
    <col min="13593" max="13593" width="25" style="50" customWidth="1"/>
    <col min="13594" max="13594" width="11.5703125" style="50" customWidth="1"/>
    <col min="13595" max="13596" width="11" style="50" customWidth="1"/>
    <col min="13597" max="13597" width="8.42578125" style="50" customWidth="1"/>
    <col min="13598" max="13600" width="6.28515625" style="50" bestFit="1" customWidth="1"/>
    <col min="13601" max="13824" width="9.140625" style="50"/>
    <col min="13825" max="13826" width="9.42578125" style="50" customWidth="1"/>
    <col min="13827" max="13827" width="6.42578125" style="50" customWidth="1"/>
    <col min="13828" max="13828" width="48.85546875" style="50" customWidth="1"/>
    <col min="13829" max="13829" width="21.140625" style="50" customWidth="1"/>
    <col min="13830" max="13830" width="13" style="50" customWidth="1"/>
    <col min="13831" max="13831" width="11.5703125" style="50" customWidth="1"/>
    <col min="13832" max="13833" width="13.5703125" style="50" customWidth="1"/>
    <col min="13834" max="13834" width="9.140625" style="50"/>
    <col min="13835" max="13835" width="9.42578125" style="50" customWidth="1"/>
    <col min="13836" max="13836" width="14.85546875" style="50" customWidth="1"/>
    <col min="13837" max="13847" width="0" style="50" hidden="1" customWidth="1"/>
    <col min="13848" max="13848" width="17.7109375" style="50" customWidth="1"/>
    <col min="13849" max="13849" width="25" style="50" customWidth="1"/>
    <col min="13850" max="13850" width="11.5703125" style="50" customWidth="1"/>
    <col min="13851" max="13852" width="11" style="50" customWidth="1"/>
    <col min="13853" max="13853" width="8.42578125" style="50" customWidth="1"/>
    <col min="13854" max="13856" width="6.28515625" style="50" bestFit="1" customWidth="1"/>
    <col min="13857" max="14080" width="9.140625" style="50"/>
    <col min="14081" max="14082" width="9.42578125" style="50" customWidth="1"/>
    <col min="14083" max="14083" width="6.42578125" style="50" customWidth="1"/>
    <col min="14084" max="14084" width="48.85546875" style="50" customWidth="1"/>
    <col min="14085" max="14085" width="21.140625" style="50" customWidth="1"/>
    <col min="14086" max="14086" width="13" style="50" customWidth="1"/>
    <col min="14087" max="14087" width="11.5703125" style="50" customWidth="1"/>
    <col min="14088" max="14089" width="13.5703125" style="50" customWidth="1"/>
    <col min="14090" max="14090" width="9.140625" style="50"/>
    <col min="14091" max="14091" width="9.42578125" style="50" customWidth="1"/>
    <col min="14092" max="14092" width="14.85546875" style="50" customWidth="1"/>
    <col min="14093" max="14103" width="0" style="50" hidden="1" customWidth="1"/>
    <col min="14104" max="14104" width="17.7109375" style="50" customWidth="1"/>
    <col min="14105" max="14105" width="25" style="50" customWidth="1"/>
    <col min="14106" max="14106" width="11.5703125" style="50" customWidth="1"/>
    <col min="14107" max="14108" width="11" style="50" customWidth="1"/>
    <col min="14109" max="14109" width="8.42578125" style="50" customWidth="1"/>
    <col min="14110" max="14112" width="6.28515625" style="50" bestFit="1" customWidth="1"/>
    <col min="14113" max="14336" width="9.140625" style="50"/>
    <col min="14337" max="14338" width="9.42578125" style="50" customWidth="1"/>
    <col min="14339" max="14339" width="6.42578125" style="50" customWidth="1"/>
    <col min="14340" max="14340" width="48.85546875" style="50" customWidth="1"/>
    <col min="14341" max="14341" width="21.140625" style="50" customWidth="1"/>
    <col min="14342" max="14342" width="13" style="50" customWidth="1"/>
    <col min="14343" max="14343" width="11.5703125" style="50" customWidth="1"/>
    <col min="14344" max="14345" width="13.5703125" style="50" customWidth="1"/>
    <col min="14346" max="14346" width="9.140625" style="50"/>
    <col min="14347" max="14347" width="9.42578125" style="50" customWidth="1"/>
    <col min="14348" max="14348" width="14.85546875" style="50" customWidth="1"/>
    <col min="14349" max="14359" width="0" style="50" hidden="1" customWidth="1"/>
    <col min="14360" max="14360" width="17.7109375" style="50" customWidth="1"/>
    <col min="14361" max="14361" width="25" style="50" customWidth="1"/>
    <col min="14362" max="14362" width="11.5703125" style="50" customWidth="1"/>
    <col min="14363" max="14364" width="11" style="50" customWidth="1"/>
    <col min="14365" max="14365" width="8.42578125" style="50" customWidth="1"/>
    <col min="14366" max="14368" width="6.28515625" style="50" bestFit="1" customWidth="1"/>
    <col min="14369" max="14592" width="9.140625" style="50"/>
    <col min="14593" max="14594" width="9.42578125" style="50" customWidth="1"/>
    <col min="14595" max="14595" width="6.42578125" style="50" customWidth="1"/>
    <col min="14596" max="14596" width="48.85546875" style="50" customWidth="1"/>
    <col min="14597" max="14597" width="21.140625" style="50" customWidth="1"/>
    <col min="14598" max="14598" width="13" style="50" customWidth="1"/>
    <col min="14599" max="14599" width="11.5703125" style="50" customWidth="1"/>
    <col min="14600" max="14601" width="13.5703125" style="50" customWidth="1"/>
    <col min="14602" max="14602" width="9.140625" style="50"/>
    <col min="14603" max="14603" width="9.42578125" style="50" customWidth="1"/>
    <col min="14604" max="14604" width="14.85546875" style="50" customWidth="1"/>
    <col min="14605" max="14615" width="0" style="50" hidden="1" customWidth="1"/>
    <col min="14616" max="14616" width="17.7109375" style="50" customWidth="1"/>
    <col min="14617" max="14617" width="25" style="50" customWidth="1"/>
    <col min="14618" max="14618" width="11.5703125" style="50" customWidth="1"/>
    <col min="14619" max="14620" width="11" style="50" customWidth="1"/>
    <col min="14621" max="14621" width="8.42578125" style="50" customWidth="1"/>
    <col min="14622" max="14624" width="6.28515625" style="50" bestFit="1" customWidth="1"/>
    <col min="14625" max="14848" width="9.140625" style="50"/>
    <col min="14849" max="14850" width="9.42578125" style="50" customWidth="1"/>
    <col min="14851" max="14851" width="6.42578125" style="50" customWidth="1"/>
    <col min="14852" max="14852" width="48.85546875" style="50" customWidth="1"/>
    <col min="14853" max="14853" width="21.140625" style="50" customWidth="1"/>
    <col min="14854" max="14854" width="13" style="50" customWidth="1"/>
    <col min="14855" max="14855" width="11.5703125" style="50" customWidth="1"/>
    <col min="14856" max="14857" width="13.5703125" style="50" customWidth="1"/>
    <col min="14858" max="14858" width="9.140625" style="50"/>
    <col min="14859" max="14859" width="9.42578125" style="50" customWidth="1"/>
    <col min="14860" max="14860" width="14.85546875" style="50" customWidth="1"/>
    <col min="14861" max="14871" width="0" style="50" hidden="1" customWidth="1"/>
    <col min="14872" max="14872" width="17.7109375" style="50" customWidth="1"/>
    <col min="14873" max="14873" width="25" style="50" customWidth="1"/>
    <col min="14874" max="14874" width="11.5703125" style="50" customWidth="1"/>
    <col min="14875" max="14876" width="11" style="50" customWidth="1"/>
    <col min="14877" max="14877" width="8.42578125" style="50" customWidth="1"/>
    <col min="14878" max="14880" width="6.28515625" style="50" bestFit="1" customWidth="1"/>
    <col min="14881" max="15104" width="9.140625" style="50"/>
    <col min="15105" max="15106" width="9.42578125" style="50" customWidth="1"/>
    <col min="15107" max="15107" width="6.42578125" style="50" customWidth="1"/>
    <col min="15108" max="15108" width="48.85546875" style="50" customWidth="1"/>
    <col min="15109" max="15109" width="21.140625" style="50" customWidth="1"/>
    <col min="15110" max="15110" width="13" style="50" customWidth="1"/>
    <col min="15111" max="15111" width="11.5703125" style="50" customWidth="1"/>
    <col min="15112" max="15113" width="13.5703125" style="50" customWidth="1"/>
    <col min="15114" max="15114" width="9.140625" style="50"/>
    <col min="15115" max="15115" width="9.42578125" style="50" customWidth="1"/>
    <col min="15116" max="15116" width="14.85546875" style="50" customWidth="1"/>
    <col min="15117" max="15127" width="0" style="50" hidden="1" customWidth="1"/>
    <col min="15128" max="15128" width="17.7109375" style="50" customWidth="1"/>
    <col min="15129" max="15129" width="25" style="50" customWidth="1"/>
    <col min="15130" max="15130" width="11.5703125" style="50" customWidth="1"/>
    <col min="15131" max="15132" width="11" style="50" customWidth="1"/>
    <col min="15133" max="15133" width="8.42578125" style="50" customWidth="1"/>
    <col min="15134" max="15136" width="6.28515625" style="50" bestFit="1" customWidth="1"/>
    <col min="15137" max="15360" width="9.140625" style="50"/>
    <col min="15361" max="15362" width="9.42578125" style="50" customWidth="1"/>
    <col min="15363" max="15363" width="6.42578125" style="50" customWidth="1"/>
    <col min="15364" max="15364" width="48.85546875" style="50" customWidth="1"/>
    <col min="15365" max="15365" width="21.140625" style="50" customWidth="1"/>
    <col min="15366" max="15366" width="13" style="50" customWidth="1"/>
    <col min="15367" max="15367" width="11.5703125" style="50" customWidth="1"/>
    <col min="15368" max="15369" width="13.5703125" style="50" customWidth="1"/>
    <col min="15370" max="15370" width="9.140625" style="50"/>
    <col min="15371" max="15371" width="9.42578125" style="50" customWidth="1"/>
    <col min="15372" max="15372" width="14.85546875" style="50" customWidth="1"/>
    <col min="15373" max="15383" width="0" style="50" hidden="1" customWidth="1"/>
    <col min="15384" max="15384" width="17.7109375" style="50" customWidth="1"/>
    <col min="15385" max="15385" width="25" style="50" customWidth="1"/>
    <col min="15386" max="15386" width="11.5703125" style="50" customWidth="1"/>
    <col min="15387" max="15388" width="11" style="50" customWidth="1"/>
    <col min="15389" max="15389" width="8.42578125" style="50" customWidth="1"/>
    <col min="15390" max="15392" width="6.28515625" style="50" bestFit="1" customWidth="1"/>
    <col min="15393" max="15616" width="9.140625" style="50"/>
    <col min="15617" max="15618" width="9.42578125" style="50" customWidth="1"/>
    <col min="15619" max="15619" width="6.42578125" style="50" customWidth="1"/>
    <col min="15620" max="15620" width="48.85546875" style="50" customWidth="1"/>
    <col min="15621" max="15621" width="21.140625" style="50" customWidth="1"/>
    <col min="15622" max="15622" width="13" style="50" customWidth="1"/>
    <col min="15623" max="15623" width="11.5703125" style="50" customWidth="1"/>
    <col min="15624" max="15625" width="13.5703125" style="50" customWidth="1"/>
    <col min="15626" max="15626" width="9.140625" style="50"/>
    <col min="15627" max="15627" width="9.42578125" style="50" customWidth="1"/>
    <col min="15628" max="15628" width="14.85546875" style="50" customWidth="1"/>
    <col min="15629" max="15639" width="0" style="50" hidden="1" customWidth="1"/>
    <col min="15640" max="15640" width="17.7109375" style="50" customWidth="1"/>
    <col min="15641" max="15641" width="25" style="50" customWidth="1"/>
    <col min="15642" max="15642" width="11.5703125" style="50" customWidth="1"/>
    <col min="15643" max="15644" width="11" style="50" customWidth="1"/>
    <col min="15645" max="15645" width="8.42578125" style="50" customWidth="1"/>
    <col min="15646" max="15648" width="6.28515625" style="50" bestFit="1" customWidth="1"/>
    <col min="15649" max="15872" width="9.140625" style="50"/>
    <col min="15873" max="15874" width="9.42578125" style="50" customWidth="1"/>
    <col min="15875" max="15875" width="6.42578125" style="50" customWidth="1"/>
    <col min="15876" max="15876" width="48.85546875" style="50" customWidth="1"/>
    <col min="15877" max="15877" width="21.140625" style="50" customWidth="1"/>
    <col min="15878" max="15878" width="13" style="50" customWidth="1"/>
    <col min="15879" max="15879" width="11.5703125" style="50" customWidth="1"/>
    <col min="15880" max="15881" width="13.5703125" style="50" customWidth="1"/>
    <col min="15882" max="15882" width="9.140625" style="50"/>
    <col min="15883" max="15883" width="9.42578125" style="50" customWidth="1"/>
    <col min="15884" max="15884" width="14.85546875" style="50" customWidth="1"/>
    <col min="15885" max="15895" width="0" style="50" hidden="1" customWidth="1"/>
    <col min="15896" max="15896" width="17.7109375" style="50" customWidth="1"/>
    <col min="15897" max="15897" width="25" style="50" customWidth="1"/>
    <col min="15898" max="15898" width="11.5703125" style="50" customWidth="1"/>
    <col min="15899" max="15900" width="11" style="50" customWidth="1"/>
    <col min="15901" max="15901" width="8.42578125" style="50" customWidth="1"/>
    <col min="15902" max="15904" width="6.28515625" style="50" bestFit="1" customWidth="1"/>
    <col min="15905" max="16128" width="9.140625" style="50"/>
    <col min="16129" max="16130" width="9.42578125" style="50" customWidth="1"/>
    <col min="16131" max="16131" width="6.42578125" style="50" customWidth="1"/>
    <col min="16132" max="16132" width="48.85546875" style="50" customWidth="1"/>
    <col min="16133" max="16133" width="21.140625" style="50" customWidth="1"/>
    <col min="16134" max="16134" width="13" style="50" customWidth="1"/>
    <col min="16135" max="16135" width="11.5703125" style="50" customWidth="1"/>
    <col min="16136" max="16137" width="13.5703125" style="50" customWidth="1"/>
    <col min="16138" max="16138" width="9.140625" style="50"/>
    <col min="16139" max="16139" width="9.42578125" style="50" customWidth="1"/>
    <col min="16140" max="16140" width="14.85546875" style="50" customWidth="1"/>
    <col min="16141" max="16151" width="0" style="50" hidden="1" customWidth="1"/>
    <col min="16152" max="16152" width="17.7109375" style="50" customWidth="1"/>
    <col min="16153" max="16153" width="25" style="50" customWidth="1"/>
    <col min="16154" max="16154" width="11.5703125" style="50" customWidth="1"/>
    <col min="16155" max="16156" width="11" style="50" customWidth="1"/>
    <col min="16157" max="16157" width="8.42578125" style="50" customWidth="1"/>
    <col min="16158" max="16160" width="6.28515625" style="50" bestFit="1" customWidth="1"/>
    <col min="16161" max="16384" width="9.140625" style="50"/>
  </cols>
  <sheetData>
    <row r="1" spans="1:23" s="37" customFormat="1" x14ac:dyDescent="0.2">
      <c r="A1" s="31"/>
      <c r="B1" s="31"/>
      <c r="C1" s="32"/>
      <c r="D1" s="33" t="s">
        <v>55</v>
      </c>
      <c r="E1" s="33" t="s">
        <v>56</v>
      </c>
      <c r="F1" s="34"/>
      <c r="G1" s="34"/>
      <c r="H1" s="35" t="s">
        <v>57</v>
      </c>
      <c r="I1" s="31"/>
      <c r="J1" s="36"/>
      <c r="K1" s="36"/>
      <c r="L1" s="36"/>
      <c r="M1" s="36"/>
      <c r="N1" s="36"/>
      <c r="O1" s="36"/>
      <c r="P1" s="36"/>
      <c r="Q1" s="36"/>
      <c r="R1" s="36"/>
      <c r="S1" s="36"/>
      <c r="T1" s="36"/>
      <c r="U1" s="36"/>
      <c r="V1" s="36"/>
      <c r="W1" s="36"/>
    </row>
    <row r="2" spans="1:23" s="37" customFormat="1" ht="14.25" x14ac:dyDescent="0.2">
      <c r="A2" s="31"/>
      <c r="B2" s="31"/>
      <c r="C2" s="32"/>
      <c r="D2" s="38"/>
      <c r="E2" s="308"/>
      <c r="F2" s="309"/>
      <c r="G2" s="310"/>
      <c r="H2" s="39" t="s">
        <v>57</v>
      </c>
      <c r="I2" s="36"/>
      <c r="J2" s="36"/>
      <c r="K2" s="36"/>
      <c r="L2" s="36"/>
      <c r="M2" s="36"/>
      <c r="N2" s="36"/>
      <c r="O2" s="36"/>
      <c r="P2" s="36"/>
      <c r="Q2" s="36"/>
      <c r="R2" s="36"/>
      <c r="S2" s="36"/>
      <c r="T2" s="36"/>
      <c r="U2" s="36"/>
      <c r="V2" s="36"/>
      <c r="W2" s="36"/>
    </row>
    <row r="3" spans="1:23" s="37" customFormat="1" x14ac:dyDescent="0.2">
      <c r="A3" s="31"/>
      <c r="B3" s="31"/>
      <c r="C3" s="32"/>
      <c r="D3" s="40" t="s">
        <v>58</v>
      </c>
      <c r="E3" s="41"/>
      <c r="F3" s="34"/>
      <c r="G3" s="34"/>
      <c r="H3" s="35" t="s">
        <v>57</v>
      </c>
      <c r="I3" s="36"/>
      <c r="J3" s="36"/>
      <c r="K3" s="36"/>
      <c r="L3" s="36"/>
      <c r="M3" s="36"/>
      <c r="N3" s="36"/>
      <c r="O3" s="36"/>
      <c r="P3" s="36"/>
      <c r="Q3" s="36"/>
      <c r="R3" s="36"/>
      <c r="S3" s="36"/>
      <c r="T3" s="36"/>
      <c r="U3" s="36"/>
      <c r="V3" s="36"/>
      <c r="W3" s="36"/>
    </row>
    <row r="4" spans="1:23" s="37" customFormat="1" ht="14.25" x14ac:dyDescent="0.2">
      <c r="A4" s="42"/>
      <c r="B4" s="42"/>
      <c r="C4" s="32"/>
      <c r="D4" s="308" t="s">
        <v>591</v>
      </c>
      <c r="E4" s="311"/>
      <c r="F4" s="311"/>
      <c r="G4" s="312"/>
      <c r="H4" s="39" t="s">
        <v>57</v>
      </c>
      <c r="I4" s="36"/>
      <c r="J4" s="36"/>
      <c r="K4" s="36"/>
      <c r="L4" s="36"/>
      <c r="M4" s="36"/>
      <c r="N4" s="36"/>
      <c r="O4" s="36"/>
      <c r="P4" s="36"/>
      <c r="Q4" s="36"/>
      <c r="R4" s="36"/>
      <c r="S4" s="36"/>
      <c r="T4" s="36"/>
      <c r="U4" s="36"/>
      <c r="V4" s="36"/>
      <c r="W4" s="36"/>
    </row>
    <row r="5" spans="1:23" s="37" customFormat="1" x14ac:dyDescent="0.2">
      <c r="A5" s="31"/>
      <c r="B5" s="31"/>
      <c r="C5" s="32"/>
      <c r="D5" s="40" t="s">
        <v>59</v>
      </c>
      <c r="E5" s="43" t="s">
        <v>60</v>
      </c>
      <c r="F5" s="34"/>
      <c r="G5" s="34"/>
      <c r="H5" s="35" t="s">
        <v>57</v>
      </c>
      <c r="I5" s="36"/>
      <c r="J5" s="36"/>
      <c r="K5" s="36"/>
      <c r="L5" s="36"/>
      <c r="M5" s="36"/>
      <c r="N5" s="36"/>
      <c r="O5" s="36"/>
      <c r="P5" s="36"/>
      <c r="Q5" s="36"/>
      <c r="R5" s="36"/>
      <c r="S5" s="36"/>
      <c r="T5" s="36"/>
      <c r="U5" s="36"/>
      <c r="V5" s="36"/>
      <c r="W5" s="36"/>
    </row>
    <row r="6" spans="1:23" s="37" customFormat="1" ht="14.25" x14ac:dyDescent="0.2">
      <c r="A6" s="31"/>
      <c r="B6" s="31"/>
      <c r="C6" s="32"/>
      <c r="D6" s="38" t="s">
        <v>592</v>
      </c>
      <c r="E6" s="308"/>
      <c r="F6" s="311"/>
      <c r="G6" s="312"/>
      <c r="H6" s="39" t="s">
        <v>57</v>
      </c>
      <c r="I6" s="36"/>
      <c r="J6" s="44"/>
      <c r="K6" s="36"/>
      <c r="L6" s="45" t="s">
        <v>61</v>
      </c>
      <c r="M6" s="36"/>
      <c r="N6" s="46"/>
      <c r="O6" s="36"/>
      <c r="P6" s="36"/>
      <c r="Q6" s="36"/>
      <c r="R6" s="36"/>
      <c r="S6" s="36"/>
      <c r="T6" s="36"/>
      <c r="U6" s="36"/>
      <c r="V6" s="36"/>
      <c r="W6" s="36"/>
    </row>
    <row r="7" spans="1:23" ht="6" customHeight="1" thickBot="1" x14ac:dyDescent="0.25">
      <c r="A7" s="47"/>
      <c r="B7" s="47"/>
      <c r="C7" s="48"/>
      <c r="D7" s="47"/>
      <c r="E7" s="47"/>
      <c r="F7" s="47"/>
      <c r="G7" s="49"/>
      <c r="H7" s="47"/>
      <c r="I7" s="47"/>
      <c r="J7" s="47"/>
      <c r="K7" s="47"/>
      <c r="L7" s="47"/>
    </row>
    <row r="8" spans="1:23" s="53" customFormat="1" ht="18" customHeight="1" thickBot="1" x14ac:dyDescent="0.25">
      <c r="A8" s="313" t="str">
        <f>IF(N24=1,N26,N25)</f>
        <v>Composição do BDI para obras com mão-de-obra desonerada (conforme Lei 13.161 de 2015)</v>
      </c>
      <c r="B8" s="314"/>
      <c r="C8" s="314"/>
      <c r="D8" s="314"/>
      <c r="E8" s="314"/>
      <c r="F8" s="314"/>
      <c r="G8" s="314"/>
      <c r="H8" s="314"/>
      <c r="I8" s="314"/>
      <c r="J8" s="314"/>
      <c r="K8" s="314"/>
      <c r="L8" s="315"/>
      <c r="M8" s="51"/>
      <c r="N8" s="52" t="b">
        <v>1</v>
      </c>
      <c r="O8" s="51"/>
      <c r="P8" s="51"/>
      <c r="Q8" s="51"/>
      <c r="R8" s="51"/>
      <c r="S8" s="51"/>
      <c r="T8" s="51"/>
      <c r="U8" s="51"/>
      <c r="V8" s="51"/>
      <c r="W8" s="51"/>
    </row>
    <row r="9" spans="1:23" ht="2.1" customHeight="1" x14ac:dyDescent="0.2">
      <c r="A9" s="54"/>
      <c r="B9" s="54"/>
      <c r="C9" s="55"/>
      <c r="D9" s="56"/>
      <c r="E9" s="57"/>
      <c r="F9" s="57"/>
      <c r="G9" s="57"/>
      <c r="H9" s="57"/>
      <c r="I9" s="57"/>
      <c r="J9" s="57"/>
      <c r="K9" s="47"/>
      <c r="L9" s="47"/>
      <c r="O9" s="58"/>
    </row>
    <row r="10" spans="1:23" s="63" customFormat="1" x14ac:dyDescent="0.2">
      <c r="A10" s="54"/>
      <c r="B10" s="54"/>
      <c r="C10" s="55"/>
      <c r="D10" s="59" t="s">
        <v>62</v>
      </c>
      <c r="E10" s="57"/>
      <c r="F10" s="59"/>
      <c r="G10" s="316"/>
      <c r="H10" s="60"/>
      <c r="I10" s="60"/>
      <c r="J10" s="57"/>
      <c r="K10" s="58"/>
      <c r="L10" s="58"/>
      <c r="M10" s="58"/>
      <c r="N10" s="61" t="s">
        <v>63</v>
      </c>
      <c r="O10" s="62">
        <v>1</v>
      </c>
      <c r="P10" s="58" t="str">
        <f>IF(O10=1,N10,IF(O10=2,N11,IF(O10=3,N12,IF(O10=4,N13,IF(O10=5,N14,IF(O10=6,N15," "))))))</f>
        <v>Construção de Edifícios</v>
      </c>
      <c r="Q10" s="58"/>
      <c r="R10" s="58"/>
      <c r="S10" s="58"/>
      <c r="T10" s="58"/>
      <c r="U10" s="58"/>
      <c r="V10" s="58"/>
      <c r="W10" s="58"/>
    </row>
    <row r="11" spans="1:23" s="63" customFormat="1" x14ac:dyDescent="0.2">
      <c r="A11" s="54"/>
      <c r="B11" s="54"/>
      <c r="C11" s="55"/>
      <c r="D11" s="59"/>
      <c r="E11" s="57"/>
      <c r="F11" s="57"/>
      <c r="G11" s="316"/>
      <c r="H11" s="64"/>
      <c r="I11" s="64"/>
      <c r="J11" s="57"/>
      <c r="K11" s="58"/>
      <c r="L11" s="58"/>
      <c r="M11" s="58"/>
      <c r="N11" s="61" t="s">
        <v>64</v>
      </c>
      <c r="O11" s="58"/>
      <c r="P11" s="58"/>
      <c r="Q11" s="58"/>
      <c r="R11" s="61"/>
      <c r="S11" s="58"/>
      <c r="T11" s="58"/>
      <c r="U11" s="58"/>
      <c r="V11" s="58"/>
      <c r="W11" s="58"/>
    </row>
    <row r="12" spans="1:23" s="63" customFormat="1" ht="13.5" thickBot="1" x14ac:dyDescent="0.25">
      <c r="A12" s="54"/>
      <c r="B12" s="54"/>
      <c r="C12" s="55"/>
      <c r="D12" s="59"/>
      <c r="E12" s="57"/>
      <c r="F12" s="57"/>
      <c r="G12" s="57"/>
      <c r="H12" s="57"/>
      <c r="I12" s="57"/>
      <c r="J12" s="57"/>
      <c r="K12" s="58"/>
      <c r="L12" s="58"/>
      <c r="M12" s="58"/>
      <c r="N12" s="61" t="s">
        <v>65</v>
      </c>
      <c r="O12" s="58"/>
      <c r="P12" s="58"/>
      <c r="Q12" s="58"/>
      <c r="R12" s="61"/>
      <c r="S12" s="58"/>
      <c r="T12" s="58"/>
      <c r="U12" s="58"/>
      <c r="V12" s="58"/>
      <c r="W12" s="58"/>
    </row>
    <row r="13" spans="1:23" s="63" customFormat="1" ht="14.1" customHeight="1" thickBot="1" x14ac:dyDescent="0.25">
      <c r="A13" s="54"/>
      <c r="B13" s="54"/>
      <c r="C13" s="305" t="str">
        <f>"COMPOSIÇÃO - BDI para "&amp;P10</f>
        <v>COMPOSIÇÃO - BDI para Construção de Edifícios</v>
      </c>
      <c r="D13" s="306"/>
      <c r="E13" s="306"/>
      <c r="F13" s="306"/>
      <c r="G13" s="306"/>
      <c r="H13" s="306"/>
      <c r="I13" s="307"/>
      <c r="J13" s="47"/>
      <c r="K13" s="58"/>
      <c r="L13" s="58"/>
      <c r="M13" s="58"/>
      <c r="N13" s="61" t="s">
        <v>66</v>
      </c>
      <c r="O13" s="58"/>
      <c r="P13" s="58"/>
      <c r="Q13" s="58"/>
      <c r="R13" s="61"/>
      <c r="S13" s="58"/>
      <c r="T13" s="58"/>
      <c r="U13" s="58"/>
      <c r="V13" s="58"/>
      <c r="W13" s="58"/>
    </row>
    <row r="14" spans="1:23" s="63" customFormat="1" ht="27.95" customHeight="1" x14ac:dyDescent="0.2">
      <c r="A14" s="54"/>
      <c r="B14" s="54"/>
      <c r="C14" s="65" t="s">
        <v>0</v>
      </c>
      <c r="D14" s="66" t="s">
        <v>67</v>
      </c>
      <c r="E14" s="66" t="s">
        <v>68</v>
      </c>
      <c r="F14" s="66" t="s">
        <v>69</v>
      </c>
      <c r="G14" s="66" t="s">
        <v>70</v>
      </c>
      <c r="H14" s="67" t="s">
        <v>71</v>
      </c>
      <c r="I14" s="67" t="s">
        <v>72</v>
      </c>
      <c r="J14" s="47"/>
      <c r="K14" s="58"/>
      <c r="L14" s="58"/>
      <c r="M14" s="58"/>
      <c r="N14" s="61" t="s">
        <v>73</v>
      </c>
      <c r="O14" s="58"/>
      <c r="P14" s="58"/>
      <c r="Q14" s="58"/>
      <c r="R14" s="61"/>
      <c r="S14" s="58"/>
      <c r="T14" s="58"/>
      <c r="U14" s="58"/>
      <c r="V14" s="58"/>
      <c r="W14" s="58"/>
    </row>
    <row r="15" spans="1:23" s="63" customFormat="1" ht="14.1" customHeight="1" x14ac:dyDescent="0.2">
      <c r="A15" s="54"/>
      <c r="B15" s="54"/>
      <c r="C15" s="68">
        <v>1</v>
      </c>
      <c r="D15" s="69" t="s">
        <v>74</v>
      </c>
      <c r="E15" s="70" t="s">
        <v>75</v>
      </c>
      <c r="F15" s="71">
        <v>0.03</v>
      </c>
      <c r="G15" s="72" t="str">
        <f>IF(F15="","",IF(AND(F15&gt;=H15,F15&lt;=I15),"OK",""))</f>
        <v>OK</v>
      </c>
      <c r="H15" s="73">
        <f>INDEX(matriz,$W17,$O$10)</f>
        <v>0.03</v>
      </c>
      <c r="I15" s="73">
        <f>INDEX(matriz2,$W23,$O$10)</f>
        <v>5.5E-2</v>
      </c>
      <c r="J15" s="47"/>
      <c r="K15" s="58"/>
      <c r="L15" s="58"/>
      <c r="M15" s="58"/>
      <c r="N15" s="58" t="s">
        <v>76</v>
      </c>
      <c r="O15" s="58"/>
      <c r="P15" s="58"/>
      <c r="Q15" s="58"/>
      <c r="R15" s="61"/>
      <c r="S15" s="58"/>
      <c r="T15" s="58"/>
      <c r="U15" s="58"/>
      <c r="V15" s="58"/>
      <c r="W15" s="58"/>
    </row>
    <row r="16" spans="1:23" s="63" customFormat="1" ht="14.1" customHeight="1" x14ac:dyDescent="0.2">
      <c r="A16" s="54"/>
      <c r="B16" s="54"/>
      <c r="C16" s="74">
        <v>2</v>
      </c>
      <c r="D16" s="75" t="s">
        <v>77</v>
      </c>
      <c r="E16" s="76" t="s">
        <v>78</v>
      </c>
      <c r="F16" s="77">
        <v>8.0000000000000002E-3</v>
      </c>
      <c r="G16" s="78" t="str">
        <f t="shared" ref="G16:G24" si="0">IF(F16="","",IF(AND(F16&gt;=H16,F16&lt;=I16),"OK",""))</f>
        <v>OK</v>
      </c>
      <c r="H16" s="73">
        <f>INDEX(matriz,$W18,$O$10)</f>
        <v>8.0000000000000002E-3</v>
      </c>
      <c r="I16" s="73">
        <f>INDEX(matriz2,$W24,$O$10)</f>
        <v>0.01</v>
      </c>
      <c r="J16" s="47"/>
      <c r="K16" s="58"/>
      <c r="L16" s="58"/>
      <c r="M16" s="58"/>
      <c r="N16" s="61"/>
      <c r="O16" s="58"/>
      <c r="P16" s="61" t="s">
        <v>79</v>
      </c>
      <c r="Q16" s="61">
        <v>1</v>
      </c>
      <c r="R16" s="58">
        <v>2</v>
      </c>
      <c r="S16" s="58">
        <v>3</v>
      </c>
      <c r="T16" s="58">
        <v>4</v>
      </c>
      <c r="U16" s="58">
        <v>5</v>
      </c>
      <c r="V16" s="58">
        <v>6</v>
      </c>
      <c r="W16" s="58"/>
    </row>
    <row r="17" spans="1:23" s="63" customFormat="1" ht="14.1" customHeight="1" x14ac:dyDescent="0.2">
      <c r="A17" s="54"/>
      <c r="B17" s="54"/>
      <c r="C17" s="74">
        <v>3</v>
      </c>
      <c r="D17" s="75" t="s">
        <v>80</v>
      </c>
      <c r="E17" s="76" t="s">
        <v>81</v>
      </c>
      <c r="F17" s="77">
        <v>0.01</v>
      </c>
      <c r="G17" s="78" t="str">
        <f t="shared" si="0"/>
        <v>OK</v>
      </c>
      <c r="H17" s="73">
        <f>INDEX(matriz,$W19,$O$10)</f>
        <v>9.7000000000000003E-3</v>
      </c>
      <c r="I17" s="73">
        <f>INDEX(matriz2,$W25,$O$10)</f>
        <v>1.2699999999999999E-2</v>
      </c>
      <c r="J17" s="47"/>
      <c r="K17" s="79"/>
      <c r="L17" s="58"/>
      <c r="M17" s="58"/>
      <c r="N17" s="80"/>
      <c r="O17" s="58"/>
      <c r="P17" s="58"/>
      <c r="Q17" s="81">
        <v>0.03</v>
      </c>
      <c r="R17" s="81">
        <v>3.7999999999999999E-2</v>
      </c>
      <c r="S17" s="81">
        <v>3.4299999999999997E-2</v>
      </c>
      <c r="T17" s="81">
        <v>5.2900000000000003E-2</v>
      </c>
      <c r="U17" s="81">
        <v>0.04</v>
      </c>
      <c r="V17" s="81">
        <v>1.4999999999999999E-2</v>
      </c>
      <c r="W17" s="58">
        <v>1</v>
      </c>
    </row>
    <row r="18" spans="1:23" s="63" customFormat="1" ht="14.1" customHeight="1" x14ac:dyDescent="0.2">
      <c r="A18" s="54"/>
      <c r="B18" s="54"/>
      <c r="C18" s="74">
        <v>4</v>
      </c>
      <c r="D18" s="75" t="s">
        <v>82</v>
      </c>
      <c r="E18" s="76" t="s">
        <v>83</v>
      </c>
      <c r="F18" s="77">
        <v>7.0000000000000001E-3</v>
      </c>
      <c r="G18" s="78" t="str">
        <f t="shared" si="0"/>
        <v>OK</v>
      </c>
      <c r="H18" s="73">
        <f>INDEX(matriz,$W20,$O$10)</f>
        <v>5.8999999999999999E-3</v>
      </c>
      <c r="I18" s="73">
        <f>INDEX(matriz2,$W26,$O$10)</f>
        <v>1.3899999999999999E-2</v>
      </c>
      <c r="J18" s="47"/>
      <c r="K18" s="79"/>
      <c r="L18" s="58"/>
      <c r="M18" s="58"/>
      <c r="N18" s="82">
        <f>((((1+F15+F16+F17)*(1+F18)*(1+F19))/(1-(F20-0.045))-1))</f>
        <v>0.20399875736475592</v>
      </c>
      <c r="O18" s="58"/>
      <c r="P18" s="58"/>
      <c r="Q18" s="81">
        <v>8.0000000000000002E-3</v>
      </c>
      <c r="R18" s="81">
        <v>3.2000000000000002E-3</v>
      </c>
      <c r="S18" s="81">
        <v>2.8E-3</v>
      </c>
      <c r="T18" s="81">
        <v>2.5000000000000001E-3</v>
      </c>
      <c r="U18" s="81">
        <v>8.0999999999999996E-3</v>
      </c>
      <c r="V18" s="81">
        <v>3.0000000000000001E-3</v>
      </c>
      <c r="W18" s="58">
        <v>2</v>
      </c>
    </row>
    <row r="19" spans="1:23" s="63" customFormat="1" ht="14.1" customHeight="1" x14ac:dyDescent="0.2">
      <c r="A19" s="54"/>
      <c r="B19" s="54"/>
      <c r="C19" s="74">
        <v>5</v>
      </c>
      <c r="D19" s="75" t="s">
        <v>84</v>
      </c>
      <c r="E19" s="76" t="s">
        <v>85</v>
      </c>
      <c r="F19" s="77">
        <v>6.5000000000000002E-2</v>
      </c>
      <c r="G19" s="78" t="str">
        <f t="shared" si="0"/>
        <v>OK</v>
      </c>
      <c r="H19" s="73">
        <f>INDEX(matriz,$W21,$O$10)</f>
        <v>6.1600000000000002E-2</v>
      </c>
      <c r="I19" s="73">
        <f>INDEX(matriz2,$W27,$O$10)</f>
        <v>8.9599999999999999E-2</v>
      </c>
      <c r="J19" s="47"/>
      <c r="K19" s="79"/>
      <c r="L19" s="58"/>
      <c r="M19" s="58"/>
      <c r="N19" s="80" t="str">
        <f>"Percentual de BDI superior ao limite estipulado pelo Acórdão TCU 2.622/2013 devido a soma de 4,5% (CPRB, conforme LEI 13.161/2015) no item Tributos, referente a desoneração na Contribuição Previdenciária. O cálculo dessa composição onerada resulta em " &amp;N22</f>
        <v>Percentual de BDI superior ao limite estipulado pelo Acórdão TCU 2.622/2013 devido a soma de 4,5% (CPRB, conforme LEI 13.161/2015) no item Tributos, referente a desoneração na Contribuição Previdenciária. O cálculo dessa composição onerada resulta em 20,4%</v>
      </c>
      <c r="O19" s="58"/>
      <c r="P19" s="58"/>
      <c r="Q19" s="81">
        <v>9.7000000000000003E-3</v>
      </c>
      <c r="R19" s="81">
        <v>5.0000000000000001E-3</v>
      </c>
      <c r="S19" s="81">
        <v>0.01</v>
      </c>
      <c r="T19" s="81">
        <v>0.01</v>
      </c>
      <c r="U19" s="81">
        <v>1.46E-2</v>
      </c>
      <c r="V19" s="81">
        <v>5.5999999999999999E-3</v>
      </c>
      <c r="W19" s="58">
        <v>3</v>
      </c>
    </row>
    <row r="20" spans="1:23" s="63" customFormat="1" ht="14.1" customHeight="1" x14ac:dyDescent="0.2">
      <c r="A20" s="54"/>
      <c r="B20" s="54"/>
      <c r="C20" s="74">
        <v>6</v>
      </c>
      <c r="D20" s="75" t="s">
        <v>86</v>
      </c>
      <c r="E20" s="76" t="s">
        <v>87</v>
      </c>
      <c r="F20" s="83">
        <f>SUM(F21:F24)</f>
        <v>0.11149999999999999</v>
      </c>
      <c r="G20" s="78" t="str">
        <f t="shared" si="0"/>
        <v>OK</v>
      </c>
      <c r="H20" s="73">
        <f>IF(N24=1,0.0365,0.0815)</f>
        <v>8.1500000000000003E-2</v>
      </c>
      <c r="I20" s="73">
        <f>IF(N24=1,0.0865,0.1315)</f>
        <v>0.13150000000000001</v>
      </c>
      <c r="J20" s="47"/>
      <c r="K20" s="58"/>
      <c r="L20" s="58"/>
      <c r="M20" s="58"/>
      <c r="N20" s="84">
        <f>ROUND(N18*100,2)</f>
        <v>20.399999999999999</v>
      </c>
      <c r="O20" s="58"/>
      <c r="P20" s="58"/>
      <c r="Q20" s="81">
        <v>5.8999999999999999E-3</v>
      </c>
      <c r="R20" s="81">
        <v>1.0200000000000001E-2</v>
      </c>
      <c r="S20" s="81">
        <v>9.4000000000000004E-3</v>
      </c>
      <c r="T20" s="81">
        <v>1.01E-2</v>
      </c>
      <c r="U20" s="81">
        <v>9.4000000000000004E-3</v>
      </c>
      <c r="V20" s="81">
        <v>8.5000000000000006E-3</v>
      </c>
      <c r="W20" s="58">
        <v>4</v>
      </c>
    </row>
    <row r="21" spans="1:23" s="63" customFormat="1" ht="14.1" customHeight="1" thickBot="1" x14ac:dyDescent="0.25">
      <c r="A21" s="319"/>
      <c r="B21" s="319"/>
      <c r="C21" s="74" t="s">
        <v>48</v>
      </c>
      <c r="D21" s="75" t="s">
        <v>88</v>
      </c>
      <c r="E21" s="76" t="s">
        <v>88</v>
      </c>
      <c r="F21" s="83">
        <v>6.4999999999999997E-3</v>
      </c>
      <c r="G21" s="78" t="str">
        <f t="shared" si="0"/>
        <v>OK</v>
      </c>
      <c r="H21" s="73">
        <v>6.4999999999999997E-3</v>
      </c>
      <c r="I21" s="73">
        <v>6.4999999999999997E-3</v>
      </c>
      <c r="J21" s="320" t="str">
        <f>IF(N24=2,"Foi incluída a CPRB com a alíquota de 4,50% sobre a Receita Bruta"," ")</f>
        <v>Foi incluída a CPRB com a alíquota de 4,50% sobre a Receita Bruta</v>
      </c>
      <c r="K21" s="320"/>
      <c r="L21" s="320"/>
      <c r="M21" s="58"/>
      <c r="N21" s="80" t="s">
        <v>89</v>
      </c>
      <c r="O21" s="58"/>
      <c r="P21" s="58"/>
      <c r="Q21" s="81">
        <v>6.1600000000000002E-2</v>
      </c>
      <c r="R21" s="81">
        <v>6.6400000000000001E-2</v>
      </c>
      <c r="S21" s="81">
        <v>6.7400000000000002E-2</v>
      </c>
      <c r="T21" s="81">
        <v>0.08</v>
      </c>
      <c r="U21" s="81">
        <v>7.1400000000000005E-2</v>
      </c>
      <c r="V21" s="81">
        <v>3.5000000000000003E-2</v>
      </c>
      <c r="W21" s="58">
        <v>5</v>
      </c>
    </row>
    <row r="22" spans="1:23" ht="14.1" customHeight="1" x14ac:dyDescent="0.2">
      <c r="A22" s="321" t="s">
        <v>90</v>
      </c>
      <c r="B22" s="323" t="s">
        <v>91</v>
      </c>
      <c r="C22" s="74" t="s">
        <v>49</v>
      </c>
      <c r="D22" s="75" t="s">
        <v>92</v>
      </c>
      <c r="E22" s="76" t="s">
        <v>92</v>
      </c>
      <c r="F22" s="83">
        <v>0.03</v>
      </c>
      <c r="G22" s="78" t="str">
        <f t="shared" si="0"/>
        <v>OK</v>
      </c>
      <c r="H22" s="73">
        <v>0.03</v>
      </c>
      <c r="I22" s="73">
        <v>0.03</v>
      </c>
      <c r="J22" s="320"/>
      <c r="K22" s="320"/>
      <c r="L22" s="320"/>
      <c r="N22" s="85" t="str">
        <f>N20&amp;N21</f>
        <v>20,4%</v>
      </c>
      <c r="P22" s="86" t="s">
        <v>93</v>
      </c>
      <c r="Q22" s="86">
        <v>1</v>
      </c>
      <c r="R22" s="47">
        <v>2</v>
      </c>
      <c r="S22" s="47">
        <v>3</v>
      </c>
      <c r="T22" s="47">
        <v>4</v>
      </c>
      <c r="U22" s="47">
        <v>5</v>
      </c>
      <c r="V22" s="47">
        <v>6</v>
      </c>
    </row>
    <row r="23" spans="1:23" ht="14.1" customHeight="1" thickBot="1" x14ac:dyDescent="0.25">
      <c r="A23" s="322"/>
      <c r="B23" s="324"/>
      <c r="C23" s="87" t="s">
        <v>50</v>
      </c>
      <c r="D23" s="88" t="s">
        <v>94</v>
      </c>
      <c r="E23" s="89" t="s">
        <v>95</v>
      </c>
      <c r="F23" s="90">
        <f>IF(N24=1,0,0.045)</f>
        <v>4.4999999999999998E-2</v>
      </c>
      <c r="G23" s="78" t="str">
        <f t="shared" si="0"/>
        <v>OK</v>
      </c>
      <c r="H23" s="91">
        <f>IF(N24=1,0,0.045)</f>
        <v>4.4999999999999998E-2</v>
      </c>
      <c r="I23" s="91">
        <f>IF(N24=1,0,0.045)</f>
        <v>4.4999999999999998E-2</v>
      </c>
      <c r="J23" s="92"/>
      <c r="K23" s="92"/>
      <c r="L23" s="92"/>
      <c r="N23" s="85"/>
      <c r="Q23" s="81">
        <v>5.5E-2</v>
      </c>
      <c r="R23" s="81">
        <v>4.6699999999999998E-2</v>
      </c>
      <c r="S23" s="81">
        <v>6.7100000000000007E-2</v>
      </c>
      <c r="T23" s="81">
        <v>7.9299999999999995E-2</v>
      </c>
      <c r="U23" s="81">
        <v>7.85E-2</v>
      </c>
      <c r="V23" s="81">
        <v>4.4900000000000002E-2</v>
      </c>
      <c r="W23" s="47">
        <v>1</v>
      </c>
    </row>
    <row r="24" spans="1:23" ht="14.1" customHeight="1" thickBot="1" x14ac:dyDescent="0.25">
      <c r="A24" s="93">
        <v>0.03</v>
      </c>
      <c r="B24" s="94">
        <v>1</v>
      </c>
      <c r="C24" s="95" t="s">
        <v>96</v>
      </c>
      <c r="D24" s="96" t="s">
        <v>97</v>
      </c>
      <c r="E24" s="97" t="s">
        <v>97</v>
      </c>
      <c r="F24" s="98">
        <f>A24*B24</f>
        <v>0.03</v>
      </c>
      <c r="G24" s="99" t="str">
        <f t="shared" si="0"/>
        <v>OK</v>
      </c>
      <c r="H24" s="100">
        <f>IF(B24=0,0.02,0.02*B24)</f>
        <v>0.02</v>
      </c>
      <c r="I24" s="100">
        <f>IF(B24=0,0.05,0.05*B24)</f>
        <v>0.05</v>
      </c>
      <c r="J24" s="101"/>
      <c r="K24" s="101"/>
      <c r="L24" s="101"/>
      <c r="N24" s="102">
        <f>IF(N8=TRUE,2,1)</f>
        <v>2</v>
      </c>
      <c r="Q24" s="81">
        <v>0.01</v>
      </c>
      <c r="R24" s="81">
        <v>7.4000000000000003E-3</v>
      </c>
      <c r="S24" s="81">
        <v>7.4999999999999997E-3</v>
      </c>
      <c r="T24" s="81">
        <v>5.5999999999999999E-3</v>
      </c>
      <c r="U24" s="81">
        <v>1.9900000000000001E-2</v>
      </c>
      <c r="V24" s="81">
        <v>8.2000000000000007E-3</v>
      </c>
      <c r="W24" s="47">
        <v>2</v>
      </c>
    </row>
    <row r="25" spans="1:23" ht="14.1" customHeight="1" x14ac:dyDescent="0.25">
      <c r="A25" s="54"/>
      <c r="B25" s="54"/>
      <c r="C25" s="55"/>
      <c r="D25" s="59"/>
      <c r="E25" s="325" t="s">
        <v>98</v>
      </c>
      <c r="F25" s="326"/>
      <c r="G25" s="327"/>
      <c r="H25" s="328" t="str">
        <f>IF(O10=1,S30,IF(O10=2,S31,IF(O10=3,S32,IF(O10=4,S33,IF(O10=5,S34,IF(O10=6,S35," "))))))</f>
        <v>de 20,34% a 25,00%</v>
      </c>
      <c r="I25" s="329"/>
      <c r="J25" s="103"/>
      <c r="K25" s="103"/>
      <c r="L25" s="103"/>
      <c r="N25" s="86" t="s">
        <v>99</v>
      </c>
      <c r="Q25" s="81">
        <v>1.2699999999999999E-2</v>
      </c>
      <c r="R25" s="81">
        <v>9.7000000000000003E-3</v>
      </c>
      <c r="S25" s="81">
        <v>1.7399999999999999E-2</v>
      </c>
      <c r="T25" s="81">
        <v>1.9699999999999999E-2</v>
      </c>
      <c r="U25" s="81">
        <v>3.1600000000000003E-2</v>
      </c>
      <c r="V25" s="81">
        <v>8.8999999999999999E-3</v>
      </c>
      <c r="W25" s="47">
        <v>3</v>
      </c>
    </row>
    <row r="26" spans="1:23" ht="12.75" customHeight="1" thickBot="1" x14ac:dyDescent="0.25">
      <c r="A26" s="54"/>
      <c r="B26" s="330" t="s">
        <v>100</v>
      </c>
      <c r="C26" s="331"/>
      <c r="D26" s="332"/>
      <c r="E26" s="57"/>
      <c r="F26" s="57"/>
      <c r="G26" s="57"/>
      <c r="H26" s="57"/>
      <c r="I26" s="58"/>
      <c r="J26" s="104"/>
      <c r="K26" s="104"/>
      <c r="L26" s="105"/>
      <c r="N26" s="86" t="s">
        <v>101</v>
      </c>
      <c r="Q26" s="81">
        <v>1.3899999999999999E-2</v>
      </c>
      <c r="R26" s="81">
        <v>1.21E-2</v>
      </c>
      <c r="S26" s="81">
        <v>1.17E-2</v>
      </c>
      <c r="T26" s="81">
        <v>1.11E-2</v>
      </c>
      <c r="U26" s="81">
        <v>1.3299999999999999E-2</v>
      </c>
      <c r="V26" s="81">
        <v>1.11E-2</v>
      </c>
      <c r="W26" s="47">
        <v>4</v>
      </c>
    </row>
    <row r="27" spans="1:23" ht="18" customHeight="1" x14ac:dyDescent="0.2">
      <c r="A27" s="106"/>
      <c r="B27" s="107"/>
      <c r="C27" s="108"/>
      <c r="D27" s="59"/>
      <c r="E27" s="333" t="s">
        <v>16</v>
      </c>
      <c r="F27" s="335">
        <f>((((1+F15+F16+F17)*(1+F18)*(1+F19))/(1-F20))-1)</f>
        <v>0.26497787281935814</v>
      </c>
      <c r="G27" s="336" t="str">
        <f>N54</f>
        <v>OK! Percentual do BDI quando calculado sem desoneração atende ao limite estipulado pelo Acórdão TCU 2.622/2013.</v>
      </c>
      <c r="H27" s="337"/>
      <c r="I27" s="338"/>
      <c r="J27" s="58"/>
      <c r="K27" s="58"/>
      <c r="L27" s="58"/>
      <c r="N27" s="47" t="str">
        <f>IF(Q44=2,N44,IF(Q44=3,N45,IF(Q44=4,N46,IF(Q44=5,N47,IF(Q44=6,O48,"Erro")))))</f>
        <v>OK! Percentual do BDI quando calculado sem desoneração atende ao limite estipulado pelo Acórdão TCU 2.622/2013.</v>
      </c>
      <c r="Q27" s="81">
        <v>8.9599999999999999E-2</v>
      </c>
      <c r="R27" s="81">
        <v>8.6900000000000005E-2</v>
      </c>
      <c r="S27" s="81">
        <v>9.4E-2</v>
      </c>
      <c r="T27" s="81">
        <v>9.5100000000000004E-2</v>
      </c>
      <c r="U27" s="81">
        <v>0.1043</v>
      </c>
      <c r="V27" s="81">
        <v>6.2199999999999998E-2</v>
      </c>
      <c r="W27" s="47">
        <v>5</v>
      </c>
    </row>
    <row r="28" spans="1:23" ht="18" customHeight="1" thickBot="1" x14ac:dyDescent="0.25">
      <c r="A28" s="106"/>
      <c r="B28" s="107"/>
      <c r="C28" s="108"/>
      <c r="D28" s="59"/>
      <c r="E28" s="334"/>
      <c r="F28" s="334"/>
      <c r="G28" s="339"/>
      <c r="H28" s="339"/>
      <c r="I28" s="340"/>
      <c r="J28" s="58"/>
      <c r="K28" s="58"/>
      <c r="L28" s="58"/>
      <c r="N28" s="86" t="str">
        <f>IF(R44=2,N44,IF(R44=3,N46,IF(R44=4,O48,"Erro")))</f>
        <v>Percentual do BDI superior ao limite estipulado pelo Acórdão TCU 2.622/2013.</v>
      </c>
    </row>
    <row r="29" spans="1:23" ht="18" customHeight="1" x14ac:dyDescent="0.2">
      <c r="A29" s="109"/>
      <c r="B29" s="110"/>
      <c r="C29" s="111"/>
      <c r="D29" s="112"/>
      <c r="E29" s="57"/>
      <c r="F29" s="57"/>
      <c r="G29" s="341"/>
      <c r="H29" s="342"/>
      <c r="I29" s="343"/>
      <c r="J29" s="58"/>
      <c r="K29" s="58"/>
      <c r="L29" s="58"/>
    </row>
    <row r="30" spans="1:23" ht="12.75" customHeight="1" x14ac:dyDescent="0.2">
      <c r="A30" s="109"/>
      <c r="B30" s="54"/>
      <c r="C30" s="59"/>
      <c r="D30" s="58"/>
      <c r="E30" s="57"/>
      <c r="F30" s="57"/>
      <c r="G30" s="57"/>
      <c r="H30" s="57"/>
      <c r="I30" s="57"/>
      <c r="J30" s="58"/>
      <c r="K30" s="58"/>
      <c r="L30" s="58"/>
      <c r="N30" s="47" t="str">
        <f>(B24*100)&amp;N21</f>
        <v>100%</v>
      </c>
      <c r="P30" s="61" t="s">
        <v>63</v>
      </c>
      <c r="Q30" s="113">
        <v>0.2034</v>
      </c>
      <c r="R30" s="113">
        <v>0.25</v>
      </c>
      <c r="S30" s="86" t="s">
        <v>102</v>
      </c>
      <c r="W30" s="47">
        <v>1</v>
      </c>
    </row>
    <row r="31" spans="1:23" ht="12.75" customHeight="1" x14ac:dyDescent="0.2">
      <c r="A31" s="54"/>
      <c r="B31" s="114" t="s">
        <v>103</v>
      </c>
      <c r="C31" s="115"/>
      <c r="D31" s="116"/>
      <c r="E31" s="116"/>
      <c r="F31" s="116"/>
      <c r="G31" s="116"/>
      <c r="H31" s="116"/>
      <c r="I31" s="116"/>
      <c r="J31" s="58"/>
      <c r="K31" s="58"/>
      <c r="L31" s="58"/>
      <c r="N31" s="47" t="str">
        <f>(A24*100)&amp;N21</f>
        <v>3%</v>
      </c>
      <c r="P31" s="61" t="s">
        <v>64</v>
      </c>
      <c r="Q31" s="113">
        <v>0.19600000000000001</v>
      </c>
      <c r="R31" s="113">
        <v>0.24229999999999999</v>
      </c>
      <c r="S31" s="86" t="s">
        <v>104</v>
      </c>
      <c r="W31" s="47">
        <v>2</v>
      </c>
    </row>
    <row r="32" spans="1:23" ht="12.75" customHeight="1" x14ac:dyDescent="0.2">
      <c r="A32" s="54"/>
      <c r="B32" s="114"/>
      <c r="C32" s="115"/>
      <c r="D32" s="116"/>
      <c r="E32" s="116"/>
      <c r="F32" s="116"/>
      <c r="G32" s="116"/>
      <c r="H32" s="116"/>
      <c r="I32" s="116"/>
      <c r="J32" s="58"/>
      <c r="K32" s="58"/>
      <c r="L32" s="58"/>
      <c r="N32" s="47" t="str">
        <f>" e a sua base de cálculo é de "&amp;N30</f>
        <v xml:space="preserve"> e a sua base de cálculo é de 100%</v>
      </c>
      <c r="P32" s="61" t="s">
        <v>65</v>
      </c>
      <c r="Q32" s="113">
        <v>0.20760000000000001</v>
      </c>
      <c r="R32" s="113">
        <v>0.26440000000000002</v>
      </c>
      <c r="S32" s="86" t="s">
        <v>105</v>
      </c>
      <c r="W32" s="47">
        <v>3</v>
      </c>
    </row>
    <row r="33" spans="1:24" ht="12.75" customHeight="1" x14ac:dyDescent="0.2">
      <c r="A33" s="116"/>
      <c r="B33" s="117"/>
      <c r="C33" s="118"/>
      <c r="D33" s="117"/>
      <c r="E33" s="117"/>
      <c r="F33" s="117"/>
      <c r="G33" s="117"/>
      <c r="H33" s="117"/>
      <c r="I33" s="117"/>
      <c r="J33" s="116"/>
      <c r="K33" s="116"/>
      <c r="L33" s="116"/>
      <c r="N33" s="47" t="str">
        <f>N31&amp;N32</f>
        <v>3% e a sua base de cálculo é de 100%</v>
      </c>
      <c r="P33" s="61" t="s">
        <v>66</v>
      </c>
      <c r="Q33" s="113">
        <v>0.24</v>
      </c>
      <c r="R33" s="113">
        <v>0.27860000000000001</v>
      </c>
      <c r="S33" s="86" t="s">
        <v>106</v>
      </c>
      <c r="W33" s="47">
        <v>4</v>
      </c>
    </row>
    <row r="34" spans="1:24" ht="12.75" customHeight="1" x14ac:dyDescent="0.2">
      <c r="A34" s="117"/>
      <c r="B34" s="117"/>
      <c r="C34" s="118"/>
      <c r="D34" s="117"/>
      <c r="E34" s="117"/>
      <c r="F34" s="117"/>
      <c r="G34" s="119"/>
      <c r="H34" s="117"/>
      <c r="I34" s="117"/>
      <c r="J34" s="117"/>
      <c r="K34" s="117"/>
      <c r="L34" s="117"/>
      <c r="M34" s="58"/>
      <c r="N34" s="61" t="str">
        <f>" sobre o valor total do orçamento."</f>
        <v xml:space="preserve"> sobre o valor total do orçamento.</v>
      </c>
      <c r="O34" s="58"/>
      <c r="P34" s="61" t="s">
        <v>73</v>
      </c>
      <c r="Q34" s="81">
        <v>0.22800000000000001</v>
      </c>
      <c r="R34" s="81">
        <v>0.3095</v>
      </c>
      <c r="S34" s="86" t="s">
        <v>107</v>
      </c>
      <c r="T34" s="58"/>
      <c r="U34" s="58"/>
      <c r="V34" s="58"/>
      <c r="W34" s="58">
        <v>5</v>
      </c>
      <c r="X34" s="63"/>
    </row>
    <row r="35" spans="1:24" s="63" customFormat="1" ht="12.75" customHeight="1" x14ac:dyDescent="0.2">
      <c r="A35" s="117"/>
      <c r="B35" s="117"/>
      <c r="C35" s="118"/>
      <c r="D35" s="117"/>
      <c r="E35" s="117"/>
      <c r="F35" s="117"/>
      <c r="G35" s="119"/>
      <c r="H35" s="117"/>
      <c r="I35" s="117"/>
      <c r="J35" s="117"/>
      <c r="K35" s="117"/>
      <c r="L35" s="117"/>
      <c r="M35" s="58"/>
      <c r="N35" s="58" t="str">
        <f>N33&amp;N34</f>
        <v>3% e a sua base de cálculo é de 100% sobre o valor total do orçamento.</v>
      </c>
      <c r="O35" s="58"/>
      <c r="P35" s="58" t="s">
        <v>76</v>
      </c>
      <c r="Q35" s="81">
        <v>0.111</v>
      </c>
      <c r="R35" s="81">
        <v>0.16800000000000001</v>
      </c>
      <c r="S35" s="86" t="s">
        <v>108</v>
      </c>
      <c r="T35" s="58"/>
      <c r="U35" s="58"/>
      <c r="V35" s="58"/>
      <c r="W35" s="58">
        <v>6</v>
      </c>
    </row>
    <row r="36" spans="1:24" s="63" customFormat="1" ht="12.75" customHeight="1" x14ac:dyDescent="0.2">
      <c r="A36" s="49"/>
      <c r="B36" s="344" t="str">
        <f>IF(N24=2,(IF(Q44=5,N19," "))," ")</f>
        <v>Percentual de BDI superior ao limite estipulado pelo Acórdão TCU 2.622/2013 devido a soma de 4,5% (CPRB, conforme LEI 13.161/2015) no item Tributos, referente a desoneração na Contribuição Previdenciária. O cálculo dessa composição onerada resulta em 20,4%</v>
      </c>
      <c r="C36" s="345"/>
      <c r="D36" s="345"/>
      <c r="E36" s="345"/>
      <c r="F36" s="345"/>
      <c r="G36" s="345"/>
      <c r="H36" s="345"/>
      <c r="I36" s="345"/>
      <c r="J36" s="345"/>
      <c r="K36" s="346"/>
      <c r="L36" s="49"/>
      <c r="M36" s="58"/>
      <c r="N36" s="58"/>
      <c r="O36" s="58"/>
      <c r="P36" s="58"/>
      <c r="Q36" s="58"/>
      <c r="R36" s="58"/>
      <c r="S36" s="58"/>
      <c r="T36" s="58"/>
      <c r="U36" s="58"/>
      <c r="V36" s="58"/>
      <c r="W36" s="58"/>
    </row>
    <row r="37" spans="1:24" s="63" customFormat="1" ht="12.75" customHeight="1" x14ac:dyDescent="0.2">
      <c r="A37" s="49"/>
      <c r="B37" s="347"/>
      <c r="C37" s="348"/>
      <c r="D37" s="348"/>
      <c r="E37" s="348"/>
      <c r="F37" s="348"/>
      <c r="G37" s="348"/>
      <c r="H37" s="348"/>
      <c r="I37" s="348"/>
      <c r="J37" s="348"/>
      <c r="K37" s="349"/>
      <c r="L37" s="49"/>
      <c r="M37" s="58"/>
      <c r="N37" s="58"/>
      <c r="O37" s="58"/>
      <c r="P37" s="61" t="s">
        <v>109</v>
      </c>
      <c r="Q37" s="81">
        <f>INDEX(Q30:R35,O10,1)</f>
        <v>0.2034</v>
      </c>
      <c r="R37" s="81">
        <f>INDEX(Q30:R35,O10,2)</f>
        <v>0.25</v>
      </c>
      <c r="S37" s="58"/>
      <c r="T37" s="58"/>
      <c r="U37" s="58"/>
      <c r="V37" s="58"/>
      <c r="W37" s="58"/>
    </row>
    <row r="38" spans="1:24" s="63" customFormat="1" ht="12.75" customHeight="1" x14ac:dyDescent="0.2">
      <c r="A38" s="49"/>
      <c r="B38" s="120" t="s">
        <v>110</v>
      </c>
      <c r="C38" s="121"/>
      <c r="D38" s="121"/>
      <c r="E38" s="121"/>
      <c r="F38" s="121"/>
      <c r="G38" s="122"/>
      <c r="H38" s="122"/>
      <c r="I38" s="122"/>
      <c r="J38" s="122"/>
      <c r="K38" s="122"/>
      <c r="L38" s="49"/>
      <c r="M38" s="58"/>
      <c r="N38" s="58"/>
      <c r="O38" s="58"/>
      <c r="P38" s="58"/>
      <c r="Q38" s="81"/>
      <c r="R38" s="58"/>
      <c r="S38" s="58"/>
      <c r="T38" s="58"/>
      <c r="U38" s="58"/>
      <c r="V38" s="58"/>
      <c r="W38" s="58"/>
    </row>
    <row r="39" spans="1:24" s="63" customFormat="1" ht="12.75" customHeight="1" x14ac:dyDescent="0.2">
      <c r="A39" s="49"/>
      <c r="B39" s="120" t="str">
        <f>IF(N24=2,"Obs²: O cálculo desta composição de BDI considera a desoneração da contribuição previdenciária, conforme Lei 13.161/2015."," ")</f>
        <v>Obs²: O cálculo desta composição de BDI considera a desoneração da contribuição previdenciária, conforme Lei 13.161/2015.</v>
      </c>
      <c r="C39" s="123"/>
      <c r="D39" s="114"/>
      <c r="E39" s="124"/>
      <c r="F39" s="124"/>
      <c r="G39" s="122"/>
      <c r="H39" s="122"/>
      <c r="I39" s="122"/>
      <c r="J39" s="122"/>
      <c r="K39" s="122"/>
      <c r="L39" s="49"/>
      <c r="M39" s="58"/>
      <c r="N39" s="58"/>
      <c r="O39" s="58"/>
      <c r="P39" s="61" t="s">
        <v>111</v>
      </c>
      <c r="Q39" s="81">
        <f>IF(N24=1,F27,N20/100)</f>
        <v>0.20399999999999999</v>
      </c>
      <c r="R39" s="58"/>
      <c r="S39" s="58"/>
      <c r="T39" s="58"/>
      <c r="U39" s="58"/>
      <c r="V39" s="58"/>
      <c r="W39" s="58"/>
    </row>
    <row r="40" spans="1:24" s="63" customFormat="1" ht="36" customHeight="1" thickBot="1" x14ac:dyDescent="0.25">
      <c r="A40" s="49"/>
      <c r="B40" s="317" t="str">
        <f>IF(N24=2,N50,N51)</f>
        <v>Eu, responsável técnico pelo orçamento, declaro para os devidos fins, que a opção pela desoneração sobre a folha de pagamento é mais adequada para a administração pública.</v>
      </c>
      <c r="C40" s="318"/>
      <c r="D40" s="318"/>
      <c r="E40" s="318"/>
      <c r="F40" s="318"/>
      <c r="G40" s="318"/>
      <c r="H40" s="318"/>
      <c r="I40" s="318"/>
      <c r="J40" s="318"/>
      <c r="K40" s="318"/>
      <c r="L40" s="49"/>
      <c r="M40" s="58"/>
      <c r="N40" s="58"/>
      <c r="O40" s="58"/>
      <c r="P40" s="61"/>
      <c r="Q40" s="58"/>
      <c r="R40" s="58"/>
      <c r="S40" s="81"/>
      <c r="T40" s="81"/>
      <c r="U40" s="58"/>
      <c r="V40" s="58"/>
      <c r="W40" s="58"/>
    </row>
    <row r="41" spans="1:24" s="63" customFormat="1" ht="12.75" customHeight="1" thickTop="1" thickBot="1" x14ac:dyDescent="0.25">
      <c r="A41" s="49"/>
      <c r="B41" s="120"/>
      <c r="C41" s="123"/>
      <c r="D41" s="114"/>
      <c r="E41" s="124"/>
      <c r="F41" s="124"/>
      <c r="G41" s="352" t="s">
        <v>112</v>
      </c>
      <c r="H41" s="353"/>
      <c r="I41" s="353"/>
      <c r="J41" s="353"/>
      <c r="K41" s="354"/>
      <c r="L41" s="58"/>
      <c r="M41" s="58"/>
      <c r="N41" s="58"/>
      <c r="O41" s="61"/>
      <c r="P41" s="58"/>
      <c r="Q41" s="61" t="s">
        <v>113</v>
      </c>
      <c r="R41" s="61" t="s">
        <v>114</v>
      </c>
      <c r="S41" s="61" t="s">
        <v>115</v>
      </c>
      <c r="T41" s="58"/>
      <c r="U41" s="58"/>
      <c r="V41" s="58"/>
      <c r="W41" s="58"/>
    </row>
    <row r="42" spans="1:24" s="63" customFormat="1" ht="13.5" customHeight="1" thickTop="1" x14ac:dyDescent="0.2">
      <c r="A42" s="49"/>
      <c r="B42" s="49"/>
      <c r="C42" s="123"/>
      <c r="D42" s="114"/>
      <c r="E42" s="49"/>
      <c r="F42" s="49"/>
      <c r="G42" s="355" t="str">
        <f>"        Declaro, conforme legislação tributária municipal, que a alíquota do ISS é de "&amp;N35</f>
        <v xml:space="preserve">        Declaro, conforme legislação tributária municipal, que a alíquota do ISS é de 3% e a sua base de cálculo é de 100% sobre o valor total do orçamento.</v>
      </c>
      <c r="H42" s="356"/>
      <c r="I42" s="356"/>
      <c r="J42" s="356"/>
      <c r="K42" s="357"/>
      <c r="L42" s="58"/>
      <c r="M42" s="58"/>
      <c r="N42" s="58"/>
      <c r="O42" s="61"/>
      <c r="P42" s="61" t="s">
        <v>116</v>
      </c>
      <c r="Q42" s="125">
        <f>IF(N18&lt;Q37,1,IF(N18&gt;R37,3,2))</f>
        <v>2</v>
      </c>
      <c r="R42" s="58">
        <f>IF(F27&lt;Q37,1,2)</f>
        <v>2</v>
      </c>
      <c r="S42" s="58"/>
      <c r="T42" s="58"/>
      <c r="U42" s="58"/>
      <c r="V42" s="58"/>
      <c r="W42" s="58"/>
    </row>
    <row r="43" spans="1:24" s="63" customFormat="1" x14ac:dyDescent="0.2">
      <c r="A43" s="361">
        <f>CRONOGRAMA!J3</f>
        <v>44741</v>
      </c>
      <c r="B43" s="361"/>
      <c r="C43" s="361"/>
      <c r="D43" s="114"/>
      <c r="E43" s="58"/>
      <c r="F43" s="126"/>
      <c r="G43" s="358"/>
      <c r="H43" s="359"/>
      <c r="I43" s="359"/>
      <c r="J43" s="359"/>
      <c r="K43" s="360"/>
      <c r="L43" s="116"/>
      <c r="M43" s="116"/>
      <c r="N43" s="116"/>
      <c r="O43" s="116" t="s">
        <v>117</v>
      </c>
      <c r="P43" s="116" t="s">
        <v>118</v>
      </c>
      <c r="Q43" s="127">
        <f>IF(F27&lt;Q37,1,IF(F27&gt;R37,3,2))</f>
        <v>3</v>
      </c>
      <c r="R43" s="116">
        <f>IF(F27&lt;R37,1,2)</f>
        <v>2</v>
      </c>
      <c r="S43" s="116"/>
      <c r="T43" s="116"/>
      <c r="U43" s="116"/>
      <c r="V43" s="116"/>
      <c r="W43" s="116"/>
    </row>
    <row r="44" spans="1:24" s="130" customFormat="1" ht="12.75" customHeight="1" x14ac:dyDescent="0.2">
      <c r="A44" s="362" t="s">
        <v>119</v>
      </c>
      <c r="B44" s="362"/>
      <c r="C44" s="362"/>
      <c r="D44" s="114"/>
      <c r="E44" s="128"/>
      <c r="F44" s="128"/>
      <c r="G44" s="358"/>
      <c r="H44" s="359"/>
      <c r="I44" s="359"/>
      <c r="J44" s="359"/>
      <c r="K44" s="360"/>
      <c r="L44" s="117"/>
      <c r="M44" s="117">
        <v>2</v>
      </c>
      <c r="N44" s="117" t="s">
        <v>120</v>
      </c>
      <c r="O44" s="117" t="s">
        <v>121</v>
      </c>
      <c r="P44" s="129"/>
      <c r="Q44" s="127">
        <f>SUM(Q42:Q43)</f>
        <v>5</v>
      </c>
      <c r="R44" s="117">
        <f>SUM(R42:R43)</f>
        <v>4</v>
      </c>
      <c r="S44" s="117"/>
      <c r="T44" s="117"/>
      <c r="U44" s="117"/>
      <c r="V44" s="117"/>
      <c r="W44" s="117"/>
    </row>
    <row r="45" spans="1:24" s="135" customFormat="1" ht="12.75" customHeight="1" x14ac:dyDescent="0.2">
      <c r="A45" s="47"/>
      <c r="B45" s="47"/>
      <c r="C45" s="48"/>
      <c r="D45" s="124"/>
      <c r="E45" s="131"/>
      <c r="F45" s="132"/>
      <c r="G45" s="133"/>
      <c r="H45" s="126"/>
      <c r="I45" s="124"/>
      <c r="J45" s="126"/>
      <c r="K45" s="134"/>
      <c r="L45" s="117"/>
      <c r="M45" s="117"/>
      <c r="N45" s="117" t="s">
        <v>122</v>
      </c>
      <c r="O45" s="117" t="s">
        <v>123</v>
      </c>
      <c r="P45" s="129"/>
      <c r="Q45" s="117"/>
      <c r="R45" s="117"/>
      <c r="S45" s="117"/>
      <c r="T45" s="117"/>
      <c r="U45" s="117"/>
      <c r="V45" s="117"/>
      <c r="W45" s="117"/>
    </row>
    <row r="46" spans="1:24" s="135" customFormat="1" ht="12.75" customHeight="1" x14ac:dyDescent="0.2">
      <c r="A46" s="47"/>
      <c r="B46" s="47"/>
      <c r="C46" s="48"/>
      <c r="D46" s="49"/>
      <c r="E46" s="136"/>
      <c r="F46" s="137"/>
      <c r="G46" s="133"/>
      <c r="H46" s="126"/>
      <c r="I46" s="124"/>
      <c r="J46" s="126"/>
      <c r="K46" s="134"/>
      <c r="L46" s="117"/>
      <c r="M46" s="117">
        <v>3</v>
      </c>
      <c r="N46" s="117" t="s">
        <v>124</v>
      </c>
      <c r="O46" s="117" t="s">
        <v>125</v>
      </c>
      <c r="P46" s="117"/>
      <c r="Q46" s="117"/>
      <c r="R46" s="117"/>
      <c r="S46" s="117"/>
      <c r="T46" s="117"/>
      <c r="U46" s="117"/>
      <c r="V46" s="117"/>
      <c r="W46" s="117"/>
    </row>
    <row r="47" spans="1:24" s="135" customFormat="1" ht="12.75" customHeight="1" thickBot="1" x14ac:dyDescent="0.25">
      <c r="A47" s="47"/>
      <c r="B47" s="47"/>
      <c r="C47" s="138"/>
      <c r="D47" s="139"/>
      <c r="E47" s="136"/>
      <c r="F47" s="137"/>
      <c r="G47" s="140"/>
      <c r="H47" s="58"/>
      <c r="I47" s="58"/>
      <c r="J47" s="58"/>
      <c r="K47" s="141"/>
      <c r="L47" s="117"/>
      <c r="M47" s="117"/>
      <c r="N47" s="117" t="s">
        <v>126</v>
      </c>
      <c r="O47" s="117" t="s">
        <v>127</v>
      </c>
      <c r="P47" s="117"/>
      <c r="Q47" s="117"/>
      <c r="R47" s="117"/>
      <c r="S47" s="117"/>
      <c r="T47" s="117"/>
      <c r="U47" s="117"/>
      <c r="V47" s="117"/>
      <c r="W47" s="117"/>
    </row>
    <row r="48" spans="1:24" s="135" customFormat="1" ht="14.25" customHeight="1" x14ac:dyDescent="0.2">
      <c r="A48" s="47"/>
      <c r="B48" s="47"/>
      <c r="C48" s="138"/>
      <c r="D48" s="142" t="s">
        <v>128</v>
      </c>
      <c r="E48" s="47"/>
      <c r="F48" s="47"/>
      <c r="G48" s="140"/>
      <c r="H48" s="363" t="s">
        <v>129</v>
      </c>
      <c r="I48" s="363"/>
      <c r="J48" s="363"/>
      <c r="K48" s="141"/>
      <c r="L48" s="47"/>
      <c r="M48" s="117"/>
      <c r="N48" s="117">
        <v>4</v>
      </c>
      <c r="O48" s="117" t="s">
        <v>130</v>
      </c>
      <c r="P48" s="117" t="s">
        <v>131</v>
      </c>
      <c r="Q48" s="117"/>
      <c r="R48" s="117"/>
      <c r="S48" s="117"/>
      <c r="T48" s="117"/>
      <c r="U48" s="117"/>
      <c r="V48" s="117"/>
      <c r="W48" s="117"/>
    </row>
    <row r="49" spans="1:24" s="135" customFormat="1" x14ac:dyDescent="0.2">
      <c r="A49" s="47"/>
      <c r="B49" s="47"/>
      <c r="C49" s="138" t="s">
        <v>132</v>
      </c>
      <c r="D49" s="143" t="s">
        <v>409</v>
      </c>
      <c r="E49" s="47"/>
      <c r="F49" s="47"/>
      <c r="G49" s="144" t="s">
        <v>133</v>
      </c>
      <c r="H49" s="364"/>
      <c r="I49" s="364"/>
      <c r="J49" s="364"/>
      <c r="K49" s="141"/>
      <c r="L49" s="47"/>
      <c r="M49" s="47"/>
      <c r="N49" s="47"/>
      <c r="O49" s="47"/>
      <c r="P49" s="86"/>
      <c r="Q49" s="47"/>
      <c r="R49" s="47"/>
      <c r="S49" s="47"/>
      <c r="T49" s="47"/>
      <c r="U49" s="47"/>
      <c r="V49" s="47"/>
      <c r="W49" s="47"/>
      <c r="X49" s="50"/>
    </row>
    <row r="50" spans="1:24" x14ac:dyDescent="0.2">
      <c r="A50" s="47"/>
      <c r="B50" s="47"/>
      <c r="C50" s="138" t="s">
        <v>134</v>
      </c>
      <c r="D50" s="145" t="s">
        <v>410</v>
      </c>
      <c r="E50" s="47"/>
      <c r="F50" s="47"/>
      <c r="G50" s="146" t="s">
        <v>135</v>
      </c>
      <c r="H50" s="350"/>
      <c r="I50" s="350"/>
      <c r="J50" s="350"/>
      <c r="K50" s="141"/>
      <c r="L50" s="47"/>
      <c r="M50" s="49"/>
      <c r="N50" s="147" t="s">
        <v>136</v>
      </c>
      <c r="O50" s="49"/>
      <c r="P50" s="49"/>
      <c r="Q50" s="49"/>
      <c r="R50" s="49"/>
      <c r="S50" s="49"/>
      <c r="T50" s="49"/>
      <c r="U50" s="49"/>
      <c r="V50" s="49"/>
      <c r="W50" s="49"/>
    </row>
    <row r="51" spans="1:24" ht="13.5" thickBot="1" x14ac:dyDescent="0.25">
      <c r="A51" s="47"/>
      <c r="B51" s="47"/>
      <c r="C51" s="138" t="s">
        <v>137</v>
      </c>
      <c r="D51" s="148" t="s">
        <v>596</v>
      </c>
      <c r="E51" s="47"/>
      <c r="F51" s="47"/>
      <c r="G51" s="149" t="s">
        <v>138</v>
      </c>
      <c r="H51" s="351"/>
      <c r="I51" s="351"/>
      <c r="J51" s="351"/>
      <c r="K51" s="150"/>
      <c r="L51" s="47"/>
      <c r="M51" s="49"/>
      <c r="N51" s="147" t="s">
        <v>139</v>
      </c>
      <c r="O51" s="49"/>
      <c r="P51" s="49"/>
      <c r="Q51" s="49"/>
      <c r="R51" s="49"/>
      <c r="S51" s="49"/>
      <c r="T51" s="49"/>
      <c r="U51" s="49"/>
      <c r="V51" s="49"/>
      <c r="W51" s="49"/>
    </row>
    <row r="52" spans="1:24" ht="9.75" customHeight="1" thickTop="1" x14ac:dyDescent="0.2">
      <c r="A52" s="47"/>
      <c r="B52" s="47"/>
      <c r="C52" s="48"/>
      <c r="D52" s="47"/>
      <c r="E52" s="47"/>
      <c r="F52" s="47"/>
      <c r="G52" s="137"/>
      <c r="H52" s="137"/>
      <c r="I52" s="47"/>
      <c r="J52" s="47"/>
      <c r="K52" s="47"/>
      <c r="L52" s="47"/>
    </row>
    <row r="53" spans="1:24" ht="30.75" customHeight="1" x14ac:dyDescent="0.2"/>
    <row r="54" spans="1:24" ht="11.1" customHeight="1" x14ac:dyDescent="0.2">
      <c r="N54" s="152" t="str">
        <f>IF(N24=1,N57,N58)</f>
        <v>OK! Percentual do BDI quando calculado sem desoneração atende ao limite estipulado pelo Acórdão TCU 2.622/2013.</v>
      </c>
    </row>
    <row r="55" spans="1:24" ht="11.1" customHeight="1" x14ac:dyDescent="0.2">
      <c r="N55" s="152"/>
    </row>
    <row r="56" spans="1:24" ht="11.1" customHeight="1" x14ac:dyDescent="0.2">
      <c r="N56" s="152"/>
    </row>
    <row r="57" spans="1:24" ht="11.1" customHeight="1" x14ac:dyDescent="0.2">
      <c r="N57" s="152" t="str">
        <f>IF(Q39&lt;Q37,N44,IF(Q39&gt;R37,O48,N46))</f>
        <v>OK!</v>
      </c>
      <c r="R57" s="86" t="s">
        <v>140</v>
      </c>
    </row>
    <row r="58" spans="1:24" x14ac:dyDescent="0.2">
      <c r="N58" s="152" t="str">
        <f>IF(Q39&lt;Q37,N44,IF(Q39&gt;R37,O48,N59))</f>
        <v>OK! Percentual do BDI quando calculado sem desoneração atende ao limite estipulado pelo Acórdão TCU 2.622/2013.</v>
      </c>
      <c r="R58" s="86" t="s">
        <v>141</v>
      </c>
    </row>
    <row r="59" spans="1:24" x14ac:dyDescent="0.2">
      <c r="N59" s="152" t="str">
        <f>IF(F27&gt;R37,N47,N46)</f>
        <v>OK! Percentual do BDI quando calculado sem desoneração atende ao limite estipulado pelo Acórdão TCU 2.622/2013.</v>
      </c>
      <c r="R59" s="86" t="s">
        <v>141</v>
      </c>
    </row>
  </sheetData>
  <sheetProtection password="CCED" sheet="1" selectLockedCells="1"/>
  <mergeCells count="26">
    <mergeCell ref="H50:J50"/>
    <mergeCell ref="H51:J51"/>
    <mergeCell ref="G41:K41"/>
    <mergeCell ref="G42:K44"/>
    <mergeCell ref="A43:C43"/>
    <mergeCell ref="A44:C44"/>
    <mergeCell ref="H48:J48"/>
    <mergeCell ref="H49:J49"/>
    <mergeCell ref="B40:K40"/>
    <mergeCell ref="A21:B21"/>
    <mergeCell ref="J21:L22"/>
    <mergeCell ref="A22:A23"/>
    <mergeCell ref="B22:B23"/>
    <mergeCell ref="E25:G25"/>
    <mergeCell ref="H25:I25"/>
    <mergeCell ref="B26:D26"/>
    <mergeCell ref="E27:E28"/>
    <mergeCell ref="F27:F28"/>
    <mergeCell ref="G27:I29"/>
    <mergeCell ref="B36:K37"/>
    <mergeCell ref="C13:I13"/>
    <mergeCell ref="E2:G2"/>
    <mergeCell ref="D4:G4"/>
    <mergeCell ref="E6:G6"/>
    <mergeCell ref="A8:L8"/>
    <mergeCell ref="G10:G11"/>
  </mergeCells>
  <conditionalFormatting sqref="A43 D6:G6 D2:G2 D4:G4 D49:D51 E45:F47 G50:G52 H52">
    <cfRule type="cellIs" dxfId="6" priority="1" stopIfTrue="1" operator="notEqual">
      <formula>""</formula>
    </cfRule>
  </conditionalFormatting>
  <conditionalFormatting sqref="G26">
    <cfRule type="cellIs" dxfId="5" priority="2" stopIfTrue="1" operator="equal">
      <formula>"NÃO OK"</formula>
    </cfRule>
    <cfRule type="cellIs" dxfId="4" priority="3" stopIfTrue="1" operator="equal">
      <formula>"OK"</formula>
    </cfRule>
  </conditionalFormatting>
  <conditionalFormatting sqref="F15:F19 A24:B24 H49:J51">
    <cfRule type="cellIs" dxfId="3" priority="4" stopIfTrue="1" operator="equal">
      <formula>""</formula>
    </cfRule>
  </conditionalFormatting>
  <conditionalFormatting sqref="G27:I29">
    <cfRule type="cellIs" dxfId="2" priority="5" stopIfTrue="1" operator="equal">
      <formula>"OK! Percentual do BDI quando calculado sem desoneração atende ao limite estipulado pelo Acórdão TCU 2.622/2013."</formula>
    </cfRule>
    <cfRule type="cellIs" dxfId="1" priority="6" stopIfTrue="1" operator="equal">
      <formula>"OK!"</formula>
    </cfRule>
    <cfRule type="cellIs" dxfId="0" priority="7" stopIfTrue="1" operator="notEqual">
      <formula>"OK!"</formula>
    </cfRule>
  </conditionalFormatting>
  <dataValidations count="3">
    <dataValidation type="list" allowBlank="1" showInputMessage="1" showErrorMessage="1" promptTitle="Escolha" prompt="o tipo de obra" sqref="D11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WBT11 WLP11 WVL11 D65547 IZ65547 SV65547 ACR65547 AMN65547 AWJ65547 BGF65547 BQB65547 BZX65547 CJT65547 CTP65547 DDL65547 DNH65547 DXD65547 EGZ65547 EQV65547 FAR65547 FKN65547 FUJ65547 GEF65547 GOB65547 GXX65547 HHT65547 HRP65547 IBL65547 ILH65547 IVD65547 JEZ65547 JOV65547 JYR65547 KIN65547 KSJ65547 LCF65547 LMB65547 LVX65547 MFT65547 MPP65547 MZL65547 NJH65547 NTD65547 OCZ65547 OMV65547 OWR65547 PGN65547 PQJ65547 QAF65547 QKB65547 QTX65547 RDT65547 RNP65547 RXL65547 SHH65547 SRD65547 TAZ65547 TKV65547 TUR65547 UEN65547 UOJ65547 UYF65547 VIB65547 VRX65547 WBT65547 WLP65547 WVL65547 D131083 IZ131083 SV131083 ACR131083 AMN131083 AWJ131083 BGF131083 BQB131083 BZX131083 CJT131083 CTP131083 DDL131083 DNH131083 DXD131083 EGZ131083 EQV131083 FAR131083 FKN131083 FUJ131083 GEF131083 GOB131083 GXX131083 HHT131083 HRP131083 IBL131083 ILH131083 IVD131083 JEZ131083 JOV131083 JYR131083 KIN131083 KSJ131083 LCF131083 LMB131083 LVX131083 MFT131083 MPP131083 MZL131083 NJH131083 NTD131083 OCZ131083 OMV131083 OWR131083 PGN131083 PQJ131083 QAF131083 QKB131083 QTX131083 RDT131083 RNP131083 RXL131083 SHH131083 SRD131083 TAZ131083 TKV131083 TUR131083 UEN131083 UOJ131083 UYF131083 VIB131083 VRX131083 WBT131083 WLP131083 WVL131083 D196619 IZ196619 SV196619 ACR196619 AMN196619 AWJ196619 BGF196619 BQB196619 BZX196619 CJT196619 CTP196619 DDL196619 DNH196619 DXD196619 EGZ196619 EQV196619 FAR196619 FKN196619 FUJ196619 GEF196619 GOB196619 GXX196619 HHT196619 HRP196619 IBL196619 ILH196619 IVD196619 JEZ196619 JOV196619 JYR196619 KIN196619 KSJ196619 LCF196619 LMB196619 LVX196619 MFT196619 MPP196619 MZL196619 NJH196619 NTD196619 OCZ196619 OMV196619 OWR196619 PGN196619 PQJ196619 QAF196619 QKB196619 QTX196619 RDT196619 RNP196619 RXL196619 SHH196619 SRD196619 TAZ196619 TKV196619 TUR196619 UEN196619 UOJ196619 UYF196619 VIB196619 VRX196619 WBT196619 WLP196619 WVL196619 D262155 IZ262155 SV262155 ACR262155 AMN262155 AWJ262155 BGF262155 BQB262155 BZX262155 CJT262155 CTP262155 DDL262155 DNH262155 DXD262155 EGZ262155 EQV262155 FAR262155 FKN262155 FUJ262155 GEF262155 GOB262155 GXX262155 HHT262155 HRP262155 IBL262155 ILH262155 IVD262155 JEZ262155 JOV262155 JYR262155 KIN262155 KSJ262155 LCF262155 LMB262155 LVX262155 MFT262155 MPP262155 MZL262155 NJH262155 NTD262155 OCZ262155 OMV262155 OWR262155 PGN262155 PQJ262155 QAF262155 QKB262155 QTX262155 RDT262155 RNP262155 RXL262155 SHH262155 SRD262155 TAZ262155 TKV262155 TUR262155 UEN262155 UOJ262155 UYF262155 VIB262155 VRX262155 WBT262155 WLP262155 WVL262155 D327691 IZ327691 SV327691 ACR327691 AMN327691 AWJ327691 BGF327691 BQB327691 BZX327691 CJT327691 CTP327691 DDL327691 DNH327691 DXD327691 EGZ327691 EQV327691 FAR327691 FKN327691 FUJ327691 GEF327691 GOB327691 GXX327691 HHT327691 HRP327691 IBL327691 ILH327691 IVD327691 JEZ327691 JOV327691 JYR327691 KIN327691 KSJ327691 LCF327691 LMB327691 LVX327691 MFT327691 MPP327691 MZL327691 NJH327691 NTD327691 OCZ327691 OMV327691 OWR327691 PGN327691 PQJ327691 QAF327691 QKB327691 QTX327691 RDT327691 RNP327691 RXL327691 SHH327691 SRD327691 TAZ327691 TKV327691 TUR327691 UEN327691 UOJ327691 UYF327691 VIB327691 VRX327691 WBT327691 WLP327691 WVL327691 D393227 IZ393227 SV393227 ACR393227 AMN393227 AWJ393227 BGF393227 BQB393227 BZX393227 CJT393227 CTP393227 DDL393227 DNH393227 DXD393227 EGZ393227 EQV393227 FAR393227 FKN393227 FUJ393227 GEF393227 GOB393227 GXX393227 HHT393227 HRP393227 IBL393227 ILH393227 IVD393227 JEZ393227 JOV393227 JYR393227 KIN393227 KSJ393227 LCF393227 LMB393227 LVX393227 MFT393227 MPP393227 MZL393227 NJH393227 NTD393227 OCZ393227 OMV393227 OWR393227 PGN393227 PQJ393227 QAF393227 QKB393227 QTX393227 RDT393227 RNP393227 RXL393227 SHH393227 SRD393227 TAZ393227 TKV393227 TUR393227 UEN393227 UOJ393227 UYF393227 VIB393227 VRX393227 WBT393227 WLP393227 WVL393227 D458763 IZ458763 SV458763 ACR458763 AMN458763 AWJ458763 BGF458763 BQB458763 BZX458763 CJT458763 CTP458763 DDL458763 DNH458763 DXD458763 EGZ458763 EQV458763 FAR458763 FKN458763 FUJ458763 GEF458763 GOB458763 GXX458763 HHT458763 HRP458763 IBL458763 ILH458763 IVD458763 JEZ458763 JOV458763 JYR458763 KIN458763 KSJ458763 LCF458763 LMB458763 LVX458763 MFT458763 MPP458763 MZL458763 NJH458763 NTD458763 OCZ458763 OMV458763 OWR458763 PGN458763 PQJ458763 QAF458763 QKB458763 QTX458763 RDT458763 RNP458763 RXL458763 SHH458763 SRD458763 TAZ458763 TKV458763 TUR458763 UEN458763 UOJ458763 UYF458763 VIB458763 VRX458763 WBT458763 WLP458763 WVL458763 D524299 IZ524299 SV524299 ACR524299 AMN524299 AWJ524299 BGF524299 BQB524299 BZX524299 CJT524299 CTP524299 DDL524299 DNH524299 DXD524299 EGZ524299 EQV524299 FAR524299 FKN524299 FUJ524299 GEF524299 GOB524299 GXX524299 HHT524299 HRP524299 IBL524299 ILH524299 IVD524299 JEZ524299 JOV524299 JYR524299 KIN524299 KSJ524299 LCF524299 LMB524299 LVX524299 MFT524299 MPP524299 MZL524299 NJH524299 NTD524299 OCZ524299 OMV524299 OWR524299 PGN524299 PQJ524299 QAF524299 QKB524299 QTX524299 RDT524299 RNP524299 RXL524299 SHH524299 SRD524299 TAZ524299 TKV524299 TUR524299 UEN524299 UOJ524299 UYF524299 VIB524299 VRX524299 WBT524299 WLP524299 WVL524299 D589835 IZ589835 SV589835 ACR589835 AMN589835 AWJ589835 BGF589835 BQB589835 BZX589835 CJT589835 CTP589835 DDL589835 DNH589835 DXD589835 EGZ589835 EQV589835 FAR589835 FKN589835 FUJ589835 GEF589835 GOB589835 GXX589835 HHT589835 HRP589835 IBL589835 ILH589835 IVD589835 JEZ589835 JOV589835 JYR589835 KIN589835 KSJ589835 LCF589835 LMB589835 LVX589835 MFT589835 MPP589835 MZL589835 NJH589835 NTD589835 OCZ589835 OMV589835 OWR589835 PGN589835 PQJ589835 QAF589835 QKB589835 QTX589835 RDT589835 RNP589835 RXL589835 SHH589835 SRD589835 TAZ589835 TKV589835 TUR589835 UEN589835 UOJ589835 UYF589835 VIB589835 VRX589835 WBT589835 WLP589835 WVL589835 D655371 IZ655371 SV655371 ACR655371 AMN655371 AWJ655371 BGF655371 BQB655371 BZX655371 CJT655371 CTP655371 DDL655371 DNH655371 DXD655371 EGZ655371 EQV655371 FAR655371 FKN655371 FUJ655371 GEF655371 GOB655371 GXX655371 HHT655371 HRP655371 IBL655371 ILH655371 IVD655371 JEZ655371 JOV655371 JYR655371 KIN655371 KSJ655371 LCF655371 LMB655371 LVX655371 MFT655371 MPP655371 MZL655371 NJH655371 NTD655371 OCZ655371 OMV655371 OWR655371 PGN655371 PQJ655371 QAF655371 QKB655371 QTX655371 RDT655371 RNP655371 RXL655371 SHH655371 SRD655371 TAZ655371 TKV655371 TUR655371 UEN655371 UOJ655371 UYF655371 VIB655371 VRX655371 WBT655371 WLP655371 WVL655371 D720907 IZ720907 SV720907 ACR720907 AMN720907 AWJ720907 BGF720907 BQB720907 BZX720907 CJT720907 CTP720907 DDL720907 DNH720907 DXD720907 EGZ720907 EQV720907 FAR720907 FKN720907 FUJ720907 GEF720907 GOB720907 GXX720907 HHT720907 HRP720907 IBL720907 ILH720907 IVD720907 JEZ720907 JOV720907 JYR720907 KIN720907 KSJ720907 LCF720907 LMB720907 LVX720907 MFT720907 MPP720907 MZL720907 NJH720907 NTD720907 OCZ720907 OMV720907 OWR720907 PGN720907 PQJ720907 QAF720907 QKB720907 QTX720907 RDT720907 RNP720907 RXL720907 SHH720907 SRD720907 TAZ720907 TKV720907 TUR720907 UEN720907 UOJ720907 UYF720907 VIB720907 VRX720907 WBT720907 WLP720907 WVL720907 D786443 IZ786443 SV786443 ACR786443 AMN786443 AWJ786443 BGF786443 BQB786443 BZX786443 CJT786443 CTP786443 DDL786443 DNH786443 DXD786443 EGZ786443 EQV786443 FAR786443 FKN786443 FUJ786443 GEF786443 GOB786443 GXX786443 HHT786443 HRP786443 IBL786443 ILH786443 IVD786443 JEZ786443 JOV786443 JYR786443 KIN786443 KSJ786443 LCF786443 LMB786443 LVX786443 MFT786443 MPP786443 MZL786443 NJH786443 NTD786443 OCZ786443 OMV786443 OWR786443 PGN786443 PQJ786443 QAF786443 QKB786443 QTX786443 RDT786443 RNP786443 RXL786443 SHH786443 SRD786443 TAZ786443 TKV786443 TUR786443 UEN786443 UOJ786443 UYF786443 VIB786443 VRX786443 WBT786443 WLP786443 WVL786443 D851979 IZ851979 SV851979 ACR851979 AMN851979 AWJ851979 BGF851979 BQB851979 BZX851979 CJT851979 CTP851979 DDL851979 DNH851979 DXD851979 EGZ851979 EQV851979 FAR851979 FKN851979 FUJ851979 GEF851979 GOB851979 GXX851979 HHT851979 HRP851979 IBL851979 ILH851979 IVD851979 JEZ851979 JOV851979 JYR851979 KIN851979 KSJ851979 LCF851979 LMB851979 LVX851979 MFT851979 MPP851979 MZL851979 NJH851979 NTD851979 OCZ851979 OMV851979 OWR851979 PGN851979 PQJ851979 QAF851979 QKB851979 QTX851979 RDT851979 RNP851979 RXL851979 SHH851979 SRD851979 TAZ851979 TKV851979 TUR851979 UEN851979 UOJ851979 UYF851979 VIB851979 VRX851979 WBT851979 WLP851979 WVL851979 D917515 IZ917515 SV917515 ACR917515 AMN917515 AWJ917515 BGF917515 BQB917515 BZX917515 CJT917515 CTP917515 DDL917515 DNH917515 DXD917515 EGZ917515 EQV917515 FAR917515 FKN917515 FUJ917515 GEF917515 GOB917515 GXX917515 HHT917515 HRP917515 IBL917515 ILH917515 IVD917515 JEZ917515 JOV917515 JYR917515 KIN917515 KSJ917515 LCF917515 LMB917515 LVX917515 MFT917515 MPP917515 MZL917515 NJH917515 NTD917515 OCZ917515 OMV917515 OWR917515 PGN917515 PQJ917515 QAF917515 QKB917515 QTX917515 RDT917515 RNP917515 RXL917515 SHH917515 SRD917515 TAZ917515 TKV917515 TUR917515 UEN917515 UOJ917515 UYF917515 VIB917515 VRX917515 WBT917515 WLP917515 WVL917515 D983051 IZ983051 SV983051 ACR983051 AMN983051 AWJ983051 BGF983051 BQB983051 BZX983051 CJT983051 CTP983051 DDL983051 DNH983051 DXD983051 EGZ983051 EQV983051 FAR983051 FKN983051 FUJ983051 GEF983051 GOB983051 GXX983051 HHT983051 HRP983051 IBL983051 ILH983051 IVD983051 JEZ983051 JOV983051 JYR983051 KIN983051 KSJ983051 LCF983051 LMB983051 LVX983051 MFT983051 MPP983051 MZL983051 NJH983051 NTD983051 OCZ983051 OMV983051 OWR983051 PGN983051 PQJ983051 QAF983051 QKB983051 QTX983051 RDT983051 RNP983051 RXL983051 SHH983051 SRD983051 TAZ983051 TKV983051 TUR983051 UEN983051 UOJ983051 UYF983051 VIB983051 VRX983051 WBT983051 WLP983051 WVL983051">
      <formula1>$N$10:$N$14</formula1>
    </dataValidation>
    <dataValidation allowBlank="1" showInputMessage="1" showErrorMessage="1" promptTitle="Data" prompt="Indique a data da assinatura do documento" sqref="A43 IW43 SS43 ACO43 AMK43 AWG43 BGC43 BPY43 BZU43 CJQ43 CTM43 DDI43 DNE43 DXA43 EGW43 EQS43 FAO43 FKK43 FUG43 GEC43 GNY43 GXU43 HHQ43 HRM43 IBI43 ILE43 IVA43 JEW43 JOS43 JYO43 KIK43 KSG43 LCC43 LLY43 LVU43 MFQ43 MPM43 MZI43 NJE43 NTA43 OCW43 OMS43 OWO43 PGK43 PQG43 QAC43 QJY43 QTU43 RDQ43 RNM43 RXI43 SHE43 SRA43 TAW43 TKS43 TUO43 UEK43 UOG43 UYC43 VHY43 VRU43 WBQ43 WLM43 WVI43 A65579 IW65579 SS65579 ACO65579 AMK65579 AWG65579 BGC65579 BPY65579 BZU65579 CJQ65579 CTM65579 DDI65579 DNE65579 DXA65579 EGW65579 EQS65579 FAO65579 FKK65579 FUG65579 GEC65579 GNY65579 GXU65579 HHQ65579 HRM65579 IBI65579 ILE65579 IVA65579 JEW65579 JOS65579 JYO65579 KIK65579 KSG65579 LCC65579 LLY65579 LVU65579 MFQ65579 MPM65579 MZI65579 NJE65579 NTA65579 OCW65579 OMS65579 OWO65579 PGK65579 PQG65579 QAC65579 QJY65579 QTU65579 RDQ65579 RNM65579 RXI65579 SHE65579 SRA65579 TAW65579 TKS65579 TUO65579 UEK65579 UOG65579 UYC65579 VHY65579 VRU65579 WBQ65579 WLM65579 WVI65579 A131115 IW131115 SS131115 ACO131115 AMK131115 AWG131115 BGC131115 BPY131115 BZU131115 CJQ131115 CTM131115 DDI131115 DNE131115 DXA131115 EGW131115 EQS131115 FAO131115 FKK131115 FUG131115 GEC131115 GNY131115 GXU131115 HHQ131115 HRM131115 IBI131115 ILE131115 IVA131115 JEW131115 JOS131115 JYO131115 KIK131115 KSG131115 LCC131115 LLY131115 LVU131115 MFQ131115 MPM131115 MZI131115 NJE131115 NTA131115 OCW131115 OMS131115 OWO131115 PGK131115 PQG131115 QAC131115 QJY131115 QTU131115 RDQ131115 RNM131115 RXI131115 SHE131115 SRA131115 TAW131115 TKS131115 TUO131115 UEK131115 UOG131115 UYC131115 VHY131115 VRU131115 WBQ131115 WLM131115 WVI131115 A196651 IW196651 SS196651 ACO196651 AMK196651 AWG196651 BGC196651 BPY196651 BZU196651 CJQ196651 CTM196651 DDI196651 DNE196651 DXA196651 EGW196651 EQS196651 FAO196651 FKK196651 FUG196651 GEC196651 GNY196651 GXU196651 HHQ196651 HRM196651 IBI196651 ILE196651 IVA196651 JEW196651 JOS196651 JYO196651 KIK196651 KSG196651 LCC196651 LLY196651 LVU196651 MFQ196651 MPM196651 MZI196651 NJE196651 NTA196651 OCW196651 OMS196651 OWO196651 PGK196651 PQG196651 QAC196651 QJY196651 QTU196651 RDQ196651 RNM196651 RXI196651 SHE196651 SRA196651 TAW196651 TKS196651 TUO196651 UEK196651 UOG196651 UYC196651 VHY196651 VRU196651 WBQ196651 WLM196651 WVI196651 A262187 IW262187 SS262187 ACO262187 AMK262187 AWG262187 BGC262187 BPY262187 BZU262187 CJQ262187 CTM262187 DDI262187 DNE262187 DXA262187 EGW262187 EQS262187 FAO262187 FKK262187 FUG262187 GEC262187 GNY262187 GXU262187 HHQ262187 HRM262187 IBI262187 ILE262187 IVA262187 JEW262187 JOS262187 JYO262187 KIK262187 KSG262187 LCC262187 LLY262187 LVU262187 MFQ262187 MPM262187 MZI262187 NJE262187 NTA262187 OCW262187 OMS262187 OWO262187 PGK262187 PQG262187 QAC262187 QJY262187 QTU262187 RDQ262187 RNM262187 RXI262187 SHE262187 SRA262187 TAW262187 TKS262187 TUO262187 UEK262187 UOG262187 UYC262187 VHY262187 VRU262187 WBQ262187 WLM262187 WVI262187 A327723 IW327723 SS327723 ACO327723 AMK327723 AWG327723 BGC327723 BPY327723 BZU327723 CJQ327723 CTM327723 DDI327723 DNE327723 DXA327723 EGW327723 EQS327723 FAO327723 FKK327723 FUG327723 GEC327723 GNY327723 GXU327723 HHQ327723 HRM327723 IBI327723 ILE327723 IVA327723 JEW327723 JOS327723 JYO327723 KIK327723 KSG327723 LCC327723 LLY327723 LVU327723 MFQ327723 MPM327723 MZI327723 NJE327723 NTA327723 OCW327723 OMS327723 OWO327723 PGK327723 PQG327723 QAC327723 QJY327723 QTU327723 RDQ327723 RNM327723 RXI327723 SHE327723 SRA327723 TAW327723 TKS327723 TUO327723 UEK327723 UOG327723 UYC327723 VHY327723 VRU327723 WBQ327723 WLM327723 WVI327723 A393259 IW393259 SS393259 ACO393259 AMK393259 AWG393259 BGC393259 BPY393259 BZU393259 CJQ393259 CTM393259 DDI393259 DNE393259 DXA393259 EGW393259 EQS393259 FAO393259 FKK393259 FUG393259 GEC393259 GNY393259 GXU393259 HHQ393259 HRM393259 IBI393259 ILE393259 IVA393259 JEW393259 JOS393259 JYO393259 KIK393259 KSG393259 LCC393259 LLY393259 LVU393259 MFQ393259 MPM393259 MZI393259 NJE393259 NTA393259 OCW393259 OMS393259 OWO393259 PGK393259 PQG393259 QAC393259 QJY393259 QTU393259 RDQ393259 RNM393259 RXI393259 SHE393259 SRA393259 TAW393259 TKS393259 TUO393259 UEK393259 UOG393259 UYC393259 VHY393259 VRU393259 WBQ393259 WLM393259 WVI393259 A458795 IW458795 SS458795 ACO458795 AMK458795 AWG458795 BGC458795 BPY458795 BZU458795 CJQ458795 CTM458795 DDI458795 DNE458795 DXA458795 EGW458795 EQS458795 FAO458795 FKK458795 FUG458795 GEC458795 GNY458795 GXU458795 HHQ458795 HRM458795 IBI458795 ILE458795 IVA458795 JEW458795 JOS458795 JYO458795 KIK458795 KSG458795 LCC458795 LLY458795 LVU458795 MFQ458795 MPM458795 MZI458795 NJE458795 NTA458795 OCW458795 OMS458795 OWO458795 PGK458795 PQG458795 QAC458795 QJY458795 QTU458795 RDQ458795 RNM458795 RXI458795 SHE458795 SRA458795 TAW458795 TKS458795 TUO458795 UEK458795 UOG458795 UYC458795 VHY458795 VRU458795 WBQ458795 WLM458795 WVI458795 A524331 IW524331 SS524331 ACO524331 AMK524331 AWG524331 BGC524331 BPY524331 BZU524331 CJQ524331 CTM524331 DDI524331 DNE524331 DXA524331 EGW524331 EQS524331 FAO524331 FKK524331 FUG524331 GEC524331 GNY524331 GXU524331 HHQ524331 HRM524331 IBI524331 ILE524331 IVA524331 JEW524331 JOS524331 JYO524331 KIK524331 KSG524331 LCC524331 LLY524331 LVU524331 MFQ524331 MPM524331 MZI524331 NJE524331 NTA524331 OCW524331 OMS524331 OWO524331 PGK524331 PQG524331 QAC524331 QJY524331 QTU524331 RDQ524331 RNM524331 RXI524331 SHE524331 SRA524331 TAW524331 TKS524331 TUO524331 UEK524331 UOG524331 UYC524331 VHY524331 VRU524331 WBQ524331 WLM524331 WVI524331 A589867 IW589867 SS589867 ACO589867 AMK589867 AWG589867 BGC589867 BPY589867 BZU589867 CJQ589867 CTM589867 DDI589867 DNE589867 DXA589867 EGW589867 EQS589867 FAO589867 FKK589867 FUG589867 GEC589867 GNY589867 GXU589867 HHQ589867 HRM589867 IBI589867 ILE589867 IVA589867 JEW589867 JOS589867 JYO589867 KIK589867 KSG589867 LCC589867 LLY589867 LVU589867 MFQ589867 MPM589867 MZI589867 NJE589867 NTA589867 OCW589867 OMS589867 OWO589867 PGK589867 PQG589867 QAC589867 QJY589867 QTU589867 RDQ589867 RNM589867 RXI589867 SHE589867 SRA589867 TAW589867 TKS589867 TUO589867 UEK589867 UOG589867 UYC589867 VHY589867 VRU589867 WBQ589867 WLM589867 WVI589867 A655403 IW655403 SS655403 ACO655403 AMK655403 AWG655403 BGC655403 BPY655403 BZU655403 CJQ655403 CTM655403 DDI655403 DNE655403 DXA655403 EGW655403 EQS655403 FAO655403 FKK655403 FUG655403 GEC655403 GNY655403 GXU655403 HHQ655403 HRM655403 IBI655403 ILE655403 IVA655403 JEW655403 JOS655403 JYO655403 KIK655403 KSG655403 LCC655403 LLY655403 LVU655403 MFQ655403 MPM655403 MZI655403 NJE655403 NTA655403 OCW655403 OMS655403 OWO655403 PGK655403 PQG655403 QAC655403 QJY655403 QTU655403 RDQ655403 RNM655403 RXI655403 SHE655403 SRA655403 TAW655403 TKS655403 TUO655403 UEK655403 UOG655403 UYC655403 VHY655403 VRU655403 WBQ655403 WLM655403 WVI655403 A720939 IW720939 SS720939 ACO720939 AMK720939 AWG720939 BGC720939 BPY720939 BZU720939 CJQ720939 CTM720939 DDI720939 DNE720939 DXA720939 EGW720939 EQS720939 FAO720939 FKK720939 FUG720939 GEC720939 GNY720939 GXU720939 HHQ720939 HRM720939 IBI720939 ILE720939 IVA720939 JEW720939 JOS720939 JYO720939 KIK720939 KSG720939 LCC720939 LLY720939 LVU720939 MFQ720939 MPM720939 MZI720939 NJE720939 NTA720939 OCW720939 OMS720939 OWO720939 PGK720939 PQG720939 QAC720939 QJY720939 QTU720939 RDQ720939 RNM720939 RXI720939 SHE720939 SRA720939 TAW720939 TKS720939 TUO720939 UEK720939 UOG720939 UYC720939 VHY720939 VRU720939 WBQ720939 WLM720939 WVI720939 A786475 IW786475 SS786475 ACO786475 AMK786475 AWG786475 BGC786475 BPY786475 BZU786475 CJQ786475 CTM786475 DDI786475 DNE786475 DXA786475 EGW786475 EQS786475 FAO786475 FKK786475 FUG786475 GEC786475 GNY786475 GXU786475 HHQ786475 HRM786475 IBI786475 ILE786475 IVA786475 JEW786475 JOS786475 JYO786475 KIK786475 KSG786475 LCC786475 LLY786475 LVU786475 MFQ786475 MPM786475 MZI786475 NJE786475 NTA786475 OCW786475 OMS786475 OWO786475 PGK786475 PQG786475 QAC786475 QJY786475 QTU786475 RDQ786475 RNM786475 RXI786475 SHE786475 SRA786475 TAW786475 TKS786475 TUO786475 UEK786475 UOG786475 UYC786475 VHY786475 VRU786475 WBQ786475 WLM786475 WVI786475 A852011 IW852011 SS852011 ACO852011 AMK852011 AWG852011 BGC852011 BPY852011 BZU852011 CJQ852011 CTM852011 DDI852011 DNE852011 DXA852011 EGW852011 EQS852011 FAO852011 FKK852011 FUG852011 GEC852011 GNY852011 GXU852011 HHQ852011 HRM852011 IBI852011 ILE852011 IVA852011 JEW852011 JOS852011 JYO852011 KIK852011 KSG852011 LCC852011 LLY852011 LVU852011 MFQ852011 MPM852011 MZI852011 NJE852011 NTA852011 OCW852011 OMS852011 OWO852011 PGK852011 PQG852011 QAC852011 QJY852011 QTU852011 RDQ852011 RNM852011 RXI852011 SHE852011 SRA852011 TAW852011 TKS852011 TUO852011 UEK852011 UOG852011 UYC852011 VHY852011 VRU852011 WBQ852011 WLM852011 WVI852011 A917547 IW917547 SS917547 ACO917547 AMK917547 AWG917547 BGC917547 BPY917547 BZU917547 CJQ917547 CTM917547 DDI917547 DNE917547 DXA917547 EGW917547 EQS917547 FAO917547 FKK917547 FUG917547 GEC917547 GNY917547 GXU917547 HHQ917547 HRM917547 IBI917547 ILE917547 IVA917547 JEW917547 JOS917547 JYO917547 KIK917547 KSG917547 LCC917547 LLY917547 LVU917547 MFQ917547 MPM917547 MZI917547 NJE917547 NTA917547 OCW917547 OMS917547 OWO917547 PGK917547 PQG917547 QAC917547 QJY917547 QTU917547 RDQ917547 RNM917547 RXI917547 SHE917547 SRA917547 TAW917547 TKS917547 TUO917547 UEK917547 UOG917547 UYC917547 VHY917547 VRU917547 WBQ917547 WLM917547 WVI917547 A983083 IW983083 SS983083 ACO983083 AMK983083 AWG983083 BGC983083 BPY983083 BZU983083 CJQ983083 CTM983083 DDI983083 DNE983083 DXA983083 EGW983083 EQS983083 FAO983083 FKK983083 FUG983083 GEC983083 GNY983083 GXU983083 HHQ983083 HRM983083 IBI983083 ILE983083 IVA983083 JEW983083 JOS983083 JYO983083 KIK983083 KSG983083 LCC983083 LLY983083 LVU983083 MFQ983083 MPM983083 MZI983083 NJE983083 NTA983083 OCW983083 OMS983083 OWO983083 PGK983083 PQG983083 QAC983083 QJY983083 QTU983083 RDQ983083 RNM983083 RXI983083 SHE983083 SRA983083 TAW983083 TKS983083 TUO983083 UEK983083 UOG983083 UYC983083 VHY983083 VRU983083 WBQ983083 WLM983083 WVI983083"/>
    <dataValidation type="custom" allowBlank="1" showInputMessage="1" showErrorMessage="1" sqref="L9 JH9 TD9 ACZ9 AMV9 AWR9 BGN9 BQJ9 CAF9 CKB9 CTX9 DDT9 DNP9 DXL9 EHH9 ERD9 FAZ9 FKV9 FUR9 GEN9 GOJ9 GYF9 HIB9 HRX9 IBT9 ILP9 IVL9 JFH9 JPD9 JYZ9 KIV9 KSR9 LCN9 LMJ9 LWF9 MGB9 MPX9 MZT9 NJP9 NTL9 ODH9 OND9 OWZ9 PGV9 PQR9 QAN9 QKJ9 QUF9 REB9 RNX9 RXT9 SHP9 SRL9 TBH9 TLD9 TUZ9 UEV9 UOR9 UYN9 VIJ9 VSF9 WCB9 WLX9 WVT9 L65545 JH65545 TD65545 ACZ65545 AMV65545 AWR65545 BGN65545 BQJ65545 CAF65545 CKB65545 CTX65545 DDT65545 DNP65545 DXL65545 EHH65545 ERD65545 FAZ65545 FKV65545 FUR65545 GEN65545 GOJ65545 GYF65545 HIB65545 HRX65545 IBT65545 ILP65545 IVL65545 JFH65545 JPD65545 JYZ65545 KIV65545 KSR65545 LCN65545 LMJ65545 LWF65545 MGB65545 MPX65545 MZT65545 NJP65545 NTL65545 ODH65545 OND65545 OWZ65545 PGV65545 PQR65545 QAN65545 QKJ65545 QUF65545 REB65545 RNX65545 RXT65545 SHP65545 SRL65545 TBH65545 TLD65545 TUZ65545 UEV65545 UOR65545 UYN65545 VIJ65545 VSF65545 WCB65545 WLX65545 WVT65545 L131081 JH131081 TD131081 ACZ131081 AMV131081 AWR131081 BGN131081 BQJ131081 CAF131081 CKB131081 CTX131081 DDT131081 DNP131081 DXL131081 EHH131081 ERD131081 FAZ131081 FKV131081 FUR131081 GEN131081 GOJ131081 GYF131081 HIB131081 HRX131081 IBT131081 ILP131081 IVL131081 JFH131081 JPD131081 JYZ131081 KIV131081 KSR131081 LCN131081 LMJ131081 LWF131081 MGB131081 MPX131081 MZT131081 NJP131081 NTL131081 ODH131081 OND131081 OWZ131081 PGV131081 PQR131081 QAN131081 QKJ131081 QUF131081 REB131081 RNX131081 RXT131081 SHP131081 SRL131081 TBH131081 TLD131081 TUZ131081 UEV131081 UOR131081 UYN131081 VIJ131081 VSF131081 WCB131081 WLX131081 WVT131081 L196617 JH196617 TD196617 ACZ196617 AMV196617 AWR196617 BGN196617 BQJ196617 CAF196617 CKB196617 CTX196617 DDT196617 DNP196617 DXL196617 EHH196617 ERD196617 FAZ196617 FKV196617 FUR196617 GEN196617 GOJ196617 GYF196617 HIB196617 HRX196617 IBT196617 ILP196617 IVL196617 JFH196617 JPD196617 JYZ196617 KIV196617 KSR196617 LCN196617 LMJ196617 LWF196617 MGB196617 MPX196617 MZT196617 NJP196617 NTL196617 ODH196617 OND196617 OWZ196617 PGV196617 PQR196617 QAN196617 QKJ196617 QUF196617 REB196617 RNX196617 RXT196617 SHP196617 SRL196617 TBH196617 TLD196617 TUZ196617 UEV196617 UOR196617 UYN196617 VIJ196617 VSF196617 WCB196617 WLX196617 WVT196617 L262153 JH262153 TD262153 ACZ262153 AMV262153 AWR262153 BGN262153 BQJ262153 CAF262153 CKB262153 CTX262153 DDT262153 DNP262153 DXL262153 EHH262153 ERD262153 FAZ262153 FKV262153 FUR262153 GEN262153 GOJ262153 GYF262153 HIB262153 HRX262153 IBT262153 ILP262153 IVL262153 JFH262153 JPD262153 JYZ262153 KIV262153 KSR262153 LCN262153 LMJ262153 LWF262153 MGB262153 MPX262153 MZT262153 NJP262153 NTL262153 ODH262153 OND262153 OWZ262153 PGV262153 PQR262153 QAN262153 QKJ262153 QUF262153 REB262153 RNX262153 RXT262153 SHP262153 SRL262153 TBH262153 TLD262153 TUZ262153 UEV262153 UOR262153 UYN262153 VIJ262153 VSF262153 WCB262153 WLX262153 WVT262153 L327689 JH327689 TD327689 ACZ327689 AMV327689 AWR327689 BGN327689 BQJ327689 CAF327689 CKB327689 CTX327689 DDT327689 DNP327689 DXL327689 EHH327689 ERD327689 FAZ327689 FKV327689 FUR327689 GEN327689 GOJ327689 GYF327689 HIB327689 HRX327689 IBT327689 ILP327689 IVL327689 JFH327689 JPD327689 JYZ327689 KIV327689 KSR327689 LCN327689 LMJ327689 LWF327689 MGB327689 MPX327689 MZT327689 NJP327689 NTL327689 ODH327689 OND327689 OWZ327689 PGV327689 PQR327689 QAN327689 QKJ327689 QUF327689 REB327689 RNX327689 RXT327689 SHP327689 SRL327689 TBH327689 TLD327689 TUZ327689 UEV327689 UOR327689 UYN327689 VIJ327689 VSF327689 WCB327689 WLX327689 WVT327689 L393225 JH393225 TD393225 ACZ393225 AMV393225 AWR393225 BGN393225 BQJ393225 CAF393225 CKB393225 CTX393225 DDT393225 DNP393225 DXL393225 EHH393225 ERD393225 FAZ393225 FKV393225 FUR393225 GEN393225 GOJ393225 GYF393225 HIB393225 HRX393225 IBT393225 ILP393225 IVL393225 JFH393225 JPD393225 JYZ393225 KIV393225 KSR393225 LCN393225 LMJ393225 LWF393225 MGB393225 MPX393225 MZT393225 NJP393225 NTL393225 ODH393225 OND393225 OWZ393225 PGV393225 PQR393225 QAN393225 QKJ393225 QUF393225 REB393225 RNX393225 RXT393225 SHP393225 SRL393225 TBH393225 TLD393225 TUZ393225 UEV393225 UOR393225 UYN393225 VIJ393225 VSF393225 WCB393225 WLX393225 WVT393225 L458761 JH458761 TD458761 ACZ458761 AMV458761 AWR458761 BGN458761 BQJ458761 CAF458761 CKB458761 CTX458761 DDT458761 DNP458761 DXL458761 EHH458761 ERD458761 FAZ458761 FKV458761 FUR458761 GEN458761 GOJ458761 GYF458761 HIB458761 HRX458761 IBT458761 ILP458761 IVL458761 JFH458761 JPD458761 JYZ458761 KIV458761 KSR458761 LCN458761 LMJ458761 LWF458761 MGB458761 MPX458761 MZT458761 NJP458761 NTL458761 ODH458761 OND458761 OWZ458761 PGV458761 PQR458761 QAN458761 QKJ458761 QUF458761 REB458761 RNX458761 RXT458761 SHP458761 SRL458761 TBH458761 TLD458761 TUZ458761 UEV458761 UOR458761 UYN458761 VIJ458761 VSF458761 WCB458761 WLX458761 WVT458761 L524297 JH524297 TD524297 ACZ524297 AMV524297 AWR524297 BGN524297 BQJ524297 CAF524297 CKB524297 CTX524297 DDT524297 DNP524297 DXL524297 EHH524297 ERD524297 FAZ524297 FKV524297 FUR524297 GEN524297 GOJ524297 GYF524297 HIB524297 HRX524297 IBT524297 ILP524297 IVL524297 JFH524297 JPD524297 JYZ524297 KIV524297 KSR524297 LCN524297 LMJ524297 LWF524297 MGB524297 MPX524297 MZT524297 NJP524297 NTL524297 ODH524297 OND524297 OWZ524297 PGV524297 PQR524297 QAN524297 QKJ524297 QUF524297 REB524297 RNX524297 RXT524297 SHP524297 SRL524297 TBH524297 TLD524297 TUZ524297 UEV524297 UOR524297 UYN524297 VIJ524297 VSF524297 WCB524297 WLX524297 WVT524297 L589833 JH589833 TD589833 ACZ589833 AMV589833 AWR589833 BGN589833 BQJ589833 CAF589833 CKB589833 CTX589833 DDT589833 DNP589833 DXL589833 EHH589833 ERD589833 FAZ589833 FKV589833 FUR589833 GEN589833 GOJ589833 GYF589833 HIB589833 HRX589833 IBT589833 ILP589833 IVL589833 JFH589833 JPD589833 JYZ589833 KIV589833 KSR589833 LCN589833 LMJ589833 LWF589833 MGB589833 MPX589833 MZT589833 NJP589833 NTL589833 ODH589833 OND589833 OWZ589833 PGV589833 PQR589833 QAN589833 QKJ589833 QUF589833 REB589833 RNX589833 RXT589833 SHP589833 SRL589833 TBH589833 TLD589833 TUZ589833 UEV589833 UOR589833 UYN589833 VIJ589833 VSF589833 WCB589833 WLX589833 WVT589833 L655369 JH655369 TD655369 ACZ655369 AMV655369 AWR655369 BGN655369 BQJ655369 CAF655369 CKB655369 CTX655369 DDT655369 DNP655369 DXL655369 EHH655369 ERD655369 FAZ655369 FKV655369 FUR655369 GEN655369 GOJ655369 GYF655369 HIB655369 HRX655369 IBT655369 ILP655369 IVL655369 JFH655369 JPD655369 JYZ655369 KIV655369 KSR655369 LCN655369 LMJ655369 LWF655369 MGB655369 MPX655369 MZT655369 NJP655369 NTL655369 ODH655369 OND655369 OWZ655369 PGV655369 PQR655369 QAN655369 QKJ655369 QUF655369 REB655369 RNX655369 RXT655369 SHP655369 SRL655369 TBH655369 TLD655369 TUZ655369 UEV655369 UOR655369 UYN655369 VIJ655369 VSF655369 WCB655369 WLX655369 WVT655369 L720905 JH720905 TD720905 ACZ720905 AMV720905 AWR720905 BGN720905 BQJ720905 CAF720905 CKB720905 CTX720905 DDT720905 DNP720905 DXL720905 EHH720905 ERD720905 FAZ720905 FKV720905 FUR720905 GEN720905 GOJ720905 GYF720905 HIB720905 HRX720905 IBT720905 ILP720905 IVL720905 JFH720905 JPD720905 JYZ720905 KIV720905 KSR720905 LCN720905 LMJ720905 LWF720905 MGB720905 MPX720905 MZT720905 NJP720905 NTL720905 ODH720905 OND720905 OWZ720905 PGV720905 PQR720905 QAN720905 QKJ720905 QUF720905 REB720905 RNX720905 RXT720905 SHP720905 SRL720905 TBH720905 TLD720905 TUZ720905 UEV720905 UOR720905 UYN720905 VIJ720905 VSF720905 WCB720905 WLX720905 WVT720905 L786441 JH786441 TD786441 ACZ786441 AMV786441 AWR786441 BGN786441 BQJ786441 CAF786441 CKB786441 CTX786441 DDT786441 DNP786441 DXL786441 EHH786441 ERD786441 FAZ786441 FKV786441 FUR786441 GEN786441 GOJ786441 GYF786441 HIB786441 HRX786441 IBT786441 ILP786441 IVL786441 JFH786441 JPD786441 JYZ786441 KIV786441 KSR786441 LCN786441 LMJ786441 LWF786441 MGB786441 MPX786441 MZT786441 NJP786441 NTL786441 ODH786441 OND786441 OWZ786441 PGV786441 PQR786441 QAN786441 QKJ786441 QUF786441 REB786441 RNX786441 RXT786441 SHP786441 SRL786441 TBH786441 TLD786441 TUZ786441 UEV786441 UOR786441 UYN786441 VIJ786441 VSF786441 WCB786441 WLX786441 WVT786441 L851977 JH851977 TD851977 ACZ851977 AMV851977 AWR851977 BGN851977 BQJ851977 CAF851977 CKB851977 CTX851977 DDT851977 DNP851977 DXL851977 EHH851977 ERD851977 FAZ851977 FKV851977 FUR851977 GEN851977 GOJ851977 GYF851977 HIB851977 HRX851977 IBT851977 ILP851977 IVL851977 JFH851977 JPD851977 JYZ851977 KIV851977 KSR851977 LCN851977 LMJ851977 LWF851977 MGB851977 MPX851977 MZT851977 NJP851977 NTL851977 ODH851977 OND851977 OWZ851977 PGV851977 PQR851977 QAN851977 QKJ851977 QUF851977 REB851977 RNX851977 RXT851977 SHP851977 SRL851977 TBH851977 TLD851977 TUZ851977 UEV851977 UOR851977 UYN851977 VIJ851977 VSF851977 WCB851977 WLX851977 WVT851977 L917513 JH917513 TD917513 ACZ917513 AMV917513 AWR917513 BGN917513 BQJ917513 CAF917513 CKB917513 CTX917513 DDT917513 DNP917513 DXL917513 EHH917513 ERD917513 FAZ917513 FKV917513 FUR917513 GEN917513 GOJ917513 GYF917513 HIB917513 HRX917513 IBT917513 ILP917513 IVL917513 JFH917513 JPD917513 JYZ917513 KIV917513 KSR917513 LCN917513 LMJ917513 LWF917513 MGB917513 MPX917513 MZT917513 NJP917513 NTL917513 ODH917513 OND917513 OWZ917513 PGV917513 PQR917513 QAN917513 QKJ917513 QUF917513 REB917513 RNX917513 RXT917513 SHP917513 SRL917513 TBH917513 TLD917513 TUZ917513 UEV917513 UOR917513 UYN917513 VIJ917513 VSF917513 WCB917513 WLX917513 WVT917513 L983049 JH983049 TD983049 ACZ983049 AMV983049 AWR983049 BGN983049 BQJ983049 CAF983049 CKB983049 CTX983049 DDT983049 DNP983049 DXL983049 EHH983049 ERD983049 FAZ983049 FKV983049 FUR983049 GEN983049 GOJ983049 GYF983049 HIB983049 HRX983049 IBT983049 ILP983049 IVL983049 JFH983049 JPD983049 JYZ983049 KIV983049 KSR983049 LCN983049 LMJ983049 LWF983049 MGB983049 MPX983049 MZT983049 NJP983049 NTL983049 ODH983049 OND983049 OWZ983049 PGV983049 PQR983049 QAN983049 QKJ983049 QUF983049 REB983049 RNX983049 RXT983049 SHP983049 SRL983049 TBH983049 TLD983049 TUZ983049 UEV983049 UOR983049 UYN983049 VIJ983049 VSF983049 WCB983049 WLX983049 WVT983049">
      <formula1>A1</formula1>
    </dataValidation>
  </dataValidations>
  <printOptions horizontalCentered="1"/>
  <pageMargins left="0.25" right="0.25" top="0.75" bottom="0.75" header="0.3" footer="0.3"/>
  <pageSetup paperSize="9" scale="6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locked="0" defaultSize="0" autoLine="0" autoPict="0" altText="teste">
                <anchor moveWithCells="1">
                  <from>
                    <xdr:col>3</xdr:col>
                    <xdr:colOff>28575</xdr:colOff>
                    <xdr:row>10</xdr:row>
                    <xdr:rowOff>9525</xdr:rowOff>
                  </from>
                  <to>
                    <xdr:col>5</xdr:col>
                    <xdr:colOff>485775</xdr:colOff>
                    <xdr:row>11</xdr:row>
                    <xdr:rowOff>47625</xdr:rowOff>
                  </to>
                </anchor>
              </controlPr>
            </control>
          </mc:Choice>
        </mc:AlternateContent>
        <mc:AlternateContent xmlns:mc="http://schemas.openxmlformats.org/markup-compatibility/2006">
          <mc:Choice Requires="x14">
            <control shapeId="3074" r:id="rId5" name="Check Box 2">
              <controlPr locked="0" defaultSize="0" autoFill="0" autoLine="0" autoPict="0">
                <anchor moveWithCells="1">
                  <from>
                    <xdr:col>9</xdr:col>
                    <xdr:colOff>19050</xdr:colOff>
                    <xdr:row>21</xdr:row>
                    <xdr:rowOff>142875</xdr:rowOff>
                  </from>
                  <to>
                    <xdr:col>11</xdr:col>
                    <xdr:colOff>819150</xdr:colOff>
                    <xdr:row>23</xdr:row>
                    <xdr:rowOff>28575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0"/>
  <sheetViews>
    <sheetView topLeftCell="A22" workbookViewId="0">
      <selection activeCell="B45" sqref="B45"/>
    </sheetView>
  </sheetViews>
  <sheetFormatPr defaultRowHeight="15" x14ac:dyDescent="0.25"/>
  <cols>
    <col min="1" max="1" width="12.5703125" bestFit="1" customWidth="1"/>
    <col min="3" max="3" width="10.28515625" bestFit="1" customWidth="1"/>
    <col min="5" max="5" width="10.42578125" bestFit="1" customWidth="1"/>
    <col min="6" max="6" width="10.28515625" bestFit="1" customWidth="1"/>
  </cols>
  <sheetData>
    <row r="1" spans="1:23" x14ac:dyDescent="0.25">
      <c r="A1">
        <v>60.79</v>
      </c>
      <c r="E1">
        <v>5.2</v>
      </c>
      <c r="F1" t="s">
        <v>412</v>
      </c>
    </row>
    <row r="2" spans="1:23" x14ac:dyDescent="0.25">
      <c r="A2">
        <v>6.45</v>
      </c>
    </row>
    <row r="3" spans="1:23" x14ac:dyDescent="0.25">
      <c r="A3">
        <v>8.1</v>
      </c>
      <c r="O3">
        <v>60.78</v>
      </c>
      <c r="Q3">
        <f>3.09*2.15</f>
        <v>6.6434999999999995</v>
      </c>
      <c r="U3">
        <f>2.85+2.85+3.09+3.09</f>
        <v>11.879999999999999</v>
      </c>
    </row>
    <row r="4" spans="1:23" x14ac:dyDescent="0.25">
      <c r="E4">
        <f>15.37+6.4</f>
        <v>21.77</v>
      </c>
      <c r="O4">
        <v>8.75</v>
      </c>
      <c r="Q4">
        <f>1.79*2.79</f>
        <v>4.9941000000000004</v>
      </c>
      <c r="U4">
        <f>4.5+4.5+4.8+4.8</f>
        <v>18.600000000000001</v>
      </c>
    </row>
    <row r="5" spans="1:23" x14ac:dyDescent="0.25">
      <c r="E5">
        <f>3+10.5+5.4+1.7+4.2+7.8+2.8</f>
        <v>35.399999999999991</v>
      </c>
      <c r="O5">
        <v>20.93</v>
      </c>
      <c r="Q5">
        <f>Q3-Q4</f>
        <v>1.6493999999999991</v>
      </c>
    </row>
    <row r="6" spans="1:23" x14ac:dyDescent="0.25">
      <c r="A6">
        <f>SUM(A1:A5)</f>
        <v>75.339999999999989</v>
      </c>
      <c r="E6">
        <f>(E5+E4)*0.6</f>
        <v>34.301999999999992</v>
      </c>
      <c r="G6">
        <v>36</v>
      </c>
      <c r="O6">
        <v>10.36</v>
      </c>
    </row>
    <row r="7" spans="1:23" x14ac:dyDescent="0.25">
      <c r="O7">
        <v>8.81</v>
      </c>
    </row>
    <row r="8" spans="1:23" x14ac:dyDescent="0.25">
      <c r="O8">
        <v>4.6399999999999997</v>
      </c>
    </row>
    <row r="9" spans="1:23" x14ac:dyDescent="0.25">
      <c r="O9">
        <f>O3-(SUM(O4:O8))</f>
        <v>7.2899999999999991</v>
      </c>
      <c r="Q9">
        <f>O9+Q5</f>
        <v>8.9393999999999991</v>
      </c>
    </row>
    <row r="10" spans="1:23" x14ac:dyDescent="0.25">
      <c r="A10">
        <v>3</v>
      </c>
      <c r="B10">
        <v>39.94</v>
      </c>
      <c r="C10">
        <f>B10*A10</f>
        <v>119.82</v>
      </c>
      <c r="L10">
        <v>53.49</v>
      </c>
      <c r="Q10" s="210">
        <f>Q9*0.4</f>
        <v>3.5757599999999998</v>
      </c>
    </row>
    <row r="11" spans="1:23" x14ac:dyDescent="0.25">
      <c r="A11">
        <v>1</v>
      </c>
      <c r="B11">
        <v>446.92</v>
      </c>
      <c r="C11">
        <f t="shared" ref="C11:C17" si="0">B11*A11</f>
        <v>446.92</v>
      </c>
      <c r="L11">
        <f>Q4</f>
        <v>4.9941000000000004</v>
      </c>
    </row>
    <row r="12" spans="1:23" x14ac:dyDescent="0.25">
      <c r="A12">
        <v>80</v>
      </c>
      <c r="B12">
        <v>9.6199999999999992</v>
      </c>
      <c r="C12">
        <f t="shared" si="0"/>
        <v>769.59999999999991</v>
      </c>
      <c r="L12">
        <f>L11+L10</f>
        <v>58.484100000000005</v>
      </c>
      <c r="Q12" s="210">
        <f>17*(0.3*0.15*3)</f>
        <v>2.2949999999999999</v>
      </c>
    </row>
    <row r="13" spans="1:23" x14ac:dyDescent="0.25">
      <c r="A13">
        <v>23</v>
      </c>
      <c r="B13">
        <v>3.01</v>
      </c>
      <c r="C13">
        <f t="shared" si="0"/>
        <v>69.22999999999999</v>
      </c>
      <c r="E13">
        <v>2745</v>
      </c>
      <c r="L13">
        <f>L12*0.06</f>
        <v>3.5090460000000001</v>
      </c>
      <c r="T13">
        <f>7.4186*8.1927</f>
        <v>60.77836422</v>
      </c>
    </row>
    <row r="14" spans="1:23" x14ac:dyDescent="0.25">
      <c r="A14">
        <v>2.4</v>
      </c>
      <c r="B14">
        <v>21.75</v>
      </c>
      <c r="C14">
        <f t="shared" si="0"/>
        <v>52.199999999999996</v>
      </c>
      <c r="P14">
        <f>13*1.2*0.5*0.4</f>
        <v>3.12</v>
      </c>
      <c r="T14">
        <f>T13-((2.4686*4.1974)+(2.4687*3.5452)+(4.5*4.6502)+(3.0925*2.725)+(3.0925*1.5))</f>
        <v>7.6729148400000042</v>
      </c>
      <c r="W14">
        <f>T14</f>
        <v>7.6729148400000042</v>
      </c>
    </row>
    <row r="15" spans="1:23" x14ac:dyDescent="0.25">
      <c r="A15">
        <v>36.799999999999997</v>
      </c>
      <c r="B15">
        <v>2.5499999999999998</v>
      </c>
      <c r="C15">
        <f t="shared" si="0"/>
        <v>93.839999999999989</v>
      </c>
      <c r="P15">
        <f>4*0.6*0.6*0.4</f>
        <v>0.57599999999999996</v>
      </c>
      <c r="T15">
        <f>T14*0.4</f>
        <v>3.0691659360000019</v>
      </c>
      <c r="W15">
        <f>W14+((7.41+7.11+8.05+7.89+3.09+3.09+3.09+3.09+4.19+2.46+2.46+2.46+4.5+4.5+4.65+4.65+3.54+3.54)*0.4)</f>
        <v>39.58091484000002</v>
      </c>
    </row>
    <row r="16" spans="1:23" x14ac:dyDescent="0.25">
      <c r="A16">
        <v>12</v>
      </c>
      <c r="B16">
        <v>12.64</v>
      </c>
      <c r="C16">
        <f t="shared" si="0"/>
        <v>151.68</v>
      </c>
      <c r="P16" s="210">
        <f>P15+P14</f>
        <v>3.6960000000000002</v>
      </c>
    </row>
    <row r="17" spans="1:23" x14ac:dyDescent="0.25">
      <c r="A17">
        <v>0.06</v>
      </c>
      <c r="B17">
        <v>73.849999999999994</v>
      </c>
      <c r="C17">
        <f t="shared" si="0"/>
        <v>4.4309999999999992</v>
      </c>
      <c r="T17">
        <f>12*1.2*0.5*0.4</f>
        <v>2.88</v>
      </c>
      <c r="W17">
        <f>((2.0865*3.0883)-(1.7865*2.7884))+((3.0883+2.0865+1.7865+1.7865+2.78+2.78)*0.4)</f>
        <v>7.1853813499999992</v>
      </c>
    </row>
    <row r="18" spans="1:23" x14ac:dyDescent="0.25">
      <c r="C18" s="209">
        <f>SUM(C10:C17)</f>
        <v>1707.721</v>
      </c>
      <c r="Q18">
        <f>P16+Q12+Q10</f>
        <v>9.5667599999999986</v>
      </c>
      <c r="T18">
        <f>4*0.6*0.6</f>
        <v>1.44</v>
      </c>
      <c r="W18">
        <f>W17+W15</f>
        <v>46.76629619000002</v>
      </c>
    </row>
    <row r="19" spans="1:23" x14ac:dyDescent="0.25">
      <c r="T19">
        <f>16*2.8*0.4*0.15</f>
        <v>2.6879999999999997</v>
      </c>
    </row>
    <row r="20" spans="1:23" x14ac:dyDescent="0.25">
      <c r="A20">
        <v>17.059999999999999</v>
      </c>
      <c r="B20">
        <v>114.22</v>
      </c>
      <c r="C20">
        <v>8</v>
      </c>
      <c r="D20">
        <f>A20*C20</f>
        <v>136.47999999999999</v>
      </c>
      <c r="Q20">
        <v>10.25</v>
      </c>
    </row>
    <row r="21" spans="1:23" x14ac:dyDescent="0.25">
      <c r="A21">
        <v>23.98</v>
      </c>
      <c r="B21">
        <v>114.22</v>
      </c>
      <c r="C21">
        <v>8</v>
      </c>
      <c r="D21">
        <f t="shared" ref="D21:D24" si="1">A21*C21</f>
        <v>191.84</v>
      </c>
      <c r="T21">
        <f>T19+T17+T15+T18</f>
        <v>10.077165936000002</v>
      </c>
    </row>
    <row r="22" spans="1:23" x14ac:dyDescent="0.25">
      <c r="A22">
        <v>24.52</v>
      </c>
      <c r="B22">
        <v>114.22</v>
      </c>
      <c r="C22">
        <v>26</v>
      </c>
      <c r="D22">
        <f t="shared" si="1"/>
        <v>637.52</v>
      </c>
      <c r="F22" s="211">
        <f>C18+D26</f>
        <v>3123.4459999999999</v>
      </c>
      <c r="H22">
        <v>3123.45</v>
      </c>
    </row>
    <row r="23" spans="1:23" x14ac:dyDescent="0.25">
      <c r="A23">
        <v>24.14</v>
      </c>
      <c r="B23">
        <v>114.22</v>
      </c>
      <c r="C23">
        <v>6</v>
      </c>
      <c r="D23">
        <f t="shared" si="1"/>
        <v>144.84</v>
      </c>
    </row>
    <row r="24" spans="1:23" x14ac:dyDescent="0.25">
      <c r="A24">
        <v>18.05</v>
      </c>
      <c r="B24">
        <v>114.22</v>
      </c>
      <c r="C24">
        <v>16.899999999999999</v>
      </c>
      <c r="D24">
        <f t="shared" si="1"/>
        <v>305.04499999999996</v>
      </c>
      <c r="R24" t="s">
        <v>533</v>
      </c>
      <c r="S24">
        <v>7.42</v>
      </c>
    </row>
    <row r="25" spans="1:23" x14ac:dyDescent="0.25">
      <c r="R25">
        <v>0.4</v>
      </c>
      <c r="S25">
        <v>8.19</v>
      </c>
      <c r="W25">
        <v>1.5</v>
      </c>
    </row>
    <row r="26" spans="1:23" x14ac:dyDescent="0.25">
      <c r="D26">
        <f>SUM(D20:D24)</f>
        <v>1415.7249999999999</v>
      </c>
      <c r="S26">
        <v>1.5</v>
      </c>
      <c r="W26">
        <f>2.85+2.85+3.09+3.09+4.5+4.5+4.8+1.5+3.09+3.09+1.5</f>
        <v>34.86</v>
      </c>
    </row>
    <row r="27" spans="1:23" x14ac:dyDescent="0.25">
      <c r="S27">
        <v>2.85</v>
      </c>
      <c r="W27">
        <f>2.62+2.62+3.7+3.7</f>
        <v>12.64</v>
      </c>
    </row>
    <row r="28" spans="1:23" x14ac:dyDescent="0.25">
      <c r="S28">
        <v>2.4700000000000002</v>
      </c>
    </row>
    <row r="29" spans="1:23" x14ac:dyDescent="0.25">
      <c r="A29" t="s">
        <v>462</v>
      </c>
      <c r="B29" t="s">
        <v>162</v>
      </c>
      <c r="C29" t="s">
        <v>145</v>
      </c>
      <c r="E29" t="s">
        <v>477</v>
      </c>
      <c r="F29" t="s">
        <v>478</v>
      </c>
      <c r="I29" t="s">
        <v>517</v>
      </c>
      <c r="L29" t="s">
        <v>529</v>
      </c>
      <c r="N29" t="s">
        <v>530</v>
      </c>
      <c r="S29">
        <v>3.09</v>
      </c>
      <c r="W29">
        <f>7</f>
        <v>7</v>
      </c>
    </row>
    <row r="30" spans="1:23" x14ac:dyDescent="0.25">
      <c r="A30" t="s">
        <v>463</v>
      </c>
      <c r="B30">
        <f>9.76+10.25+3.83+1.78+3.64+1.75+7.38+9.05+1.6</f>
        <v>49.04</v>
      </c>
      <c r="C30" s="194">
        <f>B30*2.8</f>
        <v>137.31199999999998</v>
      </c>
      <c r="E30">
        <f>0.8*2.1</f>
        <v>1.6800000000000002</v>
      </c>
      <c r="F30">
        <f>1.8*1.1</f>
        <v>1.9800000000000002</v>
      </c>
      <c r="I30" t="s">
        <v>468</v>
      </c>
      <c r="J30" s="194">
        <f>C35</f>
        <v>71.736000000000004</v>
      </c>
      <c r="L30">
        <v>21.6</v>
      </c>
      <c r="N30">
        <f>4.5+4.5+4.8+4.8</f>
        <v>18.600000000000001</v>
      </c>
      <c r="S30">
        <v>3.09</v>
      </c>
      <c r="W30">
        <f>SUM(W25:W29)</f>
        <v>56</v>
      </c>
    </row>
    <row r="31" spans="1:23" x14ac:dyDescent="0.25">
      <c r="A31" t="s">
        <v>464</v>
      </c>
      <c r="B31">
        <f>(2.2*2)</f>
        <v>4.4000000000000004</v>
      </c>
      <c r="C31" s="194">
        <f>B31*2</f>
        <v>8.8000000000000007</v>
      </c>
      <c r="E31">
        <v>23</v>
      </c>
      <c r="F31">
        <v>16</v>
      </c>
      <c r="I31" t="s">
        <v>469</v>
      </c>
      <c r="J31" s="194">
        <f>C36</f>
        <v>66.36</v>
      </c>
      <c r="L31">
        <v>4.6399999999999997</v>
      </c>
      <c r="N31">
        <f>2.85+2.85+3.1+3.1</f>
        <v>11.9</v>
      </c>
      <c r="S31">
        <v>3.09</v>
      </c>
      <c r="W31">
        <f>W30*1.5</f>
        <v>84</v>
      </c>
    </row>
    <row r="32" spans="1:23" x14ac:dyDescent="0.25">
      <c r="A32" t="s">
        <v>465</v>
      </c>
      <c r="B32">
        <f>13+2.62+4.35+4.8+8.2</f>
        <v>32.97</v>
      </c>
      <c r="C32" s="194">
        <f>B32*2.8</f>
        <v>92.315999999999988</v>
      </c>
      <c r="E32">
        <f>E31*E30</f>
        <v>38.64</v>
      </c>
      <c r="F32">
        <f>F31*F30</f>
        <v>31.680000000000003</v>
      </c>
      <c r="I32" t="s">
        <v>518</v>
      </c>
      <c r="J32" s="194">
        <f>C37</f>
        <v>46.76</v>
      </c>
      <c r="L32">
        <v>8.81</v>
      </c>
      <c r="N32">
        <f>2.62+2.62+3.7+3.7</f>
        <v>12.64</v>
      </c>
      <c r="S32">
        <v>3.09</v>
      </c>
    </row>
    <row r="33" spans="1:21" x14ac:dyDescent="0.25">
      <c r="A33" t="s">
        <v>466</v>
      </c>
      <c r="B33">
        <f>(1.56*2)+(2*2)+(2.76*2)+(1.5*2)+(1.2*2)+(3.33*2)</f>
        <v>24.7</v>
      </c>
      <c r="C33" s="194">
        <f>B33*(2.8-1.5)</f>
        <v>32.109999999999992</v>
      </c>
      <c r="I33" t="s">
        <v>516</v>
      </c>
      <c r="J33" s="194">
        <f>C44</f>
        <v>111.52399999999999</v>
      </c>
      <c r="L33">
        <v>9.69</v>
      </c>
      <c r="N33">
        <f>6.85+6.85+5+5</f>
        <v>23.7</v>
      </c>
      <c r="S33">
        <v>4.2</v>
      </c>
    </row>
    <row r="34" spans="1:21" x14ac:dyDescent="0.25">
      <c r="A34" t="s">
        <v>467</v>
      </c>
      <c r="B34">
        <f>(1.5*2)+(2.76*2)</f>
        <v>8.52</v>
      </c>
      <c r="C34" s="194">
        <f t="shared" ref="C34:C44" si="2">B34*2.8</f>
        <v>23.855999999999998</v>
      </c>
      <c r="E34" t="s">
        <v>476</v>
      </c>
      <c r="F34">
        <f>E32+F32</f>
        <v>70.320000000000007</v>
      </c>
      <c r="I34" t="s">
        <v>475</v>
      </c>
      <c r="J34" s="194">
        <f>C43</f>
        <v>48.44</v>
      </c>
      <c r="L34">
        <v>34.25</v>
      </c>
      <c r="N34">
        <f>4.9+4.9+7.95+7.95</f>
        <v>25.7</v>
      </c>
      <c r="S34">
        <v>4.2</v>
      </c>
    </row>
    <row r="35" spans="1:21" x14ac:dyDescent="0.25">
      <c r="A35" t="s">
        <v>468</v>
      </c>
      <c r="B35">
        <f>(7.91*2)+(4.9*2)</f>
        <v>25.62</v>
      </c>
      <c r="C35" s="194">
        <f t="shared" si="2"/>
        <v>71.736000000000004</v>
      </c>
      <c r="J35" s="194">
        <f>SUM(J30:J34)</f>
        <v>344.82</v>
      </c>
      <c r="L35">
        <v>38.950000000000003</v>
      </c>
      <c r="N35">
        <f>4.45+4.45+4.2+4.2</f>
        <v>17.3</v>
      </c>
      <c r="S35">
        <v>2.4700000000000002</v>
      </c>
    </row>
    <row r="36" spans="1:21" x14ac:dyDescent="0.25">
      <c r="A36" t="s">
        <v>469</v>
      </c>
      <c r="B36">
        <f>10+(6.85*2)</f>
        <v>23.7</v>
      </c>
      <c r="C36" s="194">
        <f t="shared" si="2"/>
        <v>66.36</v>
      </c>
      <c r="J36">
        <f>J35*0.5</f>
        <v>172.41</v>
      </c>
      <c r="L36">
        <v>2.98</v>
      </c>
      <c r="N36">
        <f>5.42+5.42+2.94+2.94</f>
        <v>16.72</v>
      </c>
      <c r="S36">
        <v>2.4700000000000002</v>
      </c>
    </row>
    <row r="37" spans="1:21" x14ac:dyDescent="0.25">
      <c r="A37" t="s">
        <v>470</v>
      </c>
      <c r="B37">
        <f>(5.42*2)+(2.93*2)</f>
        <v>16.7</v>
      </c>
      <c r="C37" s="194">
        <f t="shared" si="2"/>
        <v>46.76</v>
      </c>
      <c r="L37">
        <v>4.1500000000000004</v>
      </c>
      <c r="N37">
        <f>SUM(N30:N36)</f>
        <v>126.56</v>
      </c>
      <c r="S37">
        <v>2.4700000000000002</v>
      </c>
      <c r="U37">
        <f>(2.0865*3.0883)-(1.7865*2.7884)</f>
        <v>1.4622613499999995</v>
      </c>
    </row>
    <row r="38" spans="1:21" x14ac:dyDescent="0.25">
      <c r="A38" t="s">
        <v>471</v>
      </c>
      <c r="B38">
        <f>(2.63*2)+(3.7*2)</f>
        <v>12.66</v>
      </c>
      <c r="C38" s="194">
        <f t="shared" si="2"/>
        <v>35.448</v>
      </c>
      <c r="L38">
        <v>15.92</v>
      </c>
      <c r="N38">
        <f>N37-((0.8*6)+(3))</f>
        <v>118.76</v>
      </c>
      <c r="S38">
        <v>4.5</v>
      </c>
      <c r="U38">
        <f>(7.4186*8.1927)-((1.5*3.0925)+(2.85*3.09825)+(2.4686*4.1974)+(2.4687*3.5452)+(4.5*4.6352))</f>
        <v>7.3374648399999955</v>
      </c>
    </row>
    <row r="39" spans="1:21" x14ac:dyDescent="0.25">
      <c r="A39" t="s">
        <v>472</v>
      </c>
      <c r="B39">
        <f>(3.46*2)+(1.8*2)</f>
        <v>10.52</v>
      </c>
      <c r="C39" s="194">
        <f t="shared" si="2"/>
        <v>29.455999999999996</v>
      </c>
      <c r="L39">
        <f>1.5*2</f>
        <v>3</v>
      </c>
      <c r="S39">
        <v>4.5</v>
      </c>
      <c r="U39">
        <f>U38+U37</f>
        <v>8.7997261899999941</v>
      </c>
    </row>
    <row r="40" spans="1:21" x14ac:dyDescent="0.25">
      <c r="A40" t="s">
        <v>473</v>
      </c>
      <c r="B40">
        <f>(2.85*2)+(3.09*2)</f>
        <v>11.879999999999999</v>
      </c>
      <c r="C40" s="194">
        <f t="shared" si="2"/>
        <v>33.263999999999996</v>
      </c>
      <c r="L40">
        <f>4.82*1.8</f>
        <v>8.6760000000000002</v>
      </c>
      <c r="S40">
        <v>4.6399999999999997</v>
      </c>
      <c r="U40">
        <f>U39*0.15</f>
        <v>1.3199589284999991</v>
      </c>
    </row>
    <row r="41" spans="1:21" x14ac:dyDescent="0.25">
      <c r="A41" t="s">
        <v>555</v>
      </c>
      <c r="B41">
        <f>(1.5*2)+(3.09*2)</f>
        <v>9.18</v>
      </c>
      <c r="C41" s="194">
        <f t="shared" si="2"/>
        <v>25.703999999999997</v>
      </c>
      <c r="L41">
        <f>1.2*3.33</f>
        <v>3.996</v>
      </c>
      <c r="S41">
        <v>4.6399999999999997</v>
      </c>
      <c r="U41">
        <f>U40+S51</f>
        <v>37.419958928500009</v>
      </c>
    </row>
    <row r="42" spans="1:21" x14ac:dyDescent="0.25">
      <c r="A42" t="s">
        <v>474</v>
      </c>
      <c r="B42">
        <f>(4.8*2)+(4.5*2)</f>
        <v>18.600000000000001</v>
      </c>
      <c r="C42" s="194">
        <f t="shared" si="2"/>
        <v>52.08</v>
      </c>
      <c r="L42">
        <f>4.45*4.2</f>
        <v>18.690000000000001</v>
      </c>
      <c r="S42">
        <v>3.54</v>
      </c>
    </row>
    <row r="43" spans="1:21" x14ac:dyDescent="0.25">
      <c r="A43" t="s">
        <v>475</v>
      </c>
      <c r="B43">
        <f>(4.45*2)+(4.2*2)</f>
        <v>17.3</v>
      </c>
      <c r="C43" s="194">
        <f t="shared" si="2"/>
        <v>48.44</v>
      </c>
      <c r="L43">
        <f>SUM(L30:L42)</f>
        <v>175.352</v>
      </c>
      <c r="S43">
        <v>3.54</v>
      </c>
    </row>
    <row r="44" spans="1:21" x14ac:dyDescent="0.25">
      <c r="A44" t="s">
        <v>516</v>
      </c>
      <c r="B44">
        <f>6.13+0.77+1.5+2.72+0.82+3.09+1.12+1.7+1.7+3.63+3.86+8.19+4.6</f>
        <v>39.83</v>
      </c>
      <c r="C44" s="194">
        <f t="shared" si="2"/>
        <v>111.52399999999999</v>
      </c>
      <c r="S44">
        <v>2.08</v>
      </c>
    </row>
    <row r="45" spans="1:21" x14ac:dyDescent="0.25">
      <c r="A45" t="s">
        <v>532</v>
      </c>
      <c r="B45">
        <f>13.09+1.3+8.72</f>
        <v>23.11</v>
      </c>
      <c r="C45" s="194"/>
      <c r="E45">
        <f>C45-((2*0.8)+3)</f>
        <v>-4.5999999999999996</v>
      </c>
      <c r="S45">
        <v>3.09</v>
      </c>
    </row>
    <row r="46" spans="1:21" x14ac:dyDescent="0.25">
      <c r="S46">
        <v>2.78</v>
      </c>
    </row>
    <row r="47" spans="1:21" x14ac:dyDescent="0.25">
      <c r="S47">
        <v>2.78</v>
      </c>
    </row>
    <row r="48" spans="1:21" x14ac:dyDescent="0.25">
      <c r="B48" t="s">
        <v>476</v>
      </c>
      <c r="C48" s="194">
        <f>SUM(C30:C44)</f>
        <v>815.16600000000005</v>
      </c>
      <c r="G48">
        <v>0.5</v>
      </c>
      <c r="S48">
        <v>1.78</v>
      </c>
    </row>
    <row r="49" spans="1:19" x14ac:dyDescent="0.25">
      <c r="C49" s="222">
        <f>C48-F34</f>
        <v>744.846</v>
      </c>
      <c r="D49" s="194"/>
      <c r="G49">
        <v>1.2</v>
      </c>
      <c r="S49">
        <v>1.78</v>
      </c>
    </row>
    <row r="50" spans="1:19" x14ac:dyDescent="0.25">
      <c r="C50" s="194">
        <f>C49+60</f>
        <v>804.846</v>
      </c>
      <c r="G50">
        <v>0.5</v>
      </c>
      <c r="S50">
        <f>SUM(S24:S49)</f>
        <v>90.250000000000014</v>
      </c>
    </row>
    <row r="51" spans="1:19" x14ac:dyDescent="0.25">
      <c r="C51">
        <f>C50+((10.27+15.5+1.95+1.15)*2)</f>
        <v>862.58600000000001</v>
      </c>
      <c r="G51">
        <f>G48*G49*G50</f>
        <v>0.3</v>
      </c>
      <c r="S51">
        <f>S50*R25</f>
        <v>36.100000000000009</v>
      </c>
    </row>
    <row r="52" spans="1:19" x14ac:dyDescent="0.25">
      <c r="G52">
        <f>13*G51</f>
        <v>3.9</v>
      </c>
      <c r="J52">
        <f>7.51+7.22+2.9+4.05+5.23</f>
        <v>26.91</v>
      </c>
    </row>
    <row r="53" spans="1:19" x14ac:dyDescent="0.25">
      <c r="G53">
        <f>0.6*0.6*0.5*4</f>
        <v>0.72</v>
      </c>
      <c r="J53">
        <f>J52*0.15*2</f>
        <v>8.0730000000000004</v>
      </c>
    </row>
    <row r="54" spans="1:19" x14ac:dyDescent="0.25">
      <c r="G54">
        <f>G53+G52</f>
        <v>4.62</v>
      </c>
      <c r="J54" s="161">
        <f>J53+G54+J50</f>
        <v>12.693000000000001</v>
      </c>
    </row>
    <row r="55" spans="1:19" x14ac:dyDescent="0.25">
      <c r="J55">
        <f>U38*0.4</f>
        <v>2.9349859359999986</v>
      </c>
    </row>
    <row r="56" spans="1:19" x14ac:dyDescent="0.25">
      <c r="A56">
        <v>67.239999999999995</v>
      </c>
      <c r="J56">
        <f>J55+J54</f>
        <v>15.627985936</v>
      </c>
    </row>
    <row r="57" spans="1:19" x14ac:dyDescent="0.25">
      <c r="A57">
        <v>8</v>
      </c>
      <c r="J57">
        <f>U37*0.4</f>
        <v>0.58490453999999981</v>
      </c>
    </row>
    <row r="58" spans="1:19" x14ac:dyDescent="0.25">
      <c r="J58" s="226">
        <f>J57+J56</f>
        <v>16.212890475999998</v>
      </c>
    </row>
    <row r="59" spans="1:19" x14ac:dyDescent="0.25">
      <c r="A59">
        <f>A58+A57+A56</f>
        <v>75.239999999999995</v>
      </c>
    </row>
    <row r="60" spans="1:19" x14ac:dyDescent="0.25">
      <c r="J60">
        <f>14*0.1*0.35</f>
        <v>0.49</v>
      </c>
    </row>
  </sheetData>
  <pageMargins left="0.511811024" right="0.511811024" top="0.78740157499999996" bottom="0.78740157499999996" header="0.31496062000000002" footer="0.3149606200000000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2"/>
  <sheetViews>
    <sheetView workbookViewId="0">
      <selection activeCell="D15" sqref="D15"/>
    </sheetView>
  </sheetViews>
  <sheetFormatPr defaultRowHeight="15" x14ac:dyDescent="0.25"/>
  <sheetData>
    <row r="1" spans="1:18" x14ac:dyDescent="0.25">
      <c r="A1" t="s">
        <v>534</v>
      </c>
      <c r="F1" t="s">
        <v>541</v>
      </c>
      <c r="J1" t="s">
        <v>546</v>
      </c>
      <c r="K1" t="s">
        <v>550</v>
      </c>
      <c r="L1">
        <f>8.19+4.8</f>
        <v>12.989999999999998</v>
      </c>
      <c r="M1">
        <v>1.5</v>
      </c>
      <c r="N1">
        <f>L1*M1</f>
        <v>19.484999999999999</v>
      </c>
      <c r="Q1" t="s">
        <v>553</v>
      </c>
      <c r="R1">
        <v>2.62</v>
      </c>
    </row>
    <row r="2" spans="1:18" x14ac:dyDescent="0.25">
      <c r="A2" t="s">
        <v>535</v>
      </c>
      <c r="B2">
        <v>13</v>
      </c>
      <c r="C2">
        <f>1.2*0.5*0.5</f>
        <v>0.3</v>
      </c>
      <c r="D2">
        <f>B2*C2</f>
        <v>3.9</v>
      </c>
      <c r="F2">
        <f>0.49+2.9+7.22+7.5+4.03+1.58+2.68</f>
        <v>26.4</v>
      </c>
      <c r="G2">
        <f>F2*0.15*1.5</f>
        <v>5.9399999999999995</v>
      </c>
      <c r="K2" t="s">
        <v>548</v>
      </c>
      <c r="L2">
        <f>4.5+4.5+4.8+4.8</f>
        <v>18.600000000000001</v>
      </c>
      <c r="M2">
        <f>M1</f>
        <v>1.5</v>
      </c>
      <c r="N2">
        <f t="shared" ref="N2:N4" si="0">L2*M2</f>
        <v>27.900000000000002</v>
      </c>
      <c r="R2">
        <v>4.3499999999999996</v>
      </c>
    </row>
    <row r="3" spans="1:18" x14ac:dyDescent="0.25">
      <c r="A3" t="s">
        <v>536</v>
      </c>
      <c r="B3">
        <v>4</v>
      </c>
      <c r="C3">
        <f>0.6*0.6*0.5</f>
        <v>0.18</v>
      </c>
      <c r="D3">
        <f>B3*C3</f>
        <v>0.72</v>
      </c>
      <c r="F3">
        <f>3*(0.6*0.6*0.6)</f>
        <v>0.64800000000000002</v>
      </c>
      <c r="K3" t="s">
        <v>549</v>
      </c>
      <c r="L3">
        <f>2.94+2.09+2.94+2.09</f>
        <v>10.059999999999999</v>
      </c>
      <c r="M3">
        <f>M2</f>
        <v>1.5</v>
      </c>
      <c r="N3">
        <f t="shared" si="0"/>
        <v>15.089999999999998</v>
      </c>
      <c r="R3">
        <v>4.8</v>
      </c>
    </row>
    <row r="4" spans="1:18" x14ac:dyDescent="0.25">
      <c r="F4" t="s">
        <v>540</v>
      </c>
      <c r="G4">
        <f>F3+G2</f>
        <v>6.5879999999999992</v>
      </c>
      <c r="K4" t="s">
        <v>547</v>
      </c>
      <c r="L4">
        <f>3.09+3.09+2.85+2.85</f>
        <v>11.879999999999999</v>
      </c>
      <c r="M4">
        <f>M3</f>
        <v>1.5</v>
      </c>
      <c r="N4">
        <f t="shared" si="0"/>
        <v>17.82</v>
      </c>
      <c r="R4">
        <v>8.19</v>
      </c>
    </row>
    <row r="5" spans="1:18" x14ac:dyDescent="0.25">
      <c r="A5" t="s">
        <v>537</v>
      </c>
      <c r="B5">
        <v>17</v>
      </c>
      <c r="C5">
        <f>(0.15*0.3*2.8)</f>
        <v>0.126</v>
      </c>
      <c r="D5">
        <f>C5*B5</f>
        <v>2.1419999999999999</v>
      </c>
      <c r="R5">
        <v>2.62</v>
      </c>
    </row>
    <row r="6" spans="1:18" x14ac:dyDescent="0.25">
      <c r="F6" t="s">
        <v>542</v>
      </c>
      <c r="G6">
        <f>13+6.24+2.32</f>
        <v>21.560000000000002</v>
      </c>
      <c r="R6">
        <v>3.7</v>
      </c>
    </row>
    <row r="7" spans="1:18" x14ac:dyDescent="0.25">
      <c r="A7" t="s">
        <v>539</v>
      </c>
      <c r="B7">
        <f>3.09+3.09+1.79+1.79</f>
        <v>9.76</v>
      </c>
      <c r="C7">
        <f>0.15*0.4</f>
        <v>0.06</v>
      </c>
      <c r="G7">
        <f>G6*0.15*1</f>
        <v>3.2340000000000004</v>
      </c>
      <c r="M7" t="s">
        <v>538</v>
      </c>
      <c r="N7">
        <f>SUM(N1:N4)</f>
        <v>80.295000000000002</v>
      </c>
    </row>
    <row r="8" spans="1:18" x14ac:dyDescent="0.25">
      <c r="B8">
        <f>8.19+8.19+7.12+7.12</f>
        <v>30.62</v>
      </c>
      <c r="R8">
        <v>4.5</v>
      </c>
    </row>
    <row r="9" spans="1:18" x14ac:dyDescent="0.25">
      <c r="B9">
        <f>2.47+7.89+3.09+4.5</f>
        <v>17.95</v>
      </c>
      <c r="R9">
        <v>4.8</v>
      </c>
    </row>
    <row r="10" spans="1:18" x14ac:dyDescent="0.25">
      <c r="A10" t="s">
        <v>540</v>
      </c>
      <c r="B10">
        <f>SUM(B7:B9)</f>
        <v>58.33</v>
      </c>
      <c r="D10">
        <f>B10*C7</f>
        <v>3.4997999999999996</v>
      </c>
      <c r="J10" t="s">
        <v>551</v>
      </c>
      <c r="K10" t="s">
        <v>552</v>
      </c>
      <c r="L10">
        <f>7.42+8.19+4.2+3.54+2.46+2.46+2.46+2.46+3.54+4.2+4.65+3.09+4.5+2.85+1.5+4.5+3.09+3.09+3.09+4.65+3.08+2.08+1.78+2.78+1.78+2.78</f>
        <v>90.220000000000013</v>
      </c>
      <c r="M10">
        <f>L10*0.4</f>
        <v>36.088000000000008</v>
      </c>
      <c r="R10">
        <v>4.8</v>
      </c>
    </row>
    <row r="11" spans="1:18" x14ac:dyDescent="0.25">
      <c r="M11">
        <f>K23</f>
        <v>2.9196758319999989</v>
      </c>
      <c r="R11">
        <v>2.85</v>
      </c>
    </row>
    <row r="12" spans="1:18" x14ac:dyDescent="0.25">
      <c r="A12">
        <f>D10+D5+D3+D2</f>
        <v>10.261799999999999</v>
      </c>
      <c r="R12">
        <v>3.09</v>
      </c>
    </row>
    <row r="13" spans="1:18" x14ac:dyDescent="0.25">
      <c r="M13">
        <f>M11+M10</f>
        <v>39.007675832000004</v>
      </c>
      <c r="R13">
        <v>3.09</v>
      </c>
    </row>
    <row r="14" spans="1:18" x14ac:dyDescent="0.25">
      <c r="R14">
        <v>2.85</v>
      </c>
    </row>
    <row r="15" spans="1:18" x14ac:dyDescent="0.25">
      <c r="C15" t="s">
        <v>538</v>
      </c>
      <c r="D15">
        <f>D5+D3+D2+D10+G4+G7</f>
        <v>20.083800000000004</v>
      </c>
      <c r="K15">
        <f>7.4186*8.1927</f>
        <v>60.77836422</v>
      </c>
      <c r="R15">
        <v>3.09</v>
      </c>
    </row>
    <row r="16" spans="1:18" x14ac:dyDescent="0.25">
      <c r="K16">
        <f>3.54*2.4687</f>
        <v>8.739198</v>
      </c>
      <c r="R16">
        <v>3.09</v>
      </c>
    </row>
    <row r="17" spans="1:18" x14ac:dyDescent="0.25">
      <c r="K17">
        <f>2.4686*4.1974</f>
        <v>10.36170164</v>
      </c>
      <c r="R17">
        <v>1.5</v>
      </c>
    </row>
    <row r="18" spans="1:18" x14ac:dyDescent="0.25">
      <c r="F18" t="s">
        <v>545</v>
      </c>
      <c r="K18">
        <f>4.5*4.6502</f>
        <v>20.925899999999999</v>
      </c>
      <c r="R18">
        <v>1.5</v>
      </c>
    </row>
    <row r="19" spans="1:18" x14ac:dyDescent="0.25">
      <c r="A19" t="s">
        <v>543</v>
      </c>
      <c r="B19">
        <v>6.22</v>
      </c>
      <c r="F19">
        <v>30.6</v>
      </c>
      <c r="K19">
        <f>3.0925*2.85</f>
        <v>8.813625</v>
      </c>
      <c r="R19">
        <v>0.8</v>
      </c>
    </row>
    <row r="20" spans="1:18" x14ac:dyDescent="0.25">
      <c r="B20">
        <v>8.75</v>
      </c>
      <c r="F20">
        <v>8.64</v>
      </c>
      <c r="K20">
        <f>3.0925*1.5</f>
        <v>4.6387499999999999</v>
      </c>
      <c r="R20">
        <v>0.8</v>
      </c>
    </row>
    <row r="21" spans="1:18" x14ac:dyDescent="0.25">
      <c r="B21">
        <v>20.92</v>
      </c>
      <c r="F21">
        <v>6.56</v>
      </c>
      <c r="K21">
        <f>K15-(K16+K17+K18+K19+K20)</f>
        <v>7.2991895799999966</v>
      </c>
      <c r="R21">
        <v>4.9000000000000004</v>
      </c>
    </row>
    <row r="22" spans="1:18" x14ac:dyDescent="0.25">
      <c r="B22">
        <v>10.36</v>
      </c>
      <c r="F22">
        <v>24.49</v>
      </c>
    </row>
    <row r="23" spans="1:18" x14ac:dyDescent="0.25">
      <c r="B23">
        <v>8.81</v>
      </c>
      <c r="F23">
        <v>3</v>
      </c>
      <c r="K23">
        <f>K21*0.4</f>
        <v>2.9196758319999989</v>
      </c>
    </row>
    <row r="24" spans="1:18" x14ac:dyDescent="0.25">
      <c r="B24">
        <v>4.63</v>
      </c>
      <c r="F24">
        <v>15.71</v>
      </c>
    </row>
    <row r="25" spans="1:18" x14ac:dyDescent="0.25">
      <c r="B25">
        <v>4.9800000000000004</v>
      </c>
      <c r="F25">
        <v>4</v>
      </c>
    </row>
    <row r="26" spans="1:18" x14ac:dyDescent="0.25">
      <c r="A26" t="s">
        <v>538</v>
      </c>
      <c r="B26">
        <f>SUM(B19:B25)</f>
        <v>64.67</v>
      </c>
      <c r="F26">
        <v>18.68</v>
      </c>
      <c r="R26">
        <v>1.5</v>
      </c>
    </row>
    <row r="27" spans="1:18" x14ac:dyDescent="0.25">
      <c r="A27" t="s">
        <v>544</v>
      </c>
      <c r="B27">
        <v>0.2</v>
      </c>
      <c r="R27">
        <v>1.5</v>
      </c>
    </row>
    <row r="28" spans="1:18" x14ac:dyDescent="0.25">
      <c r="B28">
        <f>B26*B27</f>
        <v>12.934000000000001</v>
      </c>
      <c r="F28">
        <f>SUM(F19:F26)</f>
        <v>111.68</v>
      </c>
    </row>
    <row r="29" spans="1:18" x14ac:dyDescent="0.25">
      <c r="J29" t="s">
        <v>554</v>
      </c>
      <c r="K29">
        <v>2.98</v>
      </c>
      <c r="R29">
        <v>2.77</v>
      </c>
    </row>
    <row r="30" spans="1:18" x14ac:dyDescent="0.25">
      <c r="K30">
        <v>4.1500000000000004</v>
      </c>
    </row>
    <row r="31" spans="1:18" x14ac:dyDescent="0.25">
      <c r="K31">
        <f>2*1.5</f>
        <v>3</v>
      </c>
    </row>
    <row r="32" spans="1:18" x14ac:dyDescent="0.25">
      <c r="K32">
        <f>38.95</f>
        <v>38.950000000000003</v>
      </c>
    </row>
    <row r="33" spans="11:21" x14ac:dyDescent="0.25">
      <c r="K33">
        <f>34.25</f>
        <v>34.25</v>
      </c>
      <c r="R33">
        <v>2</v>
      </c>
    </row>
    <row r="34" spans="11:21" x14ac:dyDescent="0.25">
      <c r="K34">
        <v>21.6</v>
      </c>
    </row>
    <row r="35" spans="11:21" x14ac:dyDescent="0.25">
      <c r="K35">
        <v>9.69</v>
      </c>
    </row>
    <row r="36" spans="11:21" x14ac:dyDescent="0.25">
      <c r="K36">
        <v>8.81</v>
      </c>
      <c r="R36">
        <v>3.08</v>
      </c>
    </row>
    <row r="37" spans="11:21" x14ac:dyDescent="0.25">
      <c r="K37">
        <v>4.6399999999999997</v>
      </c>
      <c r="R37">
        <v>2.09</v>
      </c>
    </row>
    <row r="38" spans="11:21" x14ac:dyDescent="0.25">
      <c r="K38">
        <v>15.92</v>
      </c>
      <c r="R38">
        <v>2.94</v>
      </c>
    </row>
    <row r="39" spans="11:21" x14ac:dyDescent="0.25">
      <c r="K39">
        <f>1.2*3.33</f>
        <v>3.996</v>
      </c>
      <c r="R39">
        <v>2.09</v>
      </c>
    </row>
    <row r="40" spans="11:21" x14ac:dyDescent="0.25">
      <c r="K40">
        <f>4.2*4.45</f>
        <v>18.690000000000001</v>
      </c>
      <c r="R40">
        <v>0.8</v>
      </c>
    </row>
    <row r="41" spans="11:21" x14ac:dyDescent="0.25">
      <c r="K41">
        <f>SUM(K29:K40)</f>
        <v>166.67599999999999</v>
      </c>
      <c r="R41">
        <v>0.8</v>
      </c>
    </row>
    <row r="42" spans="11:21" x14ac:dyDescent="0.25">
      <c r="K42">
        <f>K41+6</f>
        <v>172.67599999999999</v>
      </c>
      <c r="Q42" t="s">
        <v>540</v>
      </c>
      <c r="R42">
        <f>SUM(R1:R41)</f>
        <v>87.509999999999991</v>
      </c>
      <c r="S42">
        <f>R42*2.8</f>
        <v>245.02799999999996</v>
      </c>
      <c r="U42">
        <f>S42-((4*0.8*2.1)+(0.9*2.1)+(0.6*0.6)+(1.5*2.1)+(3*1.8*1.2)+(0.8*1.2)+(1.5*1.2))</f>
        <v>223.66799999999995</v>
      </c>
    </row>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7</vt:i4>
      </vt:variant>
      <vt:variant>
        <vt:lpstr>Intervalos nomeados</vt:lpstr>
      </vt:variant>
      <vt:variant>
        <vt:i4>4</vt:i4>
      </vt:variant>
    </vt:vector>
  </HeadingPairs>
  <TitlesOfParts>
    <vt:vector size="11" baseType="lpstr">
      <vt:lpstr>ORÇAMENTO </vt:lpstr>
      <vt:lpstr>Plan3</vt:lpstr>
      <vt:lpstr>Referências</vt:lpstr>
      <vt:lpstr>CRONOGRAMA</vt:lpstr>
      <vt:lpstr>BDI</vt:lpstr>
      <vt:lpstr>Plan1</vt:lpstr>
      <vt:lpstr>Plan2</vt:lpstr>
      <vt:lpstr>BDI!Area_de_impressao</vt:lpstr>
      <vt:lpstr>CRONOGRAMA!Area_de_impressao</vt:lpstr>
      <vt:lpstr>matriz</vt:lpstr>
      <vt:lpstr>matriz2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Francieli Reis</dc:creator>
  <cp:lastModifiedBy>Gabriele Sganzerla Ferreira</cp:lastModifiedBy>
  <cp:lastPrinted>2022-06-29T18:01:18Z</cp:lastPrinted>
  <dcterms:created xsi:type="dcterms:W3CDTF">2017-01-30T11:28:28Z</dcterms:created>
  <dcterms:modified xsi:type="dcterms:W3CDTF">2022-06-29T19:00:39Z</dcterms:modified>
</cp:coreProperties>
</file>