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40.5\users$\gabriele.ferreira\Desktop\Projetos\EMEB SAUL ATHAYDE\"/>
    </mc:Choice>
  </mc:AlternateContent>
  <bookViews>
    <workbookView xWindow="0" yWindow="0" windowWidth="28800" windowHeight="12135"/>
  </bookViews>
  <sheets>
    <sheet name="ORÇAMENTO " sheetId="1" r:id="rId1"/>
    <sheet name="Plan3" sheetId="8" state="hidden" r:id="rId2"/>
    <sheet name="Referências" sheetId="4" r:id="rId3"/>
    <sheet name="CRONOGRAMA" sheetId="2" r:id="rId4"/>
    <sheet name="BDI" sheetId="3" r:id="rId5"/>
    <sheet name="Plan1" sheetId="6" state="hidden" r:id="rId6"/>
    <sheet name="Plan2" sheetId="7" state="hidden" r:id="rId7"/>
  </sheets>
  <definedNames>
    <definedName name="_xlnm.Print_Area" localSheetId="4">BDI!$A$1:$L$52</definedName>
    <definedName name="_xlnm.Print_Area" localSheetId="3">CRONOGRAMA!$A$1:$O$22</definedName>
    <definedName name="matriz">BDI!$Q$17:$V$21</definedName>
    <definedName name="matriz2">BDI!$Q$23:$V$27</definedName>
    <definedName name="TESTE">BDI!XEV:XEV*BDI!XEW:XEW</definedName>
  </definedNames>
  <calcPr calcId="152511"/>
</workbook>
</file>

<file path=xl/calcChain.xml><?xml version="1.0" encoding="utf-8"?>
<calcChain xmlns="http://schemas.openxmlformats.org/spreadsheetml/2006/main">
  <c r="F70" i="1" l="1"/>
  <c r="F42" i="1"/>
  <c r="G49" i="1" l="1"/>
  <c r="B48" i="1"/>
  <c r="I26" i="1" l="1"/>
  <c r="I25" i="1"/>
  <c r="H25" i="1"/>
  <c r="G25" i="1"/>
  <c r="G119" i="1" l="1"/>
  <c r="H119" i="1" s="1"/>
  <c r="I119" i="1" s="1"/>
  <c r="F68" i="1"/>
  <c r="F67" i="1"/>
  <c r="F71" i="1"/>
  <c r="G71" i="1"/>
  <c r="H71" i="1" s="1"/>
  <c r="I71" i="1" s="1"/>
  <c r="H70" i="1"/>
  <c r="F66" i="1"/>
  <c r="H14" i="1"/>
  <c r="H95" i="1"/>
  <c r="I95" i="1" s="1"/>
  <c r="F94" i="1"/>
  <c r="G91" i="1"/>
  <c r="H91" i="1" s="1"/>
  <c r="I91" i="1" s="1"/>
  <c r="G92" i="1"/>
  <c r="H92" i="1" s="1"/>
  <c r="I92" i="1" s="1"/>
  <c r="G93" i="1"/>
  <c r="H93" i="1" s="1"/>
  <c r="I93" i="1" s="1"/>
  <c r="F10" i="1"/>
  <c r="F15" i="1"/>
  <c r="G90" i="1"/>
  <c r="H90" i="1" s="1"/>
  <c r="I90" i="1" s="1"/>
  <c r="F89" i="1"/>
  <c r="G89" i="1"/>
  <c r="H89" i="1" s="1"/>
  <c r="I89" i="1" s="1"/>
  <c r="G88" i="1"/>
  <c r="H88" i="1" s="1"/>
  <c r="I88" i="1" s="1"/>
  <c r="F69" i="1"/>
  <c r="G101" i="1" l="1"/>
  <c r="F115" i="1"/>
  <c r="G115" i="1"/>
  <c r="F47" i="1"/>
  <c r="F48" i="1" s="1"/>
  <c r="G47" i="1"/>
  <c r="F52" i="1"/>
  <c r="F41" i="1"/>
  <c r="F31" i="1"/>
  <c r="F29" i="1"/>
  <c r="F36" i="1"/>
  <c r="F35" i="1"/>
  <c r="F34" i="1"/>
  <c r="F37" i="1" s="1"/>
  <c r="F32" i="1"/>
  <c r="F30" i="1"/>
  <c r="F19" i="1" l="1"/>
  <c r="F43" i="1"/>
  <c r="F20" i="1"/>
  <c r="F118" i="1"/>
  <c r="B76" i="1"/>
  <c r="F60" i="1"/>
  <c r="F59" i="1"/>
  <c r="F117" i="1" s="1"/>
  <c r="F58" i="1"/>
  <c r="F53" i="1"/>
  <c r="I70" i="1" s="1"/>
  <c r="F51" i="1"/>
  <c r="F49" i="1"/>
  <c r="F50" i="1" s="1"/>
  <c r="F109" i="1" s="1"/>
  <c r="F110" i="1" s="1"/>
  <c r="F111" i="1" s="1"/>
  <c r="G105" i="1" l="1"/>
  <c r="C51" i="6" l="1"/>
  <c r="C4" i="8" l="1"/>
  <c r="C3" i="8"/>
  <c r="C2" i="8"/>
  <c r="C1" i="8"/>
  <c r="A9" i="8"/>
  <c r="A6" i="8"/>
  <c r="A2" i="8"/>
  <c r="A1" i="8"/>
  <c r="C48" i="6" l="1"/>
  <c r="K42" i="7"/>
  <c r="K41" i="7"/>
  <c r="K40" i="7"/>
  <c r="K39" i="7"/>
  <c r="K33" i="7"/>
  <c r="K32" i="7"/>
  <c r="K31" i="7"/>
  <c r="R42" i="7"/>
  <c r="S42" i="7" s="1"/>
  <c r="U42" i="7" s="1"/>
  <c r="M11" i="7"/>
  <c r="K23" i="7"/>
  <c r="K21" i="7"/>
  <c r="K20" i="7"/>
  <c r="K19" i="7"/>
  <c r="K18" i="7"/>
  <c r="K17" i="7"/>
  <c r="K16" i="7"/>
  <c r="K15" i="7"/>
  <c r="M13" i="7"/>
  <c r="L10" i="7"/>
  <c r="M10" i="7"/>
  <c r="N4" i="7"/>
  <c r="N7" i="7" s="1"/>
  <c r="L4" i="7"/>
  <c r="M4" i="7"/>
  <c r="M3" i="7"/>
  <c r="L3" i="7"/>
  <c r="N3" i="7" s="1"/>
  <c r="N2" i="7"/>
  <c r="M2" i="7"/>
  <c r="L2" i="7"/>
  <c r="N1" i="7"/>
  <c r="L1" i="7"/>
  <c r="A12" i="7"/>
  <c r="F28" i="7"/>
  <c r="B28" i="7"/>
  <c r="B26" i="7"/>
  <c r="D15" i="7"/>
  <c r="G7" i="7"/>
  <c r="G6" i="7"/>
  <c r="G2" i="7"/>
  <c r="G4" i="7"/>
  <c r="F2" i="7"/>
  <c r="F3" i="7"/>
  <c r="D10" i="7"/>
  <c r="B10" i="7"/>
  <c r="B9" i="7"/>
  <c r="B8" i="7"/>
  <c r="B7" i="7"/>
  <c r="C7" i="7"/>
  <c r="D3" i="7"/>
  <c r="D2" i="7"/>
  <c r="C3" i="7"/>
  <c r="C2" i="7"/>
  <c r="D5" i="7"/>
  <c r="C5" i="7"/>
  <c r="U38" i="6" l="1"/>
  <c r="J55" i="6"/>
  <c r="J60" i="6"/>
  <c r="J53" i="6"/>
  <c r="G53" i="6"/>
  <c r="J57" i="6"/>
  <c r="J52" i="6"/>
  <c r="G51" i="6" l="1"/>
  <c r="G52" i="6" s="1"/>
  <c r="G54" i="6" s="1"/>
  <c r="J54" i="6" s="1"/>
  <c r="J56" i="6" s="1"/>
  <c r="J58" i="6" s="1"/>
  <c r="A59" i="6"/>
  <c r="W31" i="6"/>
  <c r="W30" i="6"/>
  <c r="W29" i="6"/>
  <c r="W27" i="6"/>
  <c r="W26" i="6"/>
  <c r="U39" i="6"/>
  <c r="U40" i="6" s="1"/>
  <c r="U41" i="6" s="1"/>
  <c r="U37" i="6"/>
  <c r="S51" i="6"/>
  <c r="S50" i="6"/>
  <c r="W18" i="6"/>
  <c r="W17" i="6"/>
  <c r="W15" i="6"/>
  <c r="W14" i="6"/>
  <c r="T19" i="6"/>
  <c r="T18" i="6"/>
  <c r="T17" i="6"/>
  <c r="T13" i="6"/>
  <c r="T14" i="6" s="1"/>
  <c r="T15" i="6" s="1"/>
  <c r="U4" i="6"/>
  <c r="U3" i="6"/>
  <c r="B45" i="6"/>
  <c r="E45" i="6" s="1"/>
  <c r="T21" i="6" l="1"/>
  <c r="N36" i="6"/>
  <c r="N35" i="6"/>
  <c r="N34" i="6"/>
  <c r="N33" i="6"/>
  <c r="N37" i="6" s="1"/>
  <c r="N38" i="6" s="1"/>
  <c r="N32" i="6"/>
  <c r="N31" i="6"/>
  <c r="N30" i="6"/>
  <c r="L42" i="6"/>
  <c r="L41" i="6"/>
  <c r="L40" i="6"/>
  <c r="L39" i="6"/>
  <c r="L43" i="6" s="1"/>
  <c r="J3" i="2" l="1"/>
  <c r="A43" i="3" s="1"/>
  <c r="H105" i="1" l="1"/>
  <c r="I105" i="1" s="1"/>
  <c r="J34" i="6" l="1"/>
  <c r="B44" i="6"/>
  <c r="C44" i="6" s="1"/>
  <c r="J33" i="6" s="1"/>
  <c r="H101" i="1"/>
  <c r="I101" i="1" s="1"/>
  <c r="H100" i="1"/>
  <c r="I100" i="1" s="1"/>
  <c r="G96" i="1"/>
  <c r="H96" i="1" s="1"/>
  <c r="I96" i="1" s="1"/>
  <c r="B96" i="1"/>
  <c r="H94" i="1"/>
  <c r="I94" i="1" s="1"/>
  <c r="B94" i="1"/>
  <c r="M80" i="4"/>
  <c r="M81" i="4"/>
  <c r="M82" i="4"/>
  <c r="M83" i="4"/>
  <c r="M84" i="4"/>
  <c r="M85" i="4"/>
  <c r="M86" i="4"/>
  <c r="M87" i="4"/>
  <c r="M88" i="4"/>
  <c r="M89"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15" i="4"/>
  <c r="M16" i="4"/>
  <c r="M17" i="4"/>
  <c r="G75" i="1"/>
  <c r="G86" i="1"/>
  <c r="M14" i="4"/>
  <c r="M4" i="4"/>
  <c r="M5" i="4"/>
  <c r="M6" i="4"/>
  <c r="M7" i="4"/>
  <c r="M8" i="4"/>
  <c r="M9" i="4"/>
  <c r="M10" i="4"/>
  <c r="M11" i="4"/>
  <c r="M12" i="4"/>
  <c r="M13" i="4"/>
  <c r="B86" i="1"/>
  <c r="H87" i="1"/>
  <c r="I87" i="1" s="1"/>
  <c r="B87" i="1"/>
  <c r="E32" i="6"/>
  <c r="F30" i="6"/>
  <c r="F32" i="6" s="1"/>
  <c r="F34" i="6" s="1"/>
  <c r="E30" i="6"/>
  <c r="B43" i="6"/>
  <c r="B42" i="6"/>
  <c r="C42" i="6" s="1"/>
  <c r="B41" i="6"/>
  <c r="B40" i="6"/>
  <c r="C40" i="6" s="1"/>
  <c r="B39" i="6"/>
  <c r="C39" i="6" s="1"/>
  <c r="B38" i="6"/>
  <c r="B37" i="6"/>
  <c r="C37" i="6" s="1"/>
  <c r="J32" i="6" s="1"/>
  <c r="C38" i="6"/>
  <c r="C41" i="6"/>
  <c r="C43" i="6"/>
  <c r="B36" i="6"/>
  <c r="C36" i="6" s="1"/>
  <c r="J31" i="6" s="1"/>
  <c r="B35" i="6"/>
  <c r="B33" i="6"/>
  <c r="C33" i="6" s="1"/>
  <c r="B34" i="6"/>
  <c r="C34" i="6" s="1"/>
  <c r="C35" i="6"/>
  <c r="J30" i="6" s="1"/>
  <c r="J35" i="6" s="1"/>
  <c r="J36" i="6" s="1"/>
  <c r="B32" i="6"/>
  <c r="C32" i="6" s="1"/>
  <c r="B31" i="6"/>
  <c r="C31" i="6" s="1"/>
  <c r="B30" i="6"/>
  <c r="C30" i="6" s="1"/>
  <c r="B82" i="1"/>
  <c r="G81" i="1"/>
  <c r="B81" i="1"/>
  <c r="H78" i="1"/>
  <c r="B79" i="1"/>
  <c r="B80" i="1"/>
  <c r="B78" i="1"/>
  <c r="H77" i="1"/>
  <c r="B77" i="1"/>
  <c r="B75" i="1"/>
  <c r="C49" i="6" l="1"/>
  <c r="C50" i="6" s="1"/>
  <c r="I77" i="1"/>
  <c r="I78" i="1"/>
  <c r="H82" i="1"/>
  <c r="I82" i="1" s="1"/>
  <c r="H79" i="1"/>
  <c r="I79" i="1" s="1"/>
  <c r="H80" i="1"/>
  <c r="I80" i="1" s="1"/>
  <c r="H81" i="1"/>
  <c r="I81" i="1" s="1"/>
  <c r="H76" i="1"/>
  <c r="I76" i="1" s="1"/>
  <c r="G58" i="1" l="1"/>
  <c r="G60" i="1"/>
  <c r="L11" i="6"/>
  <c r="L12" i="6" s="1"/>
  <c r="L13" i="6" s="1"/>
  <c r="P16" i="6"/>
  <c r="P15" i="6"/>
  <c r="P14" i="6"/>
  <c r="Q12" i="6"/>
  <c r="Q4" i="6"/>
  <c r="Q3" i="6"/>
  <c r="Q5" i="6" s="1"/>
  <c r="O9" i="6"/>
  <c r="Q9" i="6" s="1"/>
  <c r="Q10" i="6" s="1"/>
  <c r="D21" i="6"/>
  <c r="D22" i="6"/>
  <c r="D23" i="6"/>
  <c r="D24" i="6"/>
  <c r="D20" i="6"/>
  <c r="C17" i="6"/>
  <c r="C11" i="6"/>
  <c r="C12" i="6"/>
  <c r="C13" i="6"/>
  <c r="C14" i="6"/>
  <c r="C15" i="6"/>
  <c r="C16" i="6"/>
  <c r="C10" i="6"/>
  <c r="G32" i="1"/>
  <c r="E5" i="6"/>
  <c r="E4" i="6"/>
  <c r="E6" i="6" s="1"/>
  <c r="F14" i="1"/>
  <c r="I14" i="1" s="1"/>
  <c r="A6" i="6"/>
  <c r="Q18" i="6" l="1"/>
  <c r="D26" i="6"/>
  <c r="C18" i="6"/>
  <c r="B20" i="2"/>
  <c r="B19" i="2"/>
  <c r="B17" i="2"/>
  <c r="B16" i="2"/>
  <c r="B15" i="2"/>
  <c r="B14" i="2"/>
  <c r="B13" i="2"/>
  <c r="B12" i="2"/>
  <c r="B11" i="2"/>
  <c r="B10" i="2"/>
  <c r="B9" i="2"/>
  <c r="B8" i="2"/>
  <c r="G20" i="1"/>
  <c r="H20" i="1" s="1"/>
  <c r="I20" i="1" s="1"/>
  <c r="G116" i="1"/>
  <c r="H116" i="1" s="1"/>
  <c r="I116" i="1" s="1"/>
  <c r="B116" i="1"/>
  <c r="B104" i="1"/>
  <c r="B103" i="1"/>
  <c r="B102" i="1"/>
  <c r="G102" i="1"/>
  <c r="H102" i="1" s="1"/>
  <c r="I102" i="1" s="1"/>
  <c r="G103" i="1"/>
  <c r="H103" i="1" s="1"/>
  <c r="I103" i="1" s="1"/>
  <c r="G104" i="1"/>
  <c r="H104" i="1" s="1"/>
  <c r="I104" i="1" s="1"/>
  <c r="F22" i="6" l="1"/>
  <c r="B61" i="1"/>
  <c r="G30" i="1" l="1"/>
  <c r="B30" i="1"/>
  <c r="B69" i="1"/>
  <c r="G53" i="1"/>
  <c r="B53" i="1"/>
  <c r="H32" i="1"/>
  <c r="I32" i="1" s="1"/>
  <c r="G51" i="1"/>
  <c r="B51" i="1"/>
  <c r="B52" i="1"/>
  <c r="G50" i="1"/>
  <c r="B50" i="1"/>
  <c r="G31" i="1"/>
  <c r="B31" i="1"/>
  <c r="G117" i="1"/>
  <c r="B117" i="1"/>
  <c r="B66" i="1"/>
  <c r="G19" i="1"/>
  <c r="B19" i="1"/>
  <c r="B60" i="1"/>
  <c r="G43" i="1"/>
  <c r="H43" i="1" s="1"/>
  <c r="I43" i="1" s="1"/>
  <c r="B43" i="1"/>
  <c r="G111" i="1"/>
  <c r="B111" i="1"/>
  <c r="G110" i="1"/>
  <c r="B110" i="1"/>
  <c r="G109" i="1"/>
  <c r="B109" i="1"/>
  <c r="G68" i="1"/>
  <c r="B68" i="1"/>
  <c r="B67" i="1"/>
  <c r="H61" i="1" l="1"/>
  <c r="I61" i="1" s="1"/>
  <c r="H34" i="1"/>
  <c r="I34" i="1" s="1"/>
  <c r="H35" i="1"/>
  <c r="I35" i="1" s="1"/>
  <c r="H36" i="1"/>
  <c r="I36" i="1" s="1"/>
  <c r="H37" i="1"/>
  <c r="I37" i="1" s="1"/>
  <c r="H33" i="1"/>
  <c r="I33" i="1" s="1"/>
  <c r="B34" i="1"/>
  <c r="B35" i="1"/>
  <c r="B36" i="1"/>
  <c r="B37" i="1"/>
  <c r="B33" i="1"/>
  <c r="H75" i="1" l="1"/>
  <c r="I75" i="1" s="1"/>
  <c r="H66" i="1"/>
  <c r="I66" i="1" s="1"/>
  <c r="H67" i="1"/>
  <c r="I67" i="1" s="1"/>
  <c r="H68" i="1"/>
  <c r="I68" i="1" s="1"/>
  <c r="H69" i="1"/>
  <c r="I69" i="1" s="1"/>
  <c r="H60" i="1"/>
  <c r="I60" i="1" s="1"/>
  <c r="G42" i="1" l="1"/>
  <c r="B42" i="1"/>
  <c r="H24" i="1" l="1"/>
  <c r="I24" i="1" s="1"/>
  <c r="G13" i="1"/>
  <c r="H13" i="1" s="1"/>
  <c r="B13" i="1"/>
  <c r="G15" i="1"/>
  <c r="H15" i="1" s="1"/>
  <c r="I15" i="1" s="1"/>
  <c r="B15" i="1"/>
  <c r="F13" i="1"/>
  <c r="F8" i="1"/>
  <c r="I13" i="1" l="1"/>
  <c r="C10" i="2"/>
  <c r="M10" i="2" s="1"/>
  <c r="G41" i="1"/>
  <c r="B41" i="1"/>
  <c r="H58" i="1"/>
  <c r="I58" i="1" s="1"/>
  <c r="B58" i="1"/>
  <c r="H48" i="1"/>
  <c r="I48" i="1" s="1"/>
  <c r="H49" i="1"/>
  <c r="I49" i="1" s="1"/>
  <c r="H50" i="1"/>
  <c r="I50" i="1" s="1"/>
  <c r="H51" i="1"/>
  <c r="I51" i="1" s="1"/>
  <c r="H52" i="1"/>
  <c r="I52" i="1" s="1"/>
  <c r="H53" i="1"/>
  <c r="I53" i="1" s="1"/>
  <c r="H30" i="1"/>
  <c r="I30" i="1" s="1"/>
  <c r="H31" i="1"/>
  <c r="I31" i="1" s="1"/>
  <c r="B59" i="1"/>
  <c r="H59" i="1"/>
  <c r="I59" i="1" s="1"/>
  <c r="G118" i="1"/>
  <c r="B118" i="1"/>
  <c r="G12" i="1"/>
  <c r="H12" i="1" s="1"/>
  <c r="B12" i="1"/>
  <c r="G11" i="1"/>
  <c r="H11" i="1" s="1"/>
  <c r="B11" i="1"/>
  <c r="B10" i="1"/>
  <c r="G10" i="1"/>
  <c r="H10" i="1" s="1"/>
  <c r="I10" i="1" s="1"/>
  <c r="I106" i="1" l="1"/>
  <c r="C18" i="2" s="1"/>
  <c r="G8" i="1"/>
  <c r="M18" i="2" l="1"/>
  <c r="O18" i="2"/>
  <c r="K18" i="2"/>
  <c r="I18" i="2"/>
  <c r="G18" i="2"/>
  <c r="E18" i="2"/>
  <c r="F11" i="1"/>
  <c r="I11" i="1" s="1"/>
  <c r="F12" i="1"/>
  <c r="I12" i="1" s="1"/>
  <c r="H118" i="1"/>
  <c r="H117" i="1"/>
  <c r="I117" i="1" s="1"/>
  <c r="H115" i="1"/>
  <c r="I115" i="1" s="1"/>
  <c r="H111" i="1"/>
  <c r="I111" i="1" s="1"/>
  <c r="H110" i="1"/>
  <c r="I110" i="1" s="1"/>
  <c r="H109" i="1"/>
  <c r="I109" i="1" s="1"/>
  <c r="I83" i="1"/>
  <c r="C16" i="2" s="1"/>
  <c r="M16" i="2" s="1"/>
  <c r="H86" i="1"/>
  <c r="I86" i="1" s="1"/>
  <c r="I97" i="1" s="1"/>
  <c r="C17" i="2" s="1"/>
  <c r="M17" i="2" s="1"/>
  <c r="H65" i="1"/>
  <c r="I65" i="1" s="1"/>
  <c r="I72" i="1" s="1"/>
  <c r="I118" i="1" l="1"/>
  <c r="I120" i="1" s="1"/>
  <c r="I112" i="1"/>
  <c r="C19" i="2" s="1"/>
  <c r="M19" i="2" s="1"/>
  <c r="C15" i="2"/>
  <c r="M15" i="2" s="1"/>
  <c r="C20" i="2" l="1"/>
  <c r="M20" i="2" s="1"/>
  <c r="O19" i="2"/>
  <c r="O15" i="2"/>
  <c r="E15" i="2"/>
  <c r="K15" i="2"/>
  <c r="G15" i="2"/>
  <c r="I15" i="2"/>
  <c r="H3" i="2"/>
  <c r="H42" i="1"/>
  <c r="I42" i="1" s="1"/>
  <c r="H41" i="1"/>
  <c r="H29" i="1"/>
  <c r="G19" i="2" l="1"/>
  <c r="I19" i="2"/>
  <c r="E19" i="2"/>
  <c r="K19" i="2"/>
  <c r="O20" i="2"/>
  <c r="I20" i="2"/>
  <c r="E20" i="2"/>
  <c r="K20" i="2"/>
  <c r="G20" i="2"/>
  <c r="I29" i="1"/>
  <c r="I38" i="1" l="1"/>
  <c r="H19" i="1"/>
  <c r="C11" i="2" l="1"/>
  <c r="M11" i="2" s="1"/>
  <c r="H57" i="1"/>
  <c r="G9" i="1"/>
  <c r="H9" i="1" s="1"/>
  <c r="I9" i="1" s="1"/>
  <c r="M3" i="4"/>
  <c r="H8" i="1" s="1"/>
  <c r="K11" i="2" l="1"/>
  <c r="O11" i="2"/>
  <c r="I11" i="2"/>
  <c r="G11" i="2"/>
  <c r="H47" i="1"/>
  <c r="I19" i="1"/>
  <c r="I21" i="1" s="1"/>
  <c r="C9" i="2" s="1"/>
  <c r="M9" i="2" s="1"/>
  <c r="I9" i="2" l="1"/>
  <c r="G9" i="2"/>
  <c r="O9" i="2"/>
  <c r="K9" i="2"/>
  <c r="I57" i="1"/>
  <c r="I62" i="1" s="1"/>
  <c r="C14" i="2" s="1"/>
  <c r="M14" i="2" s="1"/>
  <c r="G14" i="2" l="1"/>
  <c r="O14" i="2"/>
  <c r="E14" i="2"/>
  <c r="I14" i="2"/>
  <c r="K14" i="2"/>
  <c r="I41" i="1"/>
  <c r="I44" i="1" s="1"/>
  <c r="C12" i="2" s="1"/>
  <c r="M12" i="2" s="1"/>
  <c r="K12" i="2" l="1"/>
  <c r="O12" i="2"/>
  <c r="I12" i="2"/>
  <c r="G12" i="2"/>
  <c r="R37" i="3"/>
  <c r="Q37" i="3"/>
  <c r="N34" i="3"/>
  <c r="N31" i="3"/>
  <c r="N30" i="3"/>
  <c r="N32" i="3" s="1"/>
  <c r="N33" i="3" s="1"/>
  <c r="N35" i="3" s="1"/>
  <c r="G42" i="3" s="1"/>
  <c r="H25" i="3"/>
  <c r="N24" i="3"/>
  <c r="I23" i="3" s="1"/>
  <c r="I24" i="3"/>
  <c r="H24" i="3"/>
  <c r="G24" i="3"/>
  <c r="F24" i="3"/>
  <c r="F23" i="3"/>
  <c r="G22" i="3"/>
  <c r="G21" i="3"/>
  <c r="I20" i="3"/>
  <c r="I19" i="3"/>
  <c r="H19" i="3"/>
  <c r="I18" i="3"/>
  <c r="H18" i="3"/>
  <c r="G18" i="3" s="1"/>
  <c r="I17" i="3"/>
  <c r="H17" i="3"/>
  <c r="I16" i="3"/>
  <c r="H16" i="3"/>
  <c r="G16" i="3" s="1"/>
  <c r="I15" i="3"/>
  <c r="H15" i="3"/>
  <c r="P10" i="3"/>
  <c r="C13" i="3" s="1"/>
  <c r="G17" i="3" l="1"/>
  <c r="G19" i="3"/>
  <c r="G15" i="3"/>
  <c r="F20" i="3"/>
  <c r="J21" i="3"/>
  <c r="H23" i="3"/>
  <c r="G23" i="3" s="1"/>
  <c r="A8" i="3"/>
  <c r="H20" i="3"/>
  <c r="G20" i="3" s="1"/>
  <c r="B40" i="3"/>
  <c r="B39" i="3"/>
  <c r="N18" i="3" l="1"/>
  <c r="F27" i="3"/>
  <c r="N59" i="3" l="1"/>
  <c r="Q43" i="3"/>
  <c r="R43" i="3"/>
  <c r="R42" i="3"/>
  <c r="Q42" i="3"/>
  <c r="N20" i="3"/>
  <c r="R44" i="3" l="1"/>
  <c r="N28" i="3" s="1"/>
  <c r="Q44" i="3"/>
  <c r="N27" i="3" s="1"/>
  <c r="N22" i="3"/>
  <c r="N19" i="3" s="1"/>
  <c r="B36" i="3" s="1"/>
  <c r="Q39" i="3"/>
  <c r="N57" i="3" l="1"/>
  <c r="N58" i="3"/>
  <c r="N54" i="3" l="1"/>
  <c r="G27" i="3" s="1"/>
  <c r="I47" i="1" l="1"/>
  <c r="I54" i="1" s="1"/>
  <c r="C13" i="2" s="1"/>
  <c r="M13" i="2" s="1"/>
  <c r="G13" i="2" l="1"/>
  <c r="E13" i="2"/>
  <c r="K13" i="2"/>
  <c r="O13" i="2"/>
  <c r="I13" i="2"/>
  <c r="I8" i="1"/>
  <c r="I16" i="1" l="1"/>
  <c r="C8" i="2" s="1"/>
  <c r="M8" i="2" s="1"/>
  <c r="E10" i="2"/>
  <c r="E9" i="2"/>
  <c r="E12" i="2"/>
  <c r="E11" i="2"/>
  <c r="I122" i="1" l="1"/>
  <c r="O10" i="2"/>
  <c r="K10" i="2"/>
  <c r="G10" i="2"/>
  <c r="I10" i="2"/>
  <c r="E8" i="2" l="1"/>
  <c r="K8" i="2"/>
  <c r="I8" i="2"/>
  <c r="G8" i="2"/>
  <c r="O8" i="2"/>
  <c r="O16" i="2" l="1"/>
  <c r="G16" i="2"/>
  <c r="K16" i="2"/>
  <c r="E16" i="2"/>
  <c r="I16" i="2"/>
  <c r="H3" i="1"/>
  <c r="L3" i="2" s="1"/>
  <c r="K17" i="2"/>
  <c r="K21" i="2" l="1"/>
  <c r="G17" i="2"/>
  <c r="G21" i="2" s="1"/>
  <c r="I17" i="2"/>
  <c r="I21" i="2" s="1"/>
  <c r="E17" i="2"/>
  <c r="C21" i="2"/>
  <c r="O17" i="2"/>
  <c r="O21" i="2" s="1"/>
  <c r="N21" i="2" l="1"/>
  <c r="H21" i="2"/>
  <c r="F21" i="2"/>
  <c r="J21" i="2"/>
  <c r="E21" i="2"/>
  <c r="M21" i="2"/>
  <c r="L21" i="2" s="1"/>
  <c r="E22" i="2" l="1"/>
  <c r="G22" i="2" s="1"/>
  <c r="I22" i="2" s="1"/>
  <c r="K22" i="2" s="1"/>
  <c r="M22" i="2" s="1"/>
  <c r="O22" i="2" s="1"/>
  <c r="D21" i="2"/>
  <c r="D22" i="2" s="1"/>
  <c r="F22" i="2" s="1"/>
  <c r="H22" i="2" s="1"/>
  <c r="J22" i="2" s="1"/>
  <c r="L22" i="2" l="1"/>
  <c r="N22" i="2" s="1"/>
</calcChain>
</file>

<file path=xl/sharedStrings.xml><?xml version="1.0" encoding="utf-8"?>
<sst xmlns="http://schemas.openxmlformats.org/spreadsheetml/2006/main" count="1010" uniqueCount="598">
  <si>
    <t>ITEM</t>
  </si>
  <si>
    <t>1.1</t>
  </si>
  <si>
    <t>2.1</t>
  </si>
  <si>
    <t>3.1</t>
  </si>
  <si>
    <t>5.1</t>
  </si>
  <si>
    <t>CRONOGRAMA FÍSICO/FINANCEIRO</t>
  </si>
  <si>
    <t>Valor Acumulado</t>
  </si>
  <si>
    <t>Mês 01</t>
  </si>
  <si>
    <t>Mês 02</t>
  </si>
  <si>
    <t>Mês 03</t>
  </si>
  <si>
    <t>No mês</t>
  </si>
  <si>
    <t>Valor Medido</t>
  </si>
  <si>
    <t>ACUMULADO</t>
  </si>
  <si>
    <t>4.1</t>
  </si>
  <si>
    <t>4.2</t>
  </si>
  <si>
    <t>7.1</t>
  </si>
  <si>
    <t>BDI</t>
  </si>
  <si>
    <t>DATA</t>
  </si>
  <si>
    <t>VALOR DA OBRA C/ BDI:</t>
  </si>
  <si>
    <t>CÓDIGO</t>
  </si>
  <si>
    <t>FONTE</t>
  </si>
  <si>
    <t>DESCRIÇÃO DOS SERVIÇOS</t>
  </si>
  <si>
    <t>UND</t>
  </si>
  <si>
    <t>QTDADE</t>
  </si>
  <si>
    <t>PR. UNIT. S/ BDI  (R$)</t>
  </si>
  <si>
    <t>PREÇO UNIT. C/ BDI (R$)</t>
  </si>
  <si>
    <t>VALOR (R$)</t>
  </si>
  <si>
    <t>1.</t>
  </si>
  <si>
    <t>SERVIÇOS PRELIMINARES</t>
  </si>
  <si>
    <t>DEINFRA</t>
  </si>
  <si>
    <t>m²</t>
  </si>
  <si>
    <t>2.</t>
  </si>
  <si>
    <t>Subtotal item 2.0</t>
  </si>
  <si>
    <t>3.</t>
  </si>
  <si>
    <t>4.</t>
  </si>
  <si>
    <t>Subtotal item 1.0</t>
  </si>
  <si>
    <t>5.</t>
  </si>
  <si>
    <t>Subtotal item 3.0</t>
  </si>
  <si>
    <t>7.</t>
  </si>
  <si>
    <t>SERVIÇOS DIVERSOS</t>
  </si>
  <si>
    <t>Locação de obra</t>
  </si>
  <si>
    <t>PLANILHA ORÇAMENTÁRIA</t>
  </si>
  <si>
    <t>m</t>
  </si>
  <si>
    <t>SEINFRA</t>
  </si>
  <si>
    <t>1.2</t>
  </si>
  <si>
    <t>1.4</t>
  </si>
  <si>
    <t>2.2</t>
  </si>
  <si>
    <t>Subtotal item 4.0</t>
  </si>
  <si>
    <t>6.1</t>
  </si>
  <si>
    <t>6.2</t>
  </si>
  <si>
    <t>6.3</t>
  </si>
  <si>
    <t>Subtotal item 6.0</t>
  </si>
  <si>
    <t>7.2</t>
  </si>
  <si>
    <t>Subtotal item 7.0</t>
  </si>
  <si>
    <t>_______________________________________</t>
  </si>
  <si>
    <t>Agente Promotor</t>
  </si>
  <si>
    <t>Número do Contrato</t>
  </si>
  <si>
    <t>.</t>
  </si>
  <si>
    <t>Empreendimento</t>
  </si>
  <si>
    <t>Localização</t>
  </si>
  <si>
    <t>Programa</t>
  </si>
  <si>
    <t>VERSÃO 1.18 (Dez/2015)</t>
  </si>
  <si>
    <t>TIPO DE OBRA</t>
  </si>
  <si>
    <t>Construção de Edifícios</t>
  </si>
  <si>
    <t>Construção de Rodovias e Ferrovias</t>
  </si>
  <si>
    <t>Construção de Redes de Abastecimento de Água, Coleta de Esgoto e Construções Correlatas</t>
  </si>
  <si>
    <t>Construção e Manutenção de Estações e Redes de Distribuição de Energia Elétrica</t>
  </si>
  <si>
    <t>DESCRIÇÃO ANALÍTICA</t>
  </si>
  <si>
    <t>SIGLAS</t>
  </si>
  <si>
    <t>PERCENTUAL</t>
  </si>
  <si>
    <t>SITUAÇÃO</t>
  </si>
  <si>
    <t>1º QUARTIL (MÍNIMO)</t>
  </si>
  <si>
    <t>3º QUARTIL (MÁXIMO)</t>
  </si>
  <si>
    <t>Obras Portuárias, Marítimas e Fluviais</t>
  </si>
  <si>
    <t>ADMINISTRAÇÃO CENTRAL</t>
  </si>
  <si>
    <t>AC</t>
  </si>
  <si>
    <t>Fornecimento de Materiais e Equipamentos</t>
  </si>
  <si>
    <t>SEGURO E GARANTIA</t>
  </si>
  <si>
    <t>S + G</t>
  </si>
  <si>
    <t>minimos</t>
  </si>
  <si>
    <t>RISCO</t>
  </si>
  <si>
    <t>R</t>
  </si>
  <si>
    <t>DESPESAS FINANCEIRAS</t>
  </si>
  <si>
    <t>DF</t>
  </si>
  <si>
    <t>LUCRO</t>
  </si>
  <si>
    <t>L</t>
  </si>
  <si>
    <t>TAXA REPRESENTATIVA DE TRIBUTOS</t>
  </si>
  <si>
    <t>I = PIS+COFINS+ISS+CPRB</t>
  </si>
  <si>
    <t>PIS</t>
  </si>
  <si>
    <t>%</t>
  </si>
  <si>
    <t>Alíquota ISS:</t>
  </si>
  <si>
    <t>Base de cálculo:</t>
  </si>
  <si>
    <t>COFINS</t>
  </si>
  <si>
    <t>maximos</t>
  </si>
  <si>
    <t>CONTRIBUIÇÃO PREVIDENCIÁRIA SOBRE A RECEITA BRUTA</t>
  </si>
  <si>
    <t>CPRB</t>
  </si>
  <si>
    <t>6.4</t>
  </si>
  <si>
    <t>ISS</t>
  </si>
  <si>
    <t>LIMITE CONFORME ACÓRDÃO TCU 2.622/2013</t>
  </si>
  <si>
    <t>Composição do BDI para obras com mão-de-obra desonerada (conforme Lei 13.161 de 2015)</t>
  </si>
  <si>
    <t>Fórmula - Acórdão TCU 2.622/2013:</t>
  </si>
  <si>
    <t>Composição do BDI para obras com mão-de-obra onerada</t>
  </si>
  <si>
    <t>de 20,34% a 25,00%</t>
  </si>
  <si>
    <t>Justificativas e Observações:</t>
  </si>
  <si>
    <t>de 19,60% a 24,23%</t>
  </si>
  <si>
    <t>de 20,76% a 26,44%</t>
  </si>
  <si>
    <t>de 24,00% a 27,86%</t>
  </si>
  <si>
    <t>de 22,80% a 30,95%</t>
  </si>
  <si>
    <t>de 11,10% a 16,80%</t>
  </si>
  <si>
    <t>LIMITES DE BDI</t>
  </si>
  <si>
    <t>Obs¹: Para pagamento de material em canteiro, quando possível nos programas do Gestor, o BDI de Materiais deve ser limitado a 12,00%.</t>
  </si>
  <si>
    <t>Calculo real:</t>
  </si>
  <si>
    <t>Declaração do Tomador dos Recursos:</t>
  </si>
  <si>
    <t>1= abaixo</t>
  </si>
  <si>
    <t>2= dentro</t>
  </si>
  <si>
    <t>3= acima</t>
  </si>
  <si>
    <t>real</t>
  </si>
  <si>
    <t>OK</t>
  </si>
  <si>
    <t>final</t>
  </si>
  <si>
    <t>Data</t>
  </si>
  <si>
    <t>Percentual do BDI inferior ao limite estipulado pelo Acórdão TCU 2.622/2013.</t>
  </si>
  <si>
    <t>2= final abaixo</t>
  </si>
  <si>
    <t>Percentual do BDI quando calculado sem desoneração é inferior ao limite estipulado pelo Acórdão TCU 2.622/2013.</t>
  </si>
  <si>
    <t>3= final dentro real abaixo</t>
  </si>
  <si>
    <t>OK!</t>
  </si>
  <si>
    <t>4= final dentro real dentro</t>
  </si>
  <si>
    <t>OK! Percentual do BDI quando calculado sem desoneração atende ao limite estipulado pelo Acórdão TCU 2.622/2013.</t>
  </si>
  <si>
    <t>5= final acima real dentro</t>
  </si>
  <si>
    <t>Responsável Técnico pela Composição do BDI</t>
  </si>
  <si>
    <t>Responsável indicado pelo Tomador</t>
  </si>
  <si>
    <t>Percentual do BDI superior ao limite estipulado pelo Acórdão TCU 2.622/2013.</t>
  </si>
  <si>
    <t>6= final acima real acima</t>
  </si>
  <si>
    <t xml:space="preserve">Nome: </t>
  </si>
  <si>
    <t>Nome:</t>
  </si>
  <si>
    <t>Registro:</t>
  </si>
  <si>
    <t>Cargo:</t>
  </si>
  <si>
    <t>Eu, responsável técnico pelo orçamento, declaro para os devidos fins, que a opção pela desoneração sobre a folha de pagamento é mais adequada para a administração pública.</t>
  </si>
  <si>
    <t>ART/RRT:</t>
  </si>
  <si>
    <t>CPF:</t>
  </si>
  <si>
    <t>Eu, responsável técnico pelo orçamento, declaro para os devidos fins, que a opção pela oneração sobre a folha de pagamento é mais adequada para a administração pública.</t>
  </si>
  <si>
    <t>onerado</t>
  </si>
  <si>
    <t>desonerado</t>
  </si>
  <si>
    <t>5.2</t>
  </si>
  <si>
    <t>Mês 04</t>
  </si>
  <si>
    <t>Mês 05</t>
  </si>
  <si>
    <t>M2</t>
  </si>
  <si>
    <t>UNIDADE</t>
  </si>
  <si>
    <t>CODIGO  DA COMPOSICAO</t>
  </si>
  <si>
    <t>DESCRICAO DA COMPOSICAO</t>
  </si>
  <si>
    <t>ORIGEM DE PREÇO</t>
  </si>
  <si>
    <t>CUSTO TOTAL</t>
  </si>
  <si>
    <t>M3</t>
  </si>
  <si>
    <t>Placa obra pintada e fixada em estrutura madeira</t>
  </si>
  <si>
    <t>CODIGO</t>
  </si>
  <si>
    <t>DESCRIÇÃO</t>
  </si>
  <si>
    <t>CUSTO EXECUÇÃO</t>
  </si>
  <si>
    <t>CUSTO MATERIAL</t>
  </si>
  <si>
    <t>PREÇO UNITÁRIO</t>
  </si>
  <si>
    <t xml:space="preserve">Locação da Obra </t>
  </si>
  <si>
    <t>Projeto Elétrico</t>
  </si>
  <si>
    <t>PREÇO UNITÁRIO (+25%)</t>
  </si>
  <si>
    <t xml:space="preserve"> M2 </t>
  </si>
  <si>
    <t>M</t>
  </si>
  <si>
    <t>COEFICIENTE DE REPRESENTATIVIDADE</t>
  </si>
  <si>
    <t>UN</t>
  </si>
  <si>
    <t>Abrigo provisorio de pinus</t>
  </si>
  <si>
    <t xml:space="preserve">Limpeza da obra </t>
  </si>
  <si>
    <t xml:space="preserve">M2 </t>
  </si>
  <si>
    <t>7.3</t>
  </si>
  <si>
    <t>Subtotal item 5.0</t>
  </si>
  <si>
    <t>6.</t>
  </si>
  <si>
    <t>1.5</t>
  </si>
  <si>
    <t>5.3</t>
  </si>
  <si>
    <t>1.3</t>
  </si>
  <si>
    <t>1.6</t>
  </si>
  <si>
    <t>1.7</t>
  </si>
  <si>
    <t>1.8</t>
  </si>
  <si>
    <t>Retirada de portas, janelas e caixilhos</t>
  </si>
  <si>
    <t>Obra: AMPLIAÇÃO E REFORMA - CEIM SEPÉ TIARAJU SÃO CARLOS - COM FORNECIMENTO DE MATERIAL</t>
  </si>
  <si>
    <t>IMPERMEABILIZAÇÃO</t>
  </si>
  <si>
    <t>COBERTURA</t>
  </si>
  <si>
    <t>ELÉTRICA</t>
  </si>
  <si>
    <t>8.</t>
  </si>
  <si>
    <t>9.</t>
  </si>
  <si>
    <t>10.</t>
  </si>
  <si>
    <t>11.</t>
  </si>
  <si>
    <t>Forma para estruturas em concreto (Reaproveitamento 2x)</t>
  </si>
  <si>
    <t>Lastro de Brita 6cm</t>
  </si>
  <si>
    <t>Contrapiso, concreto espessura 6cm</t>
  </si>
  <si>
    <t>PINTURA E ACABAMENTOS</t>
  </si>
  <si>
    <t>Aplicação manual de fundo selador acrílico</t>
  </si>
  <si>
    <t>Limpeza final da obra</t>
  </si>
  <si>
    <t>Subtotal item 8.0</t>
  </si>
  <si>
    <t>Subtotal item 9.0</t>
  </si>
  <si>
    <t>Subtotal item 10.0</t>
  </si>
  <si>
    <t>Subtotal item 11.0</t>
  </si>
  <si>
    <t>8.1</t>
  </si>
  <si>
    <t>8.2</t>
  </si>
  <si>
    <t>8.3</t>
  </si>
  <si>
    <t>8.4</t>
  </si>
  <si>
    <t>9.1</t>
  </si>
  <si>
    <t>10.1</t>
  </si>
  <si>
    <t>10.2</t>
  </si>
  <si>
    <t>11.1</t>
  </si>
  <si>
    <t>11.2</t>
  </si>
  <si>
    <t>unid</t>
  </si>
  <si>
    <t>Placa obra pintada e fixada em estrutura de madeira (1,50x2,50)</t>
  </si>
  <si>
    <t xml:space="preserve">TOTAL COM BDI </t>
  </si>
  <si>
    <t>Demolicao de alvenaria de tijolos furado</t>
  </si>
  <si>
    <t>Projeto Prevenção Incêndio Completo</t>
  </si>
  <si>
    <t>Projeto estrutural</t>
  </si>
  <si>
    <t>Tanque de aco inox fixo em alv. sifonado c/ metais</t>
  </si>
  <si>
    <t>UNID</t>
  </si>
  <si>
    <t>Lavatório de louça simples sifonado c/ torneira Pressmati</t>
  </si>
  <si>
    <t xml:space="preserve"> UNID</t>
  </si>
  <si>
    <t>95469</t>
  </si>
  <si>
    <t>VASO SANITARIO SIFONADO CONVENCIONAL COM  LOUÇA BRANCA - FORNECIMENTO E INSTALAÇÃO. AF_01/2020</t>
  </si>
  <si>
    <t>SINAPI</t>
  </si>
  <si>
    <t>89482</t>
  </si>
  <si>
    <t>CAIXA SIFONADA, PVC, DN 100 X 100 X 50 MM, FORNECIDA E INSTALADA EM RAMAIS DE ENCAMINHAMENTO DE ÁGUA PLUVIAL. AF_12/2014</t>
  </si>
  <si>
    <t>86914</t>
  </si>
  <si>
    <t>TORNEIRA CROMADA 1/2 OU 3/4 PARA TANQUE, PADRÃO MÉDIO - FORNECIMENTO E INSTALAÇÃO. AF_01/2020</t>
  </si>
  <si>
    <t>86915</t>
  </si>
  <si>
    <t>TORNEIRA CROMADA DE MESA, 1/2 OU 3/4, PARA LAVATÓRIO, PADRÃO MÉDIO - FORNECIMENTO E INSTALAÇÃO. AF_01/2020</t>
  </si>
  <si>
    <t>Tubo PVC rigido soldavel 40 mm</t>
  </si>
  <si>
    <t>Tubo PVC rigido soldavel 50mm</t>
  </si>
  <si>
    <t>Tubo PVC rigido soldavel 75mm</t>
  </si>
  <si>
    <t>Tubo PVC rigido 100mm esgoto primario</t>
  </si>
  <si>
    <t xml:space="preserve">Joelho 45 PVC rigido soldavel 40mm </t>
  </si>
  <si>
    <t xml:space="preserve">Joelho 45 PVC rigido soldavel 50mm </t>
  </si>
  <si>
    <t xml:space="preserve">Joelho 45 PVC rigido soldavel 75 mm </t>
  </si>
  <si>
    <t xml:space="preserve">Joelho 45 esgoto primario 100mm </t>
  </si>
  <si>
    <t>9.2</t>
  </si>
  <si>
    <t>9.3</t>
  </si>
  <si>
    <t>9.4</t>
  </si>
  <si>
    <t>9.5</t>
  </si>
  <si>
    <t>9.6</t>
  </si>
  <si>
    <t>9.7</t>
  </si>
  <si>
    <t>9.8</t>
  </si>
  <si>
    <t>Tubo PVC rigido soldavel 25 mm</t>
  </si>
  <si>
    <t>89986</t>
  </si>
  <si>
    <t>REGISTRO DE GAVETA BRUTO, LATÃO, ROSCÁVEL, 1/2", COM ACABAMENTO E CANOPLA CROMADOS - FORNECIMENTO E INSTALAÇÃO. AF_08/2021</t>
  </si>
  <si>
    <t>Joelho 90 PVC rigido soldavel 25mm</t>
  </si>
  <si>
    <t>Te 90 PVC rigido soldavel 25mm</t>
  </si>
  <si>
    <t>89714</t>
  </si>
  <si>
    <t>TUBO PVC, SERIE NORMAL, ESGOTO PREDIAL, DN 100 MM, FORNECIDO E INSTALADO EM RAMAL DE DESCARGA OU RAMAL DE ESGOTO SANITÁRIO. AF_12/2014</t>
  </si>
  <si>
    <t xml:space="preserve">Cuba inox 55x33x14 cm em bancada c/ sifão de pvc </t>
  </si>
  <si>
    <t xml:space="preserve">Demolicao de pavimentacao de taco de madeira </t>
  </si>
  <si>
    <t>Demolicao piso ceramico</t>
  </si>
  <si>
    <t xml:space="preserve">Porta chapeada de madeira angelim c/ forra, vistas e ferragens </t>
  </si>
  <si>
    <t>94569</t>
  </si>
  <si>
    <t>JANELA DE ALUMÍNIO TIPO MAXIM-AR, COM VIDROS, BATENTE E FERRAGENS. EXCLUSIVE ALIZAR, ACABAMENTO E CONTRAMARCO. FORNECIMENTO E INSTALAÇÃO. AF_12/2019</t>
  </si>
  <si>
    <t>Janela de alumínio - inlcuso vidros, batente e ferragem</t>
  </si>
  <si>
    <t>6.5</t>
  </si>
  <si>
    <t>91338</t>
  </si>
  <si>
    <t>PORTA DE ALUMÍNIO DE ABRIR COM LAMBRI, COM GUARNIÇÃO, FIXAÇÃO COM PARAFUSOS - FORNECIMENTO E INSTALAÇÃO. AF_12/2019</t>
  </si>
  <si>
    <t>Porta de ferro chapa lisa completa</t>
  </si>
  <si>
    <t xml:space="preserve"> M2</t>
  </si>
  <si>
    <t>6.6</t>
  </si>
  <si>
    <t xml:space="preserve"> Porta de Vidro Temperado 10mm Liso c/ Ferragens Colocado</t>
  </si>
  <si>
    <t>98557</t>
  </si>
  <si>
    <t>IMPERMEABILIZAÇÃO DE SUPERFÍCIE COM EMULSÃO ASFÁLTICA, 2 DEMÃOS AF_06/2018</t>
  </si>
  <si>
    <t>102605</t>
  </si>
  <si>
    <t>CAIXA D´ÁGUA EM POLIETILENO, 500 LITROS - FORNECIMENTO E INSTALAÇÃO. AF_06/2021</t>
  </si>
  <si>
    <t xml:space="preserve">Extintor de incendio PQS 4KG </t>
  </si>
  <si>
    <t>Abrigo em alumínio para extintores padrão</t>
  </si>
  <si>
    <t xml:space="preserve">Placa de sinalizacao acrilico 16x25 cm </t>
  </si>
  <si>
    <t xml:space="preserve">Sumidouro </t>
  </si>
  <si>
    <t>m³</t>
  </si>
  <si>
    <t>Filtro anaerobio</t>
  </si>
  <si>
    <t>Fossa Septica</t>
  </si>
  <si>
    <t xml:space="preserve"> M3</t>
  </si>
  <si>
    <t>Tapume em madeira</t>
  </si>
  <si>
    <t>Tapume de madeira</t>
  </si>
  <si>
    <t>Abrigo provisório de pinus, sem divisórias internas e sem sanitário</t>
  </si>
  <si>
    <t>Projeto Completo - Estrutural c/ fundações</t>
  </si>
  <si>
    <t>Projeto elétrico - completo</t>
  </si>
  <si>
    <t>Projeto hidrossanitário - completo</t>
  </si>
  <si>
    <t>Projeto Hidro-Sanitario</t>
  </si>
  <si>
    <t xml:space="preserve">SERVIÇOS EM CONCRETO </t>
  </si>
  <si>
    <t>SISTEMA DE VEDAÇÃO E REVESTIMENTOS</t>
  </si>
  <si>
    <t>ESQUADRIAS</t>
  </si>
  <si>
    <t>Escavação manual e reaterro - Fundações/Hidro</t>
  </si>
  <si>
    <t>Carga e transporte de entulho e posterior transporte /10km</t>
  </si>
  <si>
    <t>Retirada de aparelhos sanitarios</t>
  </si>
  <si>
    <t>Impermabilização de alvenaria com cimento cristalizante - 3 demãos</t>
  </si>
  <si>
    <t>Impermeabilizacao rig. c/ arg. cristalizante -reservatórios</t>
  </si>
  <si>
    <t>Reboco</t>
  </si>
  <si>
    <t>Piso ceramico Extra antiderrapante PEI-5 c/argamassa
colante AC III</t>
  </si>
  <si>
    <t>90843</t>
  </si>
  <si>
    <t>KIT DE PORTA DE MADEIRA PARA PINTURA, SEMI-OCA (LEVE OU MÉDIA), PADRÃO MÉDIO, 80X210CM, ESPESSURA DE 3,5CM, ITENS INCLUSOS: DOBRADIÇAS, MONTAGEM E INSTALAÇÃO DO BATENTE, FECHADURA COM EXECUÇÃO DO FURO - FORNECIMENTO E INSTALAÇÃO. AF_12/2019</t>
  </si>
  <si>
    <t>Fechadura de embutir com cilindro para portas externas, completa, acabamento padrão médio, incluso furo</t>
  </si>
  <si>
    <t>Trama de madeira para telhado - ripas, caibros e terças</t>
  </si>
  <si>
    <t>Calha em chapa de aço galvanizado n°24 - incluso descidas</t>
  </si>
  <si>
    <t>Testeira de madeira pintada</t>
  </si>
  <si>
    <t>91341</t>
  </si>
  <si>
    <t>PORTA EM ALUMÍNIO DE ABRIR TIPO VENEZIANA COM GUARNIÇÃO, FIXAÇÃO COM PARAFUSOS - FORNECIMENTO E INSTALAÇÃO. AF_12/2019</t>
  </si>
  <si>
    <t>93199</t>
  </si>
  <si>
    <t>CONTRAVERGA MOLDADA IN LOCO COM UTILIZAÇÃO DE BLOCOS CANALETA PARA VÃOS DE MAIS DE 1,5 M DE COMPRIMENTO. AF_03/2016</t>
  </si>
  <si>
    <t>93188</t>
  </si>
  <si>
    <t>VERGA MOLDADA IN LOCO EM CONCRETO PARA PORTAS COM ATÉ 1,5 M DE VÃO. AF_03/2016</t>
  </si>
  <si>
    <t>ATRIBUÍDO SÃO PAULO</t>
  </si>
  <si>
    <t>93187</t>
  </si>
  <si>
    <t>VERGA MOLDADA IN LOCO EM CONCRETO PARA JANELAS COM MAIS DE 1,5 M DE VÃO. AF_03/2016</t>
  </si>
  <si>
    <t>93186</t>
  </si>
  <si>
    <t>VERGA MOLDADA IN LOCO EM CONCRETO PARA JANELAS COM ATÉ 1,5 M DE VÃO. AF_03/2016</t>
  </si>
  <si>
    <t>93196</t>
  </si>
  <si>
    <t>CONTRAVERGA MOLDADA IN LOCO EM CONCRETO PARA VÃOS DE ATÉ 1,5 M DE COMPRIMENTO. AF_03/2016</t>
  </si>
  <si>
    <t>Verga moldada in loco em concreto para janelas até 1,5m</t>
  </si>
  <si>
    <t>Verga moldada in loco em concreto para janelas com mais de 1,5m</t>
  </si>
  <si>
    <t>Verga moldada in loco em concreto para portas com até 1,5m</t>
  </si>
  <si>
    <t>Contraverga moldada in loco em concreto para vãos de até 1,5m</t>
  </si>
  <si>
    <t>93189</t>
  </si>
  <si>
    <t>VERGA MOLDADA IN LOCO EM CONCRETO PARA PORTAS COM MAIS DE 1,5 M DE VÃO. AF_03/2016</t>
  </si>
  <si>
    <t>93197</t>
  </si>
  <si>
    <t>CONTRAVERGA MOLDADA IN LOCO EM CONCRETO PARA VÃOS DE MAIS DE 1,5 M DE COMPRIMENTO. AF_03/2016</t>
  </si>
  <si>
    <t>Contraverga moldada in loco em concreto para vãos com mais de 1,5m</t>
  </si>
  <si>
    <t>6.7</t>
  </si>
  <si>
    <t>Cobertura com telha fibrocimento 6 mm</t>
  </si>
  <si>
    <t>94227</t>
  </si>
  <si>
    <t>CALHA EM CHAPA DE AÇO GALVANIZADO NÚMERO 24, DESENVOLVIMENTO DE 33 CM, INCLUSO TRANSPORTE VERTICAL. AF_07/2019</t>
  </si>
  <si>
    <t>92543</t>
  </si>
  <si>
    <t>TRAMA DE MADEIRA COMPOSTA POR TERÇAS PARA TELHADOS DE ATÉ 2 ÁGUAS PARA TELHA ONDULADA DE FIBROCIMENTO, METÁLICA, PLÁSTICA OU TERMOACÚSTICA, INCLUSO TRANSPORTE VERTICAL. AF_07/2019</t>
  </si>
  <si>
    <t>94223</t>
  </si>
  <si>
    <t>CUMEEIRA PARA TELHA DE FIBROCIMENTO ONDULADA E = 6 MM, INCLUSO ACESSÓRIOS DE FIXAÇÃO E IÇAMENTO. AF_07/2019</t>
  </si>
  <si>
    <t>Testeira de madeira/beiral 17 cm</t>
  </si>
  <si>
    <t>Pintura acrilica - 2 demaos</t>
  </si>
  <si>
    <t xml:space="preserve">Selador acrilico alvenaria int/ext </t>
  </si>
  <si>
    <t>Massa acrílica para interior e exterior</t>
  </si>
  <si>
    <t>Massa acrilica para interior e exterior</t>
  </si>
  <si>
    <t>10.3</t>
  </si>
  <si>
    <t>Impermeabilização de superfície com emulsão asfáltica - 2 demãos</t>
  </si>
  <si>
    <t>Soleira de Granito 17cm</t>
  </si>
  <si>
    <t xml:space="preserve">Movimento manual de terra (escavação e reaterro) </t>
  </si>
  <si>
    <t>Movimento manual de terra (escavação e reaterro)</t>
  </si>
  <si>
    <t>Cobertura com telha Romana</t>
  </si>
  <si>
    <t>Alvenaria tijolos 6 furos 12 cm</t>
  </si>
  <si>
    <t>87879</t>
  </si>
  <si>
    <t>CHAPISCO APLICADO EM ALVENARIAS E ESTRUTURAS DE CONCRETO INTERNAS, COM COLHER DE PEDREIRO.  ARGAMASSA TRAÇO 1:3 COM PREPARO EM BETONEIRA 400L. AF_06/2014</t>
  </si>
  <si>
    <t>Gradil Janelas</t>
  </si>
  <si>
    <t>Grade simples-ferro para protecao de janelas</t>
  </si>
  <si>
    <t>Lastro de brita</t>
  </si>
  <si>
    <t>94224</t>
  </si>
  <si>
    <t>EMBOÇAMENTO COM ARGAMASSA TRAÇO 1:2:9 (CIMENTO, CAL E AREIA). AF_07/2019</t>
  </si>
  <si>
    <t>87273</t>
  </si>
  <si>
    <t>REVESTIMENTO CERÂMICO PARA PAREDES INTERNAS COM PLACAS TIPO ESMALTADA EXTRA DE DIMENSÕES 33X45 CM APLICADAS EM AMBIENTES DE ÁREA MAIOR QUE 5 M² NA ALTURA INTEIRA DAS PAREDES. AF_06/2014</t>
  </si>
  <si>
    <t>DEINFRA 01/2021</t>
  </si>
  <si>
    <t>Piso ceramico Extra antiderrapante PEI-5 c/argamassa colante AC III</t>
  </si>
  <si>
    <t>IVANA MICHALTCHUK</t>
  </si>
  <si>
    <t>SECRETARIA DA EDUCAÇÃO</t>
  </si>
  <si>
    <t>88648</t>
  </si>
  <si>
    <t>RODAPÉ CERÂMICO DE 7CM DE ALTURA COM PLACAS TIPO ESMALTADA EXTRA  DE DIMENSÕES 35X35CM. AF_06/2014</t>
  </si>
  <si>
    <t>Contrapiso e=6cm / concreto magro 1:3:6</t>
  </si>
  <si>
    <t>7.4</t>
  </si>
  <si>
    <t>7.5</t>
  </si>
  <si>
    <t>Eletroduto tipo mangueira corrugada de 1/2"</t>
  </si>
  <si>
    <t xml:space="preserve"> M </t>
  </si>
  <si>
    <t>Forma de Madeira Tábuas de Pinus 2 utilizações</t>
  </si>
  <si>
    <t xml:space="preserve">Concreto armado 25Mpa usinado /bombeado </t>
  </si>
  <si>
    <t>99814</t>
  </si>
  <si>
    <t>LIMPEZA DE SUPERFÍCIE COM JATO DE ALTA PRESSÃO. AF_04/2019</t>
  </si>
  <si>
    <t>10.4</t>
  </si>
  <si>
    <t>90830</t>
  </si>
  <si>
    <t>FECHADURA DE EMBUTIR COM CILINDRO, EXTERNA, COMPLETA, ACABAMENTO PADRÃO MÉDIO, INCLUSO EXECUÇÃO DE FURO - FORNECIMENTO E INSTALAÇÃO. AF_12/2019</t>
  </si>
  <si>
    <t>101875</t>
  </si>
  <si>
    <t>QUADRO DE DISTRIBUIÇÃO DE ENERGIA EM CHAPA DE AÇO GALVANIZADO, DE EMBUTIR, COM BARRAMENTO TRIFÁSICO, PARA 12 DISJUNTORES DIN 100A - FORNECIMENTO E INSTALAÇÃO. AF_10/2020</t>
  </si>
  <si>
    <t>93141</t>
  </si>
  <si>
    <t>PONTO DE TOMADA RESIDENCIAL INCLUINDO TOMADA 10A/250V, CAIXA ELÉTRICA, ELETRODUTO, CABO, RASGO, QUEBRA E CHUMBAMENTO. AF_01/2016</t>
  </si>
  <si>
    <t>93128</t>
  </si>
  <si>
    <t>PONTO DE ILUMINAÇÃO RESIDENCIAL INCLUINDO INTERRUPTOR SIMPLES, CAIXA ELÉTRICA, ELETRODUTO, CABO, RASGO, QUEBRA E CHUMBAMENTO (EXCLUINDO LUMINÁRIA E LÂMPADA). AF_01/2016</t>
  </si>
  <si>
    <t>Raspagem de Contra Piso</t>
  </si>
  <si>
    <t>Bancada alvenaria/concreto padrao laboratorio 2,1x0,8m,
completa</t>
  </si>
  <si>
    <t>Sondagem a percussão - SPT</t>
  </si>
  <si>
    <t>Granito polido 3 cm</t>
  </si>
  <si>
    <t>Saboneteira tipo dispenser para sabonete líquido</t>
  </si>
  <si>
    <t>Toalheiro plástico tipo dispenser para papel toalha interfolhado</t>
  </si>
  <si>
    <t>TOALHEIRO PLASTICO TIPO DISPENSER PARA PAPEL TOALHA INTERFOLHADO</t>
  </si>
  <si>
    <t>AS</t>
  </si>
  <si>
    <t>PAPELEIRA DE PAREDE EM METAL CROMADO SEM TAMPA</t>
  </si>
  <si>
    <t>CR</t>
  </si>
  <si>
    <t>Papeleira de parede em metal cromado</t>
  </si>
  <si>
    <t>SABONETEIRA PLASTICA TIPO DISPENSER PARA SABONETE LIQUIDO COM RESERVATORIO 800 A 1500 ML</t>
  </si>
  <si>
    <t>DEMOLIÇÃO</t>
  </si>
  <si>
    <t>MOVIMENTAÇÃO DE TERRAS E TRANSPORTE</t>
  </si>
  <si>
    <t>Aterro externo com aquisição de aterro</t>
  </si>
  <si>
    <t>Chapisco aplicado com colher de pedreiro, argamassa, traço 1:3 - prepero em betoneira</t>
  </si>
  <si>
    <t>Emboço, em argamassa - traço 1:2:9 (cimento, cal e areia)</t>
  </si>
  <si>
    <t>4.4</t>
  </si>
  <si>
    <t>4.5</t>
  </si>
  <si>
    <t>8.6</t>
  </si>
  <si>
    <t>10.5</t>
  </si>
  <si>
    <t>10.6</t>
  </si>
  <si>
    <t>10.7</t>
  </si>
  <si>
    <t>10.8</t>
  </si>
  <si>
    <t>10.9</t>
  </si>
  <si>
    <t>10.10</t>
  </si>
  <si>
    <t>10.11</t>
  </si>
  <si>
    <t>12.</t>
  </si>
  <si>
    <t>12.1</t>
  </si>
  <si>
    <t>12.2</t>
  </si>
  <si>
    <t>12.3</t>
  </si>
  <si>
    <t>Subtotal item 12.0</t>
  </si>
  <si>
    <t>Luminária de emergência - 30 LED's</t>
  </si>
  <si>
    <t>97599</t>
  </si>
  <si>
    <t>LUMINÁRIA DE EMERGÊNCIA, COM 30 LÂMPADAS LED DE 2 W, SEM REATOR - FORNECIMENTO E INSTALAÇÃO. AF_02/2020</t>
  </si>
  <si>
    <t>101908</t>
  </si>
  <si>
    <t>EXTINTOR DE INCÊNDIO PORTÁTIL COM CARGA DE PQS DE 4 KG, CLASSE BC - FORNECIMENTO E INSTALAÇÃO. AF_10/2020_P</t>
  </si>
  <si>
    <t>Aterro externo com aquisicao de aterro</t>
  </si>
  <si>
    <t>Mês 06</t>
  </si>
  <si>
    <t>Gabriele Sganzerla Ferreira</t>
  </si>
  <si>
    <t>CREA SC: 188680-0</t>
  </si>
  <si>
    <t>Responsável Técnico: Gabriele Sganzerla Ferrreira</t>
  </si>
  <si>
    <t>fund</t>
  </si>
  <si>
    <t>Retirada de forro de PVC Sem Reaproveitamento</t>
  </si>
  <si>
    <t>97647</t>
  </si>
  <si>
    <t>REMOÇÃO DE TELHAS, DE FIBROCIMENTO, METÁLICA E CERÂMICA, DE FORMA MANUAL, SEM REAPROVEITAMENTO. AF_12/2017</t>
  </si>
  <si>
    <t>97650</t>
  </si>
  <si>
    <t>REMOÇÃO DE TRAMA DE MADEIRA PARA COBERTURA, DE FORMA MANUAL, SEM REAPROVEITAMENTO. AF_12/2017</t>
  </si>
  <si>
    <t>Demolicao de contra piso concreto 8cm</t>
  </si>
  <si>
    <t>CJ</t>
  </si>
  <si>
    <t>Conjunto de 03 barras de apoio metálicas cromadas p/
BWC de Deficientes</t>
  </si>
  <si>
    <t>Estaca tipo broca 25cm - concreto armado 15MPa</t>
  </si>
  <si>
    <t xml:space="preserve"> Broca de concreto armado 15Mpa - 25 cm</t>
  </si>
  <si>
    <t xml:space="preserve"> M</t>
  </si>
  <si>
    <t>Concreto armado 25Mpa usinado/bombeado - incluindo armação</t>
  </si>
  <si>
    <t>Impermeabilização de estruturas enterradas com tinta asfáltica, duas demãos</t>
  </si>
  <si>
    <t>4.6</t>
  </si>
  <si>
    <t>4.7</t>
  </si>
  <si>
    <t>4.8</t>
  </si>
  <si>
    <t>4.9</t>
  </si>
  <si>
    <t>90844</t>
  </si>
  <si>
    <t>KIT DE PORTA DE MADEIRA PARA PINTURA, SEMI-OCA (LEVE OU MÉDIA), PADRÃO MÉDIO, 90X210CM, ESPESSURA DE 3,5CM, ITENS INCLUSOS: DOBRADIÇAS, MONTAGEM E INSTALAÇÃO DO BATENTE, FECHADURA COM EXECUÇÃO DO FURO - FORNECIMENTO E INSTALAÇÃO. AF_12/2019</t>
  </si>
  <si>
    <t>SINAPI - MAR/2022 ABR/2022</t>
  </si>
  <si>
    <t>94207</t>
  </si>
  <si>
    <t>TELHAMENTO COM TELHA ONDULADA DE FIBROCIMENTO E = 6 MM, COM RECOBRIMENTO LATERAL DE 1/4 DE ONDA PARA TELHADO COM INCLINAÇÃO MAIOR QUE 10°, COM ATÉ 2 ÁGUAS, INCLUSO IÇAMENTO. AF_07/2019</t>
  </si>
  <si>
    <t>Telhamento com telha ondulada de fibrocimento e=6mm, com recobrimento lateral de 1/4 de onda</t>
  </si>
  <si>
    <t>94993</t>
  </si>
  <si>
    <t>EXECUÇÃO DE PASSEIO (CALÇADA) OU PISO DE CONCRETO COM CONCRETO MOLDADO IN LOCO, USINADO, ACABAMENTO CONVENCIONAL, ESPESSURA 6 CM, ARMADO. AF_07/2016</t>
  </si>
  <si>
    <t>Cumeeira para telha de fibrocimento ondulada e=6mm, incluso acessórios de fixação e içamento</t>
  </si>
  <si>
    <t>100435</t>
  </si>
  <si>
    <t>RUFO EM FIBROCIMENTO PARA TELHA ONDULADA E = 6 MM, ABA DE 26 CM, INCLUSO TRANSPORTE VERTICAL, EXCETO CONTRARRUFO. AF_07/2019</t>
  </si>
  <si>
    <t>101879</t>
  </si>
  <si>
    <t>QUADRO DE DISTRIBUIÇÃO DE ENERGIA EM CHAPA DE AÇO GALVANIZADO, DE EMBUTIR, COM BARRAMENTO TRIFÁSICO, PARA 24 DISJUNTORES DIN 100A - FORNECIMENTO E INSTALAÇÃO. AF_10/2020</t>
  </si>
  <si>
    <t>Disjuntor termomagnético, monopolar - 15A</t>
  </si>
  <si>
    <t>101895</t>
  </si>
  <si>
    <t>DISJUNTOR TERMOMAGNÉTICO TRIPOLAR , CORRENTE NOMINAL DE 125A - FORNECIMENTO E INSTALAÇÃO. AF_10/2020</t>
  </si>
  <si>
    <t>Disjuntor monopolar DQ 15A</t>
  </si>
  <si>
    <t>Disjuntor monopolar DQ 30A</t>
  </si>
  <si>
    <t>Disjuntor monopolar DQ 35A</t>
  </si>
  <si>
    <t>Ponto de iluminação residencial incluindo interruptor simples, caixa elétrica, eletroduto, cabo, rasgo, quedra e chumbamento</t>
  </si>
  <si>
    <t>Ponto de tomada residencial, incluindo tomada 10A/250V, caixa elétrica, eletroduto, cabo, rasgo, quebra e chumbamento</t>
  </si>
  <si>
    <t>Ponto de tomada residencial, incluindo tomada (2 módulos) 10A/250V, caixa elétrica, eletroduto, cabo, rasgo, quebra e chumbamento</t>
  </si>
  <si>
    <t>Ponto de tomada residencial, incluindo tomada 20A/250V, caixa elétrica, eletroduto, cabo, rasgo, quebra e chumbamento</t>
  </si>
  <si>
    <t>93142</t>
  </si>
  <si>
    <t>PONTO DE TOMADA RESIDENCIAL INCLUINDO TOMADA (2 MÓDULOS) 10A/250V, CAIXA ELÉTRICA, ELETRODUTO, CABO, RASGO, QUEBRA E CHUMBAMENTO. AF_01/2016</t>
  </si>
  <si>
    <t>93143</t>
  </si>
  <si>
    <t>PONTO DE TOMADA RESIDENCIAL INCLUINDO TOMADA 20A/250V, CAIXA ELÉTRICA, ELETRODUTO, CABO, RASGO, QUEBRA E CHUMBAMENTO. AF_01/2016</t>
  </si>
  <si>
    <t>Luminária Tubular tipo calha, LED 2x16W - 120cm - Completa - Fornecimento e Instalação - branca</t>
  </si>
  <si>
    <t>Luminária Tubular LED 2 X 16W - 120 cm - Completa -
Fornecimento e Instalação</t>
  </si>
  <si>
    <t>Luminária tipo plafon com vidro fosco, de sobrepor - 2 lâmpadas 15W</t>
  </si>
  <si>
    <t>97591</t>
  </si>
  <si>
    <t>LUMINÁRIA TIPO PLAFON REDONDO COM VIDRO FOSCO, DE SOBREPOR, COM 2 LÂMPADAS FLUORESCENTES DE 15 W, SEM REATOR - FORNECIMENTO E INSTALAÇÃO. AF_02/2020</t>
  </si>
  <si>
    <t>PINTURA</t>
  </si>
  <si>
    <t>FACHADA</t>
  </si>
  <si>
    <t>MURO NOVO</t>
  </si>
  <si>
    <t>ATRAS</t>
  </si>
  <si>
    <t>WCS</t>
  </si>
  <si>
    <t>DEP</t>
  </si>
  <si>
    <t>SALA</t>
  </si>
  <si>
    <t>BERÇ</t>
  </si>
  <si>
    <t>DIREÇ</t>
  </si>
  <si>
    <t>CIRC NOV</t>
  </si>
  <si>
    <t>CIRC ANTIG</t>
  </si>
  <si>
    <t>A.SERV</t>
  </si>
  <si>
    <t>COZ</t>
  </si>
  <si>
    <t>SALA NOV</t>
  </si>
  <si>
    <t>TOTAL</t>
  </si>
  <si>
    <t>A. PORT 80</t>
  </si>
  <si>
    <t>A. JANELA</t>
  </si>
  <si>
    <t>DEINFRA+SINAPI</t>
  </si>
  <si>
    <t>COMP-01</t>
  </si>
  <si>
    <t>INSTALAÇÕES HIDROSSANITÁRIAS</t>
  </si>
  <si>
    <t>Ponto de consumo terminal de água fria com tubulação de PVC, DN 25mm, instalado em ramal de água, inclusos rasgo e chumbamento em alvenaria</t>
  </si>
  <si>
    <t>89957</t>
  </si>
  <si>
    <t>PONTO DE CONSUMO TERMINAL DE ÁGUA FRIA (SUBRAMAL) COM TUBULAÇÃO DE PVC, DN 25 MM, INSTALADO EM RAMAL DE ÁGUA, INCLUSOS RASGO E CHUMBAMENTO EM ALVENARIA. AF_12/2014</t>
  </si>
  <si>
    <t xml:space="preserve">LOUÇAS E ACESSÓRIOS </t>
  </si>
  <si>
    <t>13.1</t>
  </si>
  <si>
    <t>13.2</t>
  </si>
  <si>
    <t>13.3</t>
  </si>
  <si>
    <t>13.4</t>
  </si>
  <si>
    <t>13.5</t>
  </si>
  <si>
    <t>Subtotal item 13.0</t>
  </si>
  <si>
    <t>Registro de gaveta metálico c/ canopla 3/4"</t>
  </si>
  <si>
    <t>Registro gaveta metalico c/ canopla 3/4"</t>
  </si>
  <si>
    <t>Caixa de inspecao 30x30x40 cm em alvenaria</t>
  </si>
  <si>
    <t>Caixa de inspecao 60x60x60 cm em alvenaria</t>
  </si>
  <si>
    <t>98107</t>
  </si>
  <si>
    <t>CAIXA DE GORDURA SIMPLES (CAPACIDADE: 36 L), RETANGULAR, EM ALVENARIA COM BLOCOS DE CONCRETO, DIMENSÕES INTERNAS = 0,2X0,4 M, ALTURA INTERNA = 0,8 M. AF_12/2020</t>
  </si>
  <si>
    <t>98064</t>
  </si>
  <si>
    <t>SUMIDOURO CIRCULAR, EM CONCRETO PRÉ-MOLDADO, DIÂMETRO INTERNO = 2,38 M, ALTURA INTERNA = 3,0 M, ÁREA DE INFILTRAÇÃO: 25 M² (PARA 10 CONTRIBUINTES). AF_12/2020</t>
  </si>
  <si>
    <t>102989</t>
  </si>
  <si>
    <t>CANALETA MEIA CANA PRÉ-MOLDADA DE CONCRETO (D = 20 CM) - FORNECIMENTO E INSTALAÇÃO. AF_08/2021</t>
  </si>
  <si>
    <t>Grelha de Ferro Fundido L= 20cm Para Canaleta</t>
  </si>
  <si>
    <t>Tubo PVC, série R, água pluvial, DN 100mm</t>
  </si>
  <si>
    <t>89512</t>
  </si>
  <si>
    <t>TUBO PVC, SÉRIE R, ÁGUA PLUVIAL, DN 100 MM, FORNECIDO E INSTALADO EM RAMAL DE ENCAMINHAMENTO. AF_12/2014</t>
  </si>
  <si>
    <t>89712</t>
  </si>
  <si>
    <t>TUBO PVC, SERIE NORMAL, ESGOTO PREDIAL, DN 50 MM, FORNECIDO E INSTALADO EM RAMAL DE DESCARGA OU RAMAL DE ESGOTO SANITÁRIO. AF_12/2014</t>
  </si>
  <si>
    <t>89713</t>
  </si>
  <si>
    <t>TUBO PVC, SERIE NORMAL, ESGOTO PREDIAL, DN 75 MM, FORNECIDO E INSTALADO EM RAMAL DE DESCARGA OU RAMAL DE ESGOTO SANITÁRIO. AF_12/2014</t>
  </si>
  <si>
    <t>Caixa sifonada PVC 150x150x50mm</t>
  </si>
  <si>
    <t>Ralo sinonado PVC quadrado 100x53x40mm</t>
  </si>
  <si>
    <t>Ralo seco PVC quadrado 100X53X40mm</t>
  </si>
  <si>
    <t>95472</t>
  </si>
  <si>
    <t>VASO SANITARIO SIFONADO CONVENCIONAL PARA PCD SEM FURO FRONTAL COM LOUÇA BRANCA SEM ASSENTO, INCLUSO CONJUNTO DE LIGAÇÃO PARA BACIA SANITÁRIA AJUSTÁVEL - FORNECIMENTO E INSTALAÇÃO. AF_01/2020</t>
  </si>
  <si>
    <t>Espelho com moldura de alumínio fixado com bucha</t>
  </si>
  <si>
    <t>corredor</t>
  </si>
  <si>
    <t>massa</t>
  </si>
  <si>
    <t>DIR</t>
  </si>
  <si>
    <t>Lavatorio de louça em bancada sifonado c/ torneira
Pressmatic</t>
  </si>
  <si>
    <t>86903</t>
  </si>
  <si>
    <t>LAVATÓRIO LOUÇA BRANCA COM COLUNA, 45 X 55CM OU EQUIVALENTE, PADRÃO MÉDIO - FORNECIMENTO E INSTALAÇÃO. AF_01/2020</t>
  </si>
  <si>
    <t>Torneira Pressmatic</t>
  </si>
  <si>
    <t>Torneira Elétrica 220v</t>
  </si>
  <si>
    <t>[= SINAPI MAR]</t>
  </si>
  <si>
    <t>C2507</t>
  </si>
  <si>
    <t>Torneira Elétrica Automática 220v-2800W (Instalado)</t>
  </si>
  <si>
    <t>LOUÇAS E ACESSÓRIOS</t>
  </si>
  <si>
    <t>Preço base: MAR/ABR/2022 - SINAPI/DESONERADO | JAN/2021 - DEINFRA | SEINFRA 27.1 - DESONERADO</t>
  </si>
  <si>
    <t>PISO</t>
  </si>
  <si>
    <t>RODAPE</t>
  </si>
  <si>
    <t>OBS: Todos os referenciais de preços constantes nesta planilha foram retirados na tabela SINAPI do mês de Março/Abril de 2022, conforme o Decreto nº 7.983, Art. 3o, de 8 de abril de 2013. Quando não constante em tabela SINAPI, a referência de preço foi retirada da tabela DEINFRA e SEINFRA, conforme disposto no Decreto nº 7.983, Art. 6o, de 8 de abril de 2013.</t>
  </si>
  <si>
    <t>Fundos</t>
  </si>
  <si>
    <t>impermeb</t>
  </si>
  <si>
    <t>fundaçoes</t>
  </si>
  <si>
    <t>bloco 1</t>
  </si>
  <si>
    <t>bloco 2</t>
  </si>
  <si>
    <t>pilar</t>
  </si>
  <si>
    <t>soma</t>
  </si>
  <si>
    <t>baldrame</t>
  </si>
  <si>
    <t>total</t>
  </si>
  <si>
    <t>hidro</t>
  </si>
  <si>
    <t>drangem</t>
  </si>
  <si>
    <t>aterro</t>
  </si>
  <si>
    <t>alt</t>
  </si>
  <si>
    <t>piso</t>
  </si>
  <si>
    <t>imp alv</t>
  </si>
  <si>
    <t>a.serv</t>
  </si>
  <si>
    <t>coz</t>
  </si>
  <si>
    <t>s.dir</t>
  </si>
  <si>
    <t>lado fora</t>
  </si>
  <si>
    <t>imp bald</t>
  </si>
  <si>
    <t>lados</t>
  </si>
  <si>
    <t>chapisco</t>
  </si>
  <si>
    <t>piso cer</t>
  </si>
  <si>
    <t>DESP</t>
  </si>
  <si>
    <t>93137</t>
  </si>
  <si>
    <t>PONTO DE ILUMINAÇÃO RESIDENCIAL INCLUINDO INTERRUPTOR SIMPLES (2 MÓDULOS), CAIXA ELÉTRICA, ELETRODUTO, CABO, RASGO, QUEBRA E CHUMBAMENTO (EXCLUINDO LUMINÁRIA E LÂMPADA). AF_01/2016</t>
  </si>
  <si>
    <t>Ponto de iluminação residencial incluindo interruptor simples (2 módulos), caixa elétrica, eletroduto, cabo, rasgo, quedra e chumbamento</t>
  </si>
  <si>
    <t>Kit porta de madeira para pintura completa, semi-oca (média), padrão médio, 80x210cm, espessura de 3,5cm, pintada na cor indicada - inlcuso: dobradiças e fechadura</t>
  </si>
  <si>
    <t>Soleira de granito 17cm - portas e janelas</t>
  </si>
  <si>
    <t>Demolicao de area construida</t>
  </si>
  <si>
    <t>Revestimento cerâmico de paredes - extra - 30x40cm (aproximada) - incluso rejunte - banheiro + sala</t>
  </si>
  <si>
    <t>Alvenaria de tijolo 2F a vista 11cm</t>
  </si>
  <si>
    <t>Pintura acrílica sobre paredes internas, 2 demãos</t>
  </si>
  <si>
    <t>Muro de alvenaria 15cm c/fund.em concr.rebocado e pint.</t>
  </si>
  <si>
    <t>86931</t>
  </si>
  <si>
    <t>VASO SANITÁRIO SIFONADO COM CAIXA ACOPLADA LOUÇA BRANCA, INCLUSO ENGATE FLEXÍVEL EM PLÁSTICO BRANCO, 1/2  X 40CM - FORNECIMENTO E INSTALAÇÃO. AF_01/2020</t>
  </si>
  <si>
    <t>Vaso sanitário sifonado com caixa acoplada louça branca, incluso engate flexível em plástico branco, 1/2  x 40cm</t>
  </si>
  <si>
    <t>Tanque séptico em alvenaria de blocos de concreto, rebocado, com ponto de limpeza e tampa de inspeção</t>
  </si>
  <si>
    <t>Filtro anaeróbio em alvenaria de blocos de concreto, rebocado, com ponto para limpeza e tampa de inspeção</t>
  </si>
  <si>
    <t>Caixa de inspecao 60x60x60 - com tampa</t>
  </si>
  <si>
    <t>4.3</t>
  </si>
  <si>
    <t>8.5</t>
  </si>
  <si>
    <t>11.3</t>
  </si>
  <si>
    <t>11.4</t>
  </si>
  <si>
    <t>11.5</t>
  </si>
  <si>
    <t>11.6</t>
  </si>
  <si>
    <t>Ponto de esgoto em PVC - lavatórios, pias, tanques e semelhantes</t>
  </si>
  <si>
    <t>Ponto de esgoto em PVC - DN 100mm (sanitários)</t>
  </si>
  <si>
    <t>Ponto de ventilação 50mm com 1 saída</t>
  </si>
  <si>
    <t>Tubo PVC, série normal, esgoto predial, DN 100mm</t>
  </si>
  <si>
    <t>Obra: SALA DE AULA - EMEB SAUL DE ATHAYDE - COM FORNECIMENTO DE MATERIAL</t>
  </si>
  <si>
    <t>Forro em réguas PVC, frisado, inclusive estrutura de fixação</t>
  </si>
  <si>
    <t>96111</t>
  </si>
  <si>
    <t>FORRO EM RÉGUAS DE PVC, FRISADO, PARA AMBIENTES RESIDENCIAIS, INCLUSIVE ESTRUTURA DE FIXAÇÃO. AF_05/2017_P</t>
  </si>
  <si>
    <t>Roda forro de PVC 5cm com bucha e parafusos</t>
  </si>
  <si>
    <t>8.7</t>
  </si>
  <si>
    <t>DEINFRA + SEINFRA</t>
  </si>
  <si>
    <t>43715 + C2478</t>
  </si>
  <si>
    <t>Toldo com cobertura em chapa de policarbonato</t>
  </si>
  <si>
    <t>EMEB SAUL DE ATHAYDE</t>
  </si>
  <si>
    <t>na Av. Mal. Castelo Branco, 1840 - Ferrovia, Lages SC</t>
  </si>
  <si>
    <t>TOTAL C/BDI (26,50%)</t>
  </si>
  <si>
    <t>Carga manual e transporte entulho/ caminhao 10 Km</t>
  </si>
  <si>
    <t>3.2</t>
  </si>
  <si>
    <t>8318027-5</t>
  </si>
  <si>
    <t>Preço base: MAR/MAIO/2022 - SINAPI/DESONERADO | JAN/2021 - DEINFRA | SEINFRA 27.1 DESONERADO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</si>
</sst>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0.00_-;\-&quot;R$&quot;* #,##0.00_-;_-&quot;R$&quot;* &quot;-&quot;??_-;_-@_-"/>
    <numFmt numFmtId="164" formatCode="_-&quot;R$&quot;\ * #,##0.00_-;\-&quot;R$&quot;\ * #,##0.00_-;_-&quot;R$&quot;\ * &quot;-&quot;??_-;_-@_-"/>
    <numFmt numFmtId="165" formatCode="_(* #,##0.00_);_(* \(#,##0.00\);_(* &quot;-&quot;??_);_(@_)"/>
    <numFmt numFmtId="166" formatCode="&quot;R$&quot;#,##0.00"/>
  </numFmts>
  <fonts count="42"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1"/>
      <name val="Arial"/>
      <family val="2"/>
    </font>
    <font>
      <b/>
      <sz val="9"/>
      <name val="Arial"/>
      <family val="2"/>
    </font>
    <font>
      <sz val="8"/>
      <name val="Arial"/>
      <family val="2"/>
    </font>
    <font>
      <b/>
      <sz val="8"/>
      <name val="Arial"/>
      <family val="2"/>
    </font>
    <font>
      <sz val="9"/>
      <name val="Arial"/>
      <family val="2"/>
    </font>
    <font>
      <b/>
      <sz val="16"/>
      <color theme="1"/>
      <name val="Arial"/>
      <family val="2"/>
    </font>
    <font>
      <sz val="10"/>
      <name val="Arial"/>
      <family val="2"/>
    </font>
    <font>
      <b/>
      <sz val="11"/>
      <name val="Arial"/>
      <family val="2"/>
    </font>
    <font>
      <sz val="12"/>
      <color theme="1"/>
      <name val="Calibri"/>
      <family val="2"/>
      <scheme val="minor"/>
    </font>
    <font>
      <b/>
      <sz val="11"/>
      <color rgb="FFFF0000"/>
      <name val="Arial"/>
      <family val="2"/>
    </font>
    <font>
      <sz val="8"/>
      <color rgb="FF000000"/>
      <name val="Tahoma"/>
      <family val="2"/>
    </font>
    <font>
      <b/>
      <sz val="7"/>
      <name val="Arial"/>
      <family val="2"/>
    </font>
    <font>
      <sz val="7"/>
      <name val="Arial"/>
      <family val="2"/>
    </font>
    <font>
      <sz val="11"/>
      <color indexed="8"/>
      <name val="Arial"/>
      <family val="2"/>
    </font>
    <font>
      <sz val="7"/>
      <color indexed="9"/>
      <name val="Arial"/>
      <family val="2"/>
    </font>
    <font>
      <sz val="7.5"/>
      <name val="Arial"/>
      <family val="2"/>
    </font>
    <font>
      <sz val="7.5"/>
      <color indexed="9"/>
      <name val="Arial"/>
      <family val="2"/>
    </font>
    <font>
      <sz val="10"/>
      <color indexed="41"/>
      <name val="Arial"/>
      <family val="2"/>
    </font>
    <font>
      <b/>
      <sz val="12"/>
      <color indexed="9"/>
      <name val="Arial"/>
      <family val="2"/>
    </font>
    <font>
      <sz val="10"/>
      <color indexed="9"/>
      <name val="Arial"/>
      <family val="2"/>
    </font>
    <font>
      <b/>
      <sz val="12"/>
      <name val="Arial"/>
      <family val="2"/>
    </font>
    <font>
      <sz val="8"/>
      <color indexed="10"/>
      <name val="Arial"/>
      <family val="2"/>
    </font>
    <font>
      <b/>
      <sz val="10"/>
      <name val="Arial"/>
      <family val="2"/>
    </font>
    <font>
      <b/>
      <sz val="11"/>
      <color indexed="8"/>
      <name val="Arial"/>
      <family val="2"/>
    </font>
    <font>
      <b/>
      <sz val="14"/>
      <name val="Arial"/>
      <family val="2"/>
    </font>
    <font>
      <sz val="10"/>
      <color indexed="8"/>
      <name val="Arial"/>
      <family val="2"/>
    </font>
    <font>
      <sz val="8"/>
      <color indexed="8"/>
      <name val="Arial"/>
      <family val="2"/>
    </font>
    <font>
      <b/>
      <sz val="10"/>
      <color indexed="9"/>
      <name val="Arial"/>
      <family val="2"/>
    </font>
    <font>
      <sz val="9"/>
      <color indexed="8"/>
      <name val="Arial"/>
      <family val="2"/>
    </font>
    <font>
      <b/>
      <sz val="9"/>
      <color theme="1"/>
      <name val="Arial"/>
      <family val="2"/>
    </font>
    <font>
      <b/>
      <sz val="20"/>
      <color theme="1"/>
      <name val="Arial"/>
      <family val="2"/>
    </font>
    <font>
      <b/>
      <sz val="12"/>
      <color theme="1"/>
      <name val="Arial"/>
      <family val="2"/>
    </font>
    <font>
      <b/>
      <sz val="14"/>
      <color theme="1"/>
      <name val="Arial"/>
      <family val="2"/>
    </font>
    <font>
      <b/>
      <sz val="24"/>
      <color theme="1"/>
      <name val="Arial"/>
      <family val="2"/>
    </font>
    <font>
      <b/>
      <sz val="11"/>
      <color theme="1"/>
      <name val="Calibri"/>
      <family val="2"/>
      <scheme val="minor"/>
    </font>
    <font>
      <b/>
      <sz val="12"/>
      <name val="Calibri"/>
      <family val="2"/>
      <scheme val="minor"/>
    </font>
    <font>
      <sz val="11"/>
      <color rgb="FFFF0000"/>
      <name val="Calibri"/>
      <family val="2"/>
      <scheme val="minor"/>
    </font>
    <font>
      <b/>
      <sz val="14"/>
      <color theme="1"/>
      <name val="Calibri"/>
      <family val="2"/>
      <scheme val="minor"/>
    </font>
  </fonts>
  <fills count="19">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17"/>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1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5"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54"/>
      </left>
      <right style="hair">
        <color indexed="64"/>
      </right>
      <top style="medium">
        <color indexed="54"/>
      </top>
      <bottom style="hair">
        <color indexed="64"/>
      </bottom>
      <diagonal/>
    </border>
    <border>
      <left style="hair">
        <color indexed="64"/>
      </left>
      <right style="medium">
        <color indexed="54"/>
      </right>
      <top style="medium">
        <color indexed="54"/>
      </top>
      <bottom style="hair">
        <color indexed="64"/>
      </bottom>
      <diagonal/>
    </border>
    <border>
      <left style="medium">
        <color indexed="54"/>
      </left>
      <right style="hair">
        <color indexed="64"/>
      </right>
      <top style="hair">
        <color indexed="64"/>
      </top>
      <bottom style="hair">
        <color indexed="64"/>
      </bottom>
      <diagonal/>
    </border>
    <border>
      <left style="hair">
        <color indexed="64"/>
      </left>
      <right style="medium">
        <color indexed="5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diagonal/>
    </border>
    <border>
      <left style="medium">
        <color indexed="54"/>
      </left>
      <right style="hair">
        <color indexed="64"/>
      </right>
      <top style="hair">
        <color indexed="64"/>
      </top>
      <bottom style="medium">
        <color indexed="54"/>
      </bottom>
      <diagonal/>
    </border>
    <border>
      <left style="hair">
        <color indexed="64"/>
      </left>
      <right/>
      <top style="hair">
        <color indexed="64"/>
      </top>
      <bottom style="medium">
        <color indexed="54"/>
      </bottom>
      <diagonal/>
    </border>
    <border>
      <left/>
      <right/>
      <top style="medium">
        <color indexed="54"/>
      </top>
      <bottom style="medium">
        <color indexed="54"/>
      </bottom>
      <diagonal/>
    </border>
    <border>
      <left/>
      <right style="hair">
        <color indexed="64"/>
      </right>
      <top style="medium">
        <color indexed="54"/>
      </top>
      <bottom style="medium">
        <color indexed="54"/>
      </bottom>
      <diagonal/>
    </border>
    <border>
      <left style="hair">
        <color indexed="64"/>
      </left>
      <right style="medium">
        <color indexed="54"/>
      </right>
      <top style="medium">
        <color indexed="54"/>
      </top>
      <bottom style="medium">
        <color indexed="5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medium">
        <color indexed="64"/>
      </bottom>
      <diagonal/>
    </border>
    <border>
      <left/>
      <right/>
      <top style="medium">
        <color indexed="64"/>
      </top>
      <bottom/>
      <diagonal/>
    </border>
    <border>
      <left/>
      <right/>
      <top style="hair">
        <color indexed="64"/>
      </top>
      <bottom style="hair">
        <color indexed="64"/>
      </bottom>
      <diagonal/>
    </border>
    <border>
      <left style="thick">
        <color indexed="64"/>
      </left>
      <right/>
      <top/>
      <bottom style="thick">
        <color indexed="64"/>
      </bottom>
      <diagonal/>
    </border>
    <border>
      <left/>
      <right/>
      <top style="hair">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7" fillId="0" borderId="0"/>
    <xf numFmtId="0" fontId="8" fillId="0" borderId="0"/>
    <xf numFmtId="0" fontId="10" fillId="0" borderId="0"/>
    <xf numFmtId="0" fontId="10" fillId="0" borderId="0"/>
    <xf numFmtId="9" fontId="17" fillId="0" borderId="0" applyFont="0" applyFill="0" applyBorder="0" applyAlignment="0" applyProtection="0"/>
    <xf numFmtId="165" fontId="10" fillId="0" borderId="0" applyFont="0" applyFill="0" applyBorder="0" applyAlignment="0" applyProtection="0"/>
  </cellStyleXfs>
  <cellXfs count="365">
    <xf numFmtId="0" fontId="0" fillId="0" borderId="0" xfId="0"/>
    <xf numFmtId="0" fontId="4" fillId="0" borderId="1" xfId="0" applyFont="1" applyFill="1" applyBorder="1" applyAlignment="1">
      <alignment horizontal="center" vertical="center"/>
    </xf>
    <xf numFmtId="0" fontId="6" fillId="0" borderId="0" xfId="0" applyFont="1" applyFill="1"/>
    <xf numFmtId="0" fontId="7"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4" fontId="6" fillId="0" borderId="0" xfId="0" applyNumberFormat="1" applyFont="1" applyFill="1"/>
    <xf numFmtId="164" fontId="6" fillId="0" borderId="0" xfId="0" applyNumberFormat="1" applyFont="1" applyFill="1"/>
    <xf numFmtId="0" fontId="6" fillId="0" borderId="0" xfId="0" applyFont="1" applyFill="1" applyAlignment="1">
      <alignment horizontal="center"/>
    </xf>
    <xf numFmtId="0" fontId="6" fillId="0" borderId="0" xfId="0" applyFont="1" applyFill="1" applyAlignment="1">
      <alignment wrapText="1"/>
    </xf>
    <xf numFmtId="0" fontId="6" fillId="0" borderId="0" xfId="0" applyFont="1" applyFill="1" applyAlignment="1"/>
    <xf numFmtId="0" fontId="6" fillId="0" borderId="0" xfId="0" applyFont="1" applyFill="1" applyAlignment="1">
      <alignment horizontal="right"/>
    </xf>
    <xf numFmtId="0" fontId="6" fillId="0" borderId="0" xfId="0" applyFont="1" applyFill="1" applyBorder="1" applyAlignment="1">
      <alignment vertical="center" wrapText="1"/>
    </xf>
    <xf numFmtId="0" fontId="6" fillId="0" borderId="0" xfId="0" applyFont="1" applyProtection="1"/>
    <xf numFmtId="0" fontId="3" fillId="0" borderId="1" xfId="0" applyFont="1" applyFill="1" applyBorder="1" applyAlignment="1">
      <alignment horizontal="center" vertical="center"/>
    </xf>
    <xf numFmtId="164" fontId="8" fillId="0" borderId="1" xfId="1" applyFont="1" applyFill="1" applyBorder="1" applyAlignment="1">
      <alignment horizontal="left" vertical="center"/>
    </xf>
    <xf numFmtId="9" fontId="8" fillId="2" borderId="1" xfId="2" applyFont="1" applyFill="1" applyBorder="1" applyAlignment="1">
      <alignment horizontal="center" vertical="center"/>
    </xf>
    <xf numFmtId="164" fontId="8" fillId="0" borderId="1" xfId="1" applyFont="1" applyFill="1" applyBorder="1" applyAlignment="1">
      <alignment horizontal="center" vertical="center"/>
    </xf>
    <xf numFmtId="0" fontId="5" fillId="0"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4" fillId="0" borderId="1" xfId="3" applyFont="1" applyFill="1" applyBorder="1" applyAlignment="1">
      <alignment horizontal="center" vertical="center"/>
    </xf>
    <xf numFmtId="0" fontId="4" fillId="0" borderId="1" xfId="0" applyFont="1" applyFill="1" applyBorder="1" applyAlignment="1">
      <alignment horizontal="left" vertical="center" wrapText="1"/>
    </xf>
    <xf numFmtId="164" fontId="4" fillId="0" borderId="1" xfId="4" applyNumberFormat="1" applyFont="1" applyFill="1" applyBorder="1" applyAlignment="1">
      <alignment horizontal="left" vertical="center"/>
    </xf>
    <xf numFmtId="164" fontId="2" fillId="5" borderId="1" xfId="0" applyNumberFormat="1" applyFont="1" applyFill="1" applyBorder="1" applyAlignment="1">
      <alignment vertical="center"/>
    </xf>
    <xf numFmtId="0" fontId="2" fillId="5" borderId="2" xfId="0" applyFont="1" applyFill="1" applyBorder="1" applyAlignment="1">
      <alignment horizontal="center" vertical="center"/>
    </xf>
    <xf numFmtId="44" fontId="4" fillId="0" borderId="1" xfId="0" applyNumberFormat="1" applyFont="1" applyFill="1" applyBorder="1" applyAlignment="1">
      <alignment horizontal="left" vertical="center"/>
    </xf>
    <xf numFmtId="164" fontId="3" fillId="0"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164" fontId="3" fillId="0" borderId="1" xfId="1" applyNumberFormat="1" applyFont="1" applyFill="1" applyBorder="1" applyAlignment="1" applyProtection="1">
      <alignment horizontal="center" vertical="center"/>
      <protection locked="0"/>
    </xf>
    <xf numFmtId="2" fontId="4" fillId="0" borderId="1" xfId="0" applyNumberFormat="1" applyFont="1" applyFill="1" applyBorder="1" applyAlignment="1">
      <alignment horizontal="center" vertical="center"/>
    </xf>
    <xf numFmtId="0" fontId="10" fillId="0" borderId="0" xfId="6" applyBorder="1" applyAlignment="1" applyProtection="1"/>
    <xf numFmtId="0" fontId="10" fillId="0" borderId="0" xfId="6" applyNumberFormat="1" applyBorder="1" applyAlignment="1" applyProtection="1"/>
    <xf numFmtId="0" fontId="15" fillId="0" borderId="0" xfId="7" applyNumberFormat="1" applyFont="1" applyBorder="1" applyAlignment="1" applyProtection="1">
      <protection hidden="1"/>
    </xf>
    <xf numFmtId="0" fontId="16" fillId="0" borderId="0" xfId="7" applyNumberFormat="1" applyFont="1" applyBorder="1" applyAlignment="1" applyProtection="1">
      <protection hidden="1"/>
    </xf>
    <xf numFmtId="0" fontId="18" fillId="0" borderId="0" xfId="8" applyFont="1" applyBorder="1" applyAlignment="1" applyProtection="1">
      <alignment horizontal="center"/>
    </xf>
    <xf numFmtId="0" fontId="10" fillId="0" borderId="0" xfId="6" applyAlignment="1" applyProtection="1"/>
    <xf numFmtId="0" fontId="10" fillId="7" borderId="0" xfId="6" applyFill="1" applyAlignment="1" applyProtection="1"/>
    <xf numFmtId="2" fontId="19" fillId="8" borderId="15" xfId="9" applyNumberFormat="1" applyFont="1" applyFill="1" applyBorder="1" applyAlignment="1" applyProtection="1">
      <alignment horizontal="left"/>
      <protection locked="0"/>
    </xf>
    <xf numFmtId="0" fontId="20" fillId="0" borderId="0" xfId="8" applyFont="1" applyBorder="1" applyAlignment="1" applyProtection="1">
      <alignment horizontal="center"/>
    </xf>
    <xf numFmtId="0" fontId="15" fillId="0" borderId="0" xfId="7" applyNumberFormat="1" applyFont="1" applyFill="1" applyAlignment="1" applyProtection="1">
      <protection hidden="1"/>
    </xf>
    <xf numFmtId="0" fontId="16" fillId="0" borderId="0" xfId="7" applyNumberFormat="1" applyFont="1" applyFill="1" applyAlignment="1" applyProtection="1">
      <protection hidden="1"/>
    </xf>
    <xf numFmtId="0" fontId="10" fillId="0" borderId="0" xfId="6" applyFont="1" applyBorder="1" applyAlignment="1" applyProtection="1"/>
    <xf numFmtId="0" fontId="15" fillId="0" borderId="0" xfId="7" applyNumberFormat="1" applyFont="1" applyAlignment="1" applyProtection="1">
      <protection hidden="1"/>
    </xf>
    <xf numFmtId="0" fontId="10" fillId="0" borderId="0" xfId="6" applyFont="1" applyAlignment="1" applyProtection="1">
      <alignment horizontal="left"/>
    </xf>
    <xf numFmtId="0" fontId="21" fillId="0" borderId="0" xfId="6" applyFont="1" applyAlignment="1" applyProtection="1">
      <alignment horizontal="right"/>
    </xf>
    <xf numFmtId="0" fontId="10" fillId="0" borderId="0" xfId="6" applyBorder="1" applyAlignment="1" applyProtection="1">
      <alignment horizontal="left"/>
    </xf>
    <xf numFmtId="0" fontId="10" fillId="0" borderId="0" xfId="6" applyProtection="1"/>
    <xf numFmtId="0" fontId="10" fillId="0" borderId="0" xfId="6" applyNumberFormat="1" applyAlignment="1" applyProtection="1"/>
    <xf numFmtId="0" fontId="10" fillId="0" borderId="0" xfId="6" applyFill="1" applyProtection="1"/>
    <xf numFmtId="0" fontId="10" fillId="7" borderId="0" xfId="6" applyFill="1" applyProtection="1"/>
    <xf numFmtId="0" fontId="23" fillId="0" borderId="0" xfId="6" applyFont="1" applyFill="1" applyProtection="1"/>
    <xf numFmtId="0" fontId="23" fillId="0" borderId="0" xfId="6" applyFont="1" applyFill="1" applyAlignment="1" applyProtection="1">
      <alignment horizontal="left"/>
      <protection locked="0"/>
    </xf>
    <xf numFmtId="0" fontId="23" fillId="7" borderId="0" xfId="6" applyFont="1" applyFill="1" applyProtection="1"/>
    <xf numFmtId="14" fontId="7" fillId="0" borderId="0" xfId="10" applyNumberFormat="1" applyFont="1" applyBorder="1" applyAlignment="1" applyProtection="1">
      <alignment horizontal="center" vertical="center" textRotation="180" wrapText="1"/>
      <protection hidden="1"/>
    </xf>
    <xf numFmtId="0" fontId="7" fillId="0" borderId="0" xfId="10" applyNumberFormat="1" applyFont="1" applyBorder="1" applyAlignment="1" applyProtection="1">
      <alignment horizontal="center" vertical="center" wrapText="1"/>
      <protection hidden="1"/>
    </xf>
    <xf numFmtId="14" fontId="7" fillId="0" borderId="0" xfId="10" applyNumberFormat="1" applyFont="1" applyBorder="1" applyAlignment="1" applyProtection="1">
      <alignment vertical="center" textRotation="180" wrapText="1"/>
      <protection hidden="1"/>
    </xf>
    <xf numFmtId="0" fontId="10" fillId="0" borderId="0" xfId="6" applyBorder="1" applyAlignment="1" applyProtection="1">
      <alignment horizontal="left" wrapText="1"/>
    </xf>
    <xf numFmtId="0" fontId="10" fillId="0" borderId="0" xfId="6" applyBorder="1" applyProtection="1"/>
    <xf numFmtId="14" fontId="7" fillId="0" borderId="0" xfId="10" applyNumberFormat="1" applyFont="1" applyBorder="1" applyAlignment="1" applyProtection="1">
      <alignment vertical="center" wrapText="1"/>
      <protection hidden="1"/>
    </xf>
    <xf numFmtId="14" fontId="7" fillId="0" borderId="0" xfId="10" applyNumberFormat="1" applyFont="1" applyFill="1" applyBorder="1" applyAlignment="1" applyProtection="1">
      <alignment horizontal="center" vertical="center" wrapText="1"/>
      <protection hidden="1"/>
    </xf>
    <xf numFmtId="0" fontId="10" fillId="0" borderId="0" xfId="6" applyFont="1" applyBorder="1" applyProtection="1"/>
    <xf numFmtId="0" fontId="10" fillId="0" borderId="8" xfId="6" applyFill="1" applyBorder="1" applyProtection="1">
      <protection locked="0"/>
    </xf>
    <xf numFmtId="0" fontId="10" fillId="7" borderId="0" xfId="6" applyFill="1" applyBorder="1" applyProtection="1"/>
    <xf numFmtId="10" fontId="10" fillId="0" borderId="0" xfId="6" applyNumberFormat="1" applyFill="1" applyBorder="1" applyAlignment="1" applyProtection="1">
      <alignment horizontal="center" wrapText="1"/>
    </xf>
    <xf numFmtId="0" fontId="7" fillId="0" borderId="5" xfId="10" applyNumberFormat="1" applyFont="1" applyBorder="1" applyAlignment="1" applyProtection="1">
      <alignment horizontal="center" vertical="center" wrapText="1"/>
      <protection hidden="1"/>
    </xf>
    <xf numFmtId="14" fontId="7" fillId="0" borderId="5" xfId="10" applyNumberFormat="1" applyFont="1" applyBorder="1" applyAlignment="1" applyProtection="1">
      <alignment horizontal="center" vertical="center" wrapText="1"/>
      <protection hidden="1"/>
    </xf>
    <xf numFmtId="14" fontId="7" fillId="0" borderId="22" xfId="10" applyNumberFormat="1" applyFont="1" applyBorder="1" applyAlignment="1" applyProtection="1">
      <alignment horizontal="center" vertical="center" wrapText="1"/>
      <protection hidden="1"/>
    </xf>
    <xf numFmtId="0" fontId="6" fillId="0" borderId="23" xfId="10" applyNumberFormat="1" applyFont="1" applyBorder="1" applyAlignment="1" applyProtection="1">
      <alignment horizontal="center" vertical="center" wrapText="1"/>
      <protection hidden="1"/>
    </xf>
    <xf numFmtId="14" fontId="6" fillId="0" borderId="24" xfId="10" applyNumberFormat="1" applyFont="1" applyBorder="1" applyAlignment="1" applyProtection="1">
      <alignment vertical="center" wrapText="1"/>
      <protection hidden="1"/>
    </xf>
    <xf numFmtId="0" fontId="6" fillId="0" borderId="24" xfId="6" applyFont="1" applyBorder="1" applyAlignment="1" applyProtection="1">
      <alignment horizontal="center" wrapText="1"/>
    </xf>
    <xf numFmtId="10" fontId="10" fillId="0" borderId="24" xfId="6" applyNumberFormat="1" applyFill="1" applyBorder="1" applyAlignment="1" applyProtection="1">
      <alignment horizontal="center" wrapText="1"/>
      <protection locked="0"/>
    </xf>
    <xf numFmtId="0" fontId="10" fillId="0" borderId="24" xfId="6" applyBorder="1" applyAlignment="1" applyProtection="1">
      <alignment horizontal="center" wrapText="1"/>
    </xf>
    <xf numFmtId="10" fontId="4" fillId="10" borderId="25" xfId="8" applyNumberFormat="1" applyFont="1" applyFill="1" applyBorder="1" applyAlignment="1" applyProtection="1">
      <alignment horizontal="center" wrapText="1"/>
    </xf>
    <xf numFmtId="0" fontId="6" fillId="0" borderId="26" xfId="10" applyNumberFormat="1" applyFont="1" applyBorder="1" applyAlignment="1" applyProtection="1">
      <alignment horizontal="center" vertical="center" wrapText="1"/>
      <protection hidden="1"/>
    </xf>
    <xf numFmtId="14" fontId="6" fillId="0" borderId="27" xfId="10" applyNumberFormat="1" applyFont="1" applyBorder="1" applyAlignment="1" applyProtection="1">
      <alignment vertical="center" wrapText="1"/>
      <protection hidden="1"/>
    </xf>
    <xf numFmtId="0" fontId="6" fillId="0" borderId="27" xfId="6" applyFont="1" applyBorder="1" applyAlignment="1" applyProtection="1">
      <alignment horizontal="center" wrapText="1"/>
    </xf>
    <xf numFmtId="10" fontId="10" fillId="0" borderId="27" xfId="6" applyNumberFormat="1" applyFill="1" applyBorder="1" applyAlignment="1" applyProtection="1">
      <alignment horizontal="center" wrapText="1"/>
      <protection locked="0"/>
    </xf>
    <xf numFmtId="0" fontId="10" fillId="0" borderId="27" xfId="6" applyBorder="1" applyAlignment="1" applyProtection="1">
      <alignment horizontal="center" wrapText="1"/>
    </xf>
    <xf numFmtId="10" fontId="17" fillId="0" borderId="0" xfId="8" applyNumberFormat="1" applyFill="1" applyBorder="1" applyAlignment="1" applyProtection="1">
      <alignment horizontal="left" wrapText="1"/>
    </xf>
    <xf numFmtId="0" fontId="10" fillId="0" borderId="0" xfId="6" applyFont="1" applyBorder="1" applyAlignment="1" applyProtection="1">
      <alignment horizontal="left"/>
    </xf>
    <xf numFmtId="10" fontId="10" fillId="0" borderId="0" xfId="6" applyNumberFormat="1" applyBorder="1" applyProtection="1"/>
    <xf numFmtId="10" fontId="10" fillId="0" borderId="0" xfId="6" applyNumberFormat="1" applyFont="1" applyBorder="1" applyAlignment="1" applyProtection="1">
      <alignment horizontal="left"/>
    </xf>
    <xf numFmtId="10" fontId="10" fillId="0" borderId="27" xfId="6" applyNumberFormat="1" applyBorder="1" applyAlignment="1" applyProtection="1">
      <alignment horizontal="center" wrapText="1"/>
    </xf>
    <xf numFmtId="2" fontId="10" fillId="0" borderId="0" xfId="6" applyNumberFormat="1" applyFont="1" applyBorder="1" applyAlignment="1" applyProtection="1">
      <alignment horizontal="left"/>
    </xf>
    <xf numFmtId="0" fontId="10" fillId="0" borderId="0" xfId="6" applyAlignment="1" applyProtection="1">
      <alignment horizontal="left"/>
    </xf>
    <xf numFmtId="0" fontId="10" fillId="0" borderId="0" xfId="6" applyFont="1" applyProtection="1"/>
    <xf numFmtId="0" fontId="6" fillId="0" borderId="32" xfId="10" applyNumberFormat="1" applyFont="1" applyBorder="1" applyAlignment="1" applyProtection="1">
      <alignment horizontal="center" vertical="center" wrapText="1"/>
      <protection hidden="1"/>
    </xf>
    <xf numFmtId="14" fontId="6" fillId="0" borderId="33" xfId="10" applyNumberFormat="1" applyFont="1" applyBorder="1" applyAlignment="1" applyProtection="1">
      <alignment vertical="center" wrapText="1"/>
      <protection hidden="1"/>
    </xf>
    <xf numFmtId="0" fontId="6" fillId="0" borderId="33" xfId="6" applyFont="1" applyBorder="1" applyAlignment="1" applyProtection="1">
      <alignment horizontal="center" wrapText="1"/>
    </xf>
    <xf numFmtId="10" fontId="10" fillId="0" borderId="33" xfId="6" applyNumberFormat="1" applyFont="1" applyBorder="1" applyAlignment="1" applyProtection="1">
      <alignment horizontal="center" wrapText="1"/>
    </xf>
    <xf numFmtId="10" fontId="4" fillId="10" borderId="34" xfId="8" applyNumberFormat="1" applyFont="1" applyFill="1" applyBorder="1" applyAlignment="1" applyProtection="1">
      <alignment horizontal="center" wrapText="1"/>
    </xf>
    <xf numFmtId="0" fontId="10" fillId="0" borderId="3" xfId="6" applyBorder="1" applyProtection="1"/>
    <xf numFmtId="10" fontId="10" fillId="0" borderId="35" xfId="6" applyNumberFormat="1" applyFill="1" applyBorder="1" applyAlignment="1" applyProtection="1">
      <alignment horizontal="center" wrapText="1"/>
      <protection locked="0"/>
    </xf>
    <xf numFmtId="10" fontId="10" fillId="0" borderId="36" xfId="6" applyNumberFormat="1" applyFill="1" applyBorder="1" applyAlignment="1" applyProtection="1">
      <alignment horizontal="center" wrapText="1"/>
      <protection locked="0"/>
    </xf>
    <xf numFmtId="0" fontId="6" fillId="0" borderId="37" xfId="10" applyNumberFormat="1" applyFont="1" applyBorder="1" applyAlignment="1" applyProtection="1">
      <alignment horizontal="center" vertical="center" wrapText="1"/>
      <protection hidden="1"/>
    </xf>
    <xf numFmtId="14" fontId="6" fillId="0" borderId="37" xfId="10" applyNumberFormat="1" applyFont="1" applyBorder="1" applyAlignment="1" applyProtection="1">
      <alignment vertical="center" wrapText="1"/>
      <protection hidden="1"/>
    </xf>
    <xf numFmtId="0" fontId="6" fillId="0" borderId="38" xfId="6" applyFont="1" applyBorder="1" applyAlignment="1" applyProtection="1">
      <alignment horizontal="center" wrapText="1"/>
    </xf>
    <xf numFmtId="10" fontId="10" fillId="11" borderId="39" xfId="6" applyNumberFormat="1" applyFill="1" applyBorder="1" applyAlignment="1" applyProtection="1">
      <alignment horizontal="center" wrapText="1"/>
    </xf>
    <xf numFmtId="0" fontId="10" fillId="0" borderId="40" xfId="6" applyBorder="1" applyAlignment="1" applyProtection="1">
      <alignment horizontal="center" wrapText="1"/>
    </xf>
    <xf numFmtId="10" fontId="4" fillId="10" borderId="41" xfId="8" applyNumberFormat="1" applyFont="1" applyFill="1" applyBorder="1" applyAlignment="1" applyProtection="1">
      <alignment horizontal="center" wrapText="1"/>
    </xf>
    <xf numFmtId="0" fontId="25" fillId="0" borderId="13" xfId="6" applyFont="1" applyBorder="1" applyAlignment="1" applyProtection="1">
      <alignment vertical="center" wrapText="1"/>
    </xf>
    <xf numFmtId="0" fontId="10" fillId="0" borderId="1" xfId="6" applyFont="1" applyBorder="1" applyAlignment="1" applyProtection="1">
      <alignment horizontal="left"/>
    </xf>
    <xf numFmtId="0" fontId="25" fillId="0" borderId="0" xfId="6" applyFont="1" applyAlignment="1" applyProtection="1">
      <alignment vertical="center" wrapText="1"/>
    </xf>
    <xf numFmtId="0" fontId="17" fillId="0" borderId="0" xfId="8" applyAlignment="1" applyProtection="1"/>
    <xf numFmtId="0" fontId="17" fillId="0" borderId="0" xfId="8" applyBorder="1" applyAlignment="1" applyProtection="1"/>
    <xf numFmtId="0" fontId="26" fillId="0" borderId="0" xfId="11" applyFont="1" applyBorder="1" applyAlignment="1" applyProtection="1">
      <alignment horizontal="center" vertical="center"/>
    </xf>
    <xf numFmtId="0" fontId="17" fillId="0" borderId="45" xfId="8" applyBorder="1" applyAlignment="1" applyProtection="1">
      <alignment horizontal="center" vertical="center"/>
    </xf>
    <xf numFmtId="0" fontId="17" fillId="0" borderId="0" xfId="8" applyBorder="1" applyAlignment="1" applyProtection="1">
      <alignment horizontal="center" vertical="center"/>
    </xf>
    <xf numFmtId="0" fontId="17" fillId="0" borderId="0" xfId="8" applyAlignment="1" applyProtection="1">
      <alignment horizontal="center" vertical="center"/>
    </xf>
    <xf numFmtId="0" fontId="17" fillId="0" borderId="16" xfId="8" applyBorder="1" applyAlignment="1" applyProtection="1">
      <alignment horizontal="center" vertical="center"/>
    </xf>
    <xf numFmtId="0" fontId="17" fillId="0" borderId="17" xfId="8" applyBorder="1" applyAlignment="1" applyProtection="1">
      <alignment horizontal="center" vertical="center"/>
    </xf>
    <xf numFmtId="14" fontId="7" fillId="0" borderId="18" xfId="10" applyNumberFormat="1" applyFont="1" applyBorder="1" applyAlignment="1" applyProtection="1">
      <alignment vertical="center" wrapText="1"/>
      <protection hidden="1"/>
    </xf>
    <xf numFmtId="10" fontId="10" fillId="0" borderId="0" xfId="6" applyNumberFormat="1" applyProtection="1"/>
    <xf numFmtId="0" fontId="5" fillId="0" borderId="0" xfId="6" applyFont="1" applyProtection="1"/>
    <xf numFmtId="0" fontId="8" fillId="0" borderId="0" xfId="6" applyNumberFormat="1" applyFont="1" applyBorder="1" applyAlignment="1" applyProtection="1"/>
    <xf numFmtId="0" fontId="8" fillId="0" borderId="0" xfId="6" applyFont="1" applyBorder="1" applyProtection="1"/>
    <xf numFmtId="0" fontId="8" fillId="0" borderId="0" xfId="6" applyFont="1" applyProtection="1"/>
    <xf numFmtId="0" fontId="8" fillId="0" borderId="0" xfId="6" applyNumberFormat="1" applyFont="1" applyAlignment="1" applyProtection="1"/>
    <xf numFmtId="0" fontId="8" fillId="0" borderId="0" xfId="6" applyFont="1" applyFill="1" applyProtection="1"/>
    <xf numFmtId="0" fontId="6" fillId="0" borderId="0" xfId="6" applyFont="1" applyFill="1" applyAlignment="1" applyProtection="1"/>
    <xf numFmtId="0" fontId="30" fillId="0" borderId="0" xfId="8" applyFont="1" applyAlignment="1" applyProtection="1"/>
    <xf numFmtId="0" fontId="7" fillId="0" borderId="0" xfId="6" applyNumberFormat="1" applyFont="1" applyFill="1" applyBorder="1" applyAlignment="1" applyProtection="1">
      <alignment horizontal="left" wrapText="1"/>
    </xf>
    <xf numFmtId="0" fontId="10" fillId="0" borderId="0" xfId="6" applyNumberFormat="1" applyFill="1" applyAlignment="1" applyProtection="1"/>
    <xf numFmtId="0" fontId="10" fillId="0" borderId="0" xfId="6" applyFill="1" applyBorder="1" applyAlignment="1" applyProtection="1">
      <alignment horizontal="left"/>
    </xf>
    <xf numFmtId="0" fontId="10" fillId="0" borderId="1" xfId="6" applyBorder="1" applyAlignment="1" applyProtection="1">
      <alignment horizontal="left"/>
    </xf>
    <xf numFmtId="0" fontId="10" fillId="0" borderId="0" xfId="6" applyFill="1" applyBorder="1" applyProtection="1"/>
    <xf numFmtId="0" fontId="8" fillId="0" borderId="1" xfId="6" applyFont="1" applyBorder="1" applyAlignment="1" applyProtection="1">
      <alignment horizontal="left"/>
    </xf>
    <xf numFmtId="0" fontId="5" fillId="0" borderId="0" xfId="7" applyFont="1" applyBorder="1" applyAlignment="1" applyProtection="1">
      <alignment horizontal="left" vertical="center"/>
    </xf>
    <xf numFmtId="0" fontId="8" fillId="0" borderId="0" xfId="6" applyFont="1" applyAlignment="1" applyProtection="1">
      <alignment horizontal="left"/>
    </xf>
    <xf numFmtId="0" fontId="8" fillId="7" borderId="0" xfId="6" applyFont="1" applyFill="1" applyBorder="1" applyProtection="1"/>
    <xf numFmtId="0" fontId="10" fillId="0" borderId="0" xfId="6" applyFont="1" applyFill="1" applyBorder="1" applyAlignment="1" applyProtection="1"/>
    <xf numFmtId="0" fontId="17" fillId="0" borderId="0" xfId="8" applyFill="1" applyBorder="1" applyAlignment="1" applyProtection="1"/>
    <xf numFmtId="0" fontId="10" fillId="0" borderId="54" xfId="6" applyFill="1" applyBorder="1" applyProtection="1"/>
    <xf numFmtId="0" fontId="10" fillId="0" borderId="55" xfId="6" applyFill="1" applyBorder="1" applyProtection="1"/>
    <xf numFmtId="0" fontId="8" fillId="7" borderId="0" xfId="6" applyFont="1" applyFill="1" applyProtection="1"/>
    <xf numFmtId="0" fontId="8" fillId="0" borderId="0" xfId="7" applyNumberFormat="1" applyFont="1" applyFill="1" applyBorder="1" applyAlignment="1" applyProtection="1">
      <alignment vertical="center"/>
    </xf>
    <xf numFmtId="0" fontId="17" fillId="0" borderId="0" xfId="8" applyNumberFormat="1" applyFill="1" applyBorder="1" applyAlignment="1" applyProtection="1"/>
    <xf numFmtId="0" fontId="8" fillId="0" borderId="0" xfId="7" applyFont="1" applyAlignment="1" applyProtection="1">
      <alignment horizontal="right" vertical="center"/>
    </xf>
    <xf numFmtId="0" fontId="10" fillId="0" borderId="56" xfId="6" applyBorder="1" applyProtection="1"/>
    <xf numFmtId="0" fontId="10" fillId="0" borderId="54" xfId="6" applyBorder="1" applyProtection="1"/>
    <xf numFmtId="0" fontId="10" fillId="0" borderId="55" xfId="6" applyBorder="1" applyProtection="1"/>
    <xf numFmtId="0" fontId="5" fillId="0" borderId="0" xfId="7" applyFont="1" applyBorder="1" applyAlignment="1" applyProtection="1">
      <alignment horizontal="center" vertical="center"/>
    </xf>
    <xf numFmtId="0" fontId="10" fillId="8" borderId="17" xfId="6" applyFont="1" applyFill="1" applyBorder="1" applyAlignment="1" applyProtection="1">
      <protection locked="0"/>
    </xf>
    <xf numFmtId="0" fontId="10" fillId="0" borderId="54" xfId="6" applyFont="1" applyBorder="1" applyAlignment="1" applyProtection="1">
      <alignment horizontal="right"/>
    </xf>
    <xf numFmtId="0" fontId="8" fillId="8" borderId="58" xfId="7" applyNumberFormat="1" applyFont="1" applyFill="1" applyBorder="1" applyAlignment="1" applyProtection="1">
      <alignment vertical="center"/>
      <protection locked="0"/>
    </xf>
    <xf numFmtId="0" fontId="32" fillId="0" borderId="54" xfId="8" applyFont="1" applyFill="1" applyBorder="1" applyAlignment="1" applyProtection="1">
      <alignment horizontal="right"/>
    </xf>
    <xf numFmtId="0" fontId="26" fillId="0" borderId="0" xfId="6" applyFont="1" applyFill="1" applyProtection="1"/>
    <xf numFmtId="0" fontId="8" fillId="8" borderId="44" xfId="7" applyNumberFormat="1" applyFont="1" applyFill="1" applyBorder="1" applyAlignment="1" applyProtection="1">
      <alignment vertical="center"/>
      <protection locked="0"/>
    </xf>
    <xf numFmtId="0" fontId="32" fillId="0" borderId="59" xfId="8" applyNumberFormat="1" applyFont="1" applyFill="1" applyBorder="1" applyAlignment="1" applyProtection="1">
      <alignment horizontal="right"/>
    </xf>
    <xf numFmtId="0" fontId="10" fillId="0" borderId="61" xfId="6" applyBorder="1" applyProtection="1"/>
    <xf numFmtId="0" fontId="10" fillId="7" borderId="0" xfId="6" applyNumberFormat="1" applyFill="1" applyAlignment="1" applyProtection="1"/>
    <xf numFmtId="0" fontId="26" fillId="0" borderId="0" xfId="6" applyFont="1" applyProtection="1"/>
    <xf numFmtId="44" fontId="3" fillId="0" borderId="1" xfId="1" applyNumberFormat="1" applyFont="1" applyFill="1" applyBorder="1" applyAlignment="1" applyProtection="1">
      <alignment horizontal="center" vertical="center"/>
      <protection locked="0"/>
    </xf>
    <xf numFmtId="164" fontId="5" fillId="0" borderId="1" xfId="1" applyFont="1" applyFill="1" applyBorder="1" applyAlignment="1">
      <alignment horizontal="center" vertical="center"/>
    </xf>
    <xf numFmtId="9" fontId="5" fillId="2" borderId="1" xfId="2" applyFont="1" applyFill="1" applyBorder="1" applyAlignment="1">
      <alignment horizontal="center" vertical="center"/>
    </xf>
    <xf numFmtId="0" fontId="4" fillId="0" borderId="1" xfId="0" applyFont="1" applyFill="1" applyBorder="1" applyAlignment="1">
      <alignment horizontal="left" vertical="center"/>
    </xf>
    <xf numFmtId="164" fontId="5" fillId="0" borderId="1" xfId="1" applyFont="1" applyFill="1" applyBorder="1" applyAlignment="1">
      <alignment horizontal="left" vertical="center"/>
    </xf>
    <xf numFmtId="0" fontId="5" fillId="0" borderId="1" xfId="0" applyFont="1" applyFill="1" applyBorder="1" applyAlignment="1">
      <alignment vertical="center"/>
    </xf>
    <xf numFmtId="44" fontId="0" fillId="0" borderId="0" xfId="0" applyNumberFormat="1"/>
    <xf numFmtId="0" fontId="0" fillId="0" borderId="0" xfId="0" applyAlignment="1">
      <alignment horizontal="center"/>
    </xf>
    <xf numFmtId="0" fontId="0" fillId="0" borderId="0" xfId="0" applyFill="1"/>
    <xf numFmtId="0" fontId="11" fillId="15" borderId="1" xfId="0" applyFont="1" applyFill="1" applyBorder="1" applyAlignment="1">
      <alignment horizontal="left"/>
    </xf>
    <xf numFmtId="0" fontId="11" fillId="15" borderId="1" xfId="0" applyFont="1" applyFill="1" applyBorder="1" applyAlignment="1">
      <alignment horizontal="center"/>
    </xf>
    <xf numFmtId="44" fontId="11" fillId="15" borderId="1" xfId="0" applyNumberFormat="1" applyFont="1" applyFill="1" applyBorder="1" applyAlignment="1">
      <alignment horizontal="left"/>
    </xf>
    <xf numFmtId="0" fontId="0" fillId="0" borderId="0" xfId="0" applyAlignment="1">
      <alignment vertical="center"/>
    </xf>
    <xf numFmtId="44" fontId="0" fillId="0" borderId="0" xfId="0" applyNumberFormat="1" applyAlignment="1">
      <alignment vertical="center"/>
    </xf>
    <xf numFmtId="0" fontId="11" fillId="15" borderId="1" xfId="0" applyFont="1" applyFill="1" applyBorder="1" applyAlignment="1">
      <alignment horizontal="center" vertical="center"/>
    </xf>
    <xf numFmtId="0" fontId="0" fillId="0" borderId="0" xfId="0" applyAlignment="1">
      <alignment horizontal="center" vertical="center"/>
    </xf>
    <xf numFmtId="164" fontId="4" fillId="0" borderId="1" xfId="3" applyNumberFormat="1" applyFont="1" applyFill="1" applyBorder="1" applyAlignment="1">
      <alignment horizontal="left" vertical="center"/>
    </xf>
    <xf numFmtId="2" fontId="4" fillId="0" borderId="1" xfId="4" applyNumberFormat="1"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Border="1"/>
    <xf numFmtId="0" fontId="4" fillId="6" borderId="1" xfId="0" applyFont="1" applyFill="1" applyBorder="1" applyAlignment="1">
      <alignment horizontal="center" vertical="center"/>
    </xf>
    <xf numFmtId="0" fontId="3" fillId="6" borderId="1" xfId="0" applyFont="1" applyFill="1" applyBorder="1"/>
    <xf numFmtId="44" fontId="3" fillId="6" borderId="1" xfId="0" applyNumberFormat="1" applyFont="1" applyFill="1" applyBorder="1"/>
    <xf numFmtId="44" fontId="3" fillId="6" borderId="1" xfId="0" applyNumberFormat="1" applyFont="1" applyFill="1" applyBorder="1" applyAlignment="1">
      <alignment vertical="center"/>
    </xf>
    <xf numFmtId="0" fontId="0" fillId="6" borderId="1" xfId="0" applyFill="1" applyBorder="1" applyAlignment="1">
      <alignment horizontal="center" vertical="center"/>
    </xf>
    <xf numFmtId="0" fontId="3" fillId="6" borderId="1" xfId="0" applyFont="1" applyFill="1" applyBorder="1" applyAlignment="1">
      <alignment horizontal="center"/>
    </xf>
    <xf numFmtId="0" fontId="3" fillId="6" borderId="1" xfId="0" applyFont="1" applyFill="1" applyBorder="1" applyAlignment="1">
      <alignment horizontal="left"/>
    </xf>
    <xf numFmtId="0" fontId="3" fillId="6" borderId="1" xfId="0" applyFont="1" applyFill="1" applyBorder="1" applyAlignment="1">
      <alignment horizontal="left" wrapText="1"/>
    </xf>
    <xf numFmtId="0" fontId="0" fillId="6" borderId="1" xfId="0" applyFill="1" applyBorder="1" applyAlignment="1">
      <alignment vertical="center" wrapText="1"/>
    </xf>
    <xf numFmtId="0" fontId="0" fillId="6" borderId="1" xfId="0" applyFill="1" applyBorder="1" applyAlignment="1">
      <alignment horizontal="center"/>
    </xf>
    <xf numFmtId="0" fontId="0" fillId="6" borderId="1" xfId="0" applyFill="1" applyBorder="1"/>
    <xf numFmtId="0" fontId="0" fillId="6" borderId="0" xfId="0" applyFill="1"/>
    <xf numFmtId="164" fontId="4" fillId="6" borderId="1" xfId="4" applyNumberFormat="1" applyFont="1" applyFill="1" applyBorder="1" applyAlignment="1">
      <alignment horizontal="left" vertical="center"/>
    </xf>
    <xf numFmtId="44" fontId="0" fillId="6" borderId="0" xfId="0" applyNumberFormat="1" applyFill="1" applyBorder="1"/>
    <xf numFmtId="0" fontId="11" fillId="6" borderId="0" xfId="0" applyFont="1" applyFill="1" applyAlignment="1">
      <alignment horizontal="left"/>
    </xf>
    <xf numFmtId="0" fontId="3" fillId="6" borderId="0" xfId="0" applyFont="1" applyFill="1"/>
    <xf numFmtId="0" fontId="0" fillId="6" borderId="0" xfId="0" applyFill="1" applyAlignment="1">
      <alignment vertical="center"/>
    </xf>
    <xf numFmtId="44" fontId="0" fillId="6" borderId="0" xfId="0" applyNumberFormat="1" applyFill="1"/>
    <xf numFmtId="0" fontId="0" fillId="6" borderId="0" xfId="0" applyNumberFormat="1" applyFill="1"/>
    <xf numFmtId="0" fontId="38" fillId="14" borderId="1" xfId="0" applyFont="1" applyFill="1" applyBorder="1"/>
    <xf numFmtId="0" fontId="0" fillId="6" borderId="0" xfId="0" applyFill="1" applyBorder="1"/>
    <xf numFmtId="2" fontId="0" fillId="0" borderId="0" xfId="0" applyNumberFormat="1"/>
    <xf numFmtId="2" fontId="0" fillId="0" borderId="0" xfId="0" applyNumberFormat="1" applyBorder="1"/>
    <xf numFmtId="0" fontId="0" fillId="0" borderId="1" xfId="0" applyBorder="1" applyAlignment="1">
      <alignment horizontal="center"/>
    </xf>
    <xf numFmtId="0" fontId="0" fillId="0" borderId="1" xfId="0" applyBorder="1"/>
    <xf numFmtId="0" fontId="0" fillId="6" borderId="1" xfId="0" applyFill="1" applyBorder="1" applyAlignment="1">
      <alignment horizontal="left" vertical="center" wrapText="1"/>
    </xf>
    <xf numFmtId="0" fontId="33" fillId="0" borderId="0" xfId="0" applyFont="1" applyFill="1" applyBorder="1" applyAlignment="1">
      <alignment horizontal="left" vertical="center"/>
    </xf>
    <xf numFmtId="0" fontId="33" fillId="6" borderId="0" xfId="0" applyFont="1" applyFill="1" applyBorder="1" applyAlignment="1">
      <alignment horizontal="left" vertical="center"/>
    </xf>
    <xf numFmtId="0" fontId="2" fillId="6" borderId="0" xfId="0" applyFont="1" applyFill="1" applyBorder="1" applyAlignment="1">
      <alignment horizontal="center" vertical="center"/>
    </xf>
    <xf numFmtId="14" fontId="36" fillId="6" borderId="0" xfId="0" applyNumberFormat="1" applyFont="1" applyFill="1" applyBorder="1" applyAlignment="1">
      <alignment horizontal="center" vertical="center"/>
    </xf>
    <xf numFmtId="164" fontId="37" fillId="6" borderId="0" xfId="0" applyNumberFormat="1" applyFont="1" applyFill="1" applyBorder="1" applyAlignment="1">
      <alignment horizontal="center" vertical="center"/>
    </xf>
    <xf numFmtId="0" fontId="3" fillId="6" borderId="1" xfId="0" applyFont="1" applyFill="1" applyBorder="1" applyAlignment="1">
      <alignment horizontal="left" vertical="center"/>
    </xf>
    <xf numFmtId="0" fontId="4" fillId="0" borderId="62" xfId="0" applyFont="1" applyFill="1" applyBorder="1" applyAlignment="1">
      <alignment horizontal="left" vertical="center" wrapText="1"/>
    </xf>
    <xf numFmtId="0" fontId="2" fillId="5"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6" borderId="1" xfId="0" applyFont="1" applyFill="1" applyBorder="1" applyAlignment="1">
      <alignment vertical="center"/>
    </xf>
    <xf numFmtId="166" fontId="0" fillId="0" borderId="0" xfId="0" applyNumberFormat="1"/>
    <xf numFmtId="0" fontId="0" fillId="17" borderId="0" xfId="0" applyFill="1"/>
    <xf numFmtId="166" fontId="40" fillId="0" borderId="0" xfId="0" applyNumberFormat="1" applyFont="1"/>
    <xf numFmtId="0" fontId="3" fillId="18" borderId="1" xfId="0" applyFont="1" applyFill="1" applyBorder="1" applyAlignment="1">
      <alignment horizontal="center"/>
    </xf>
    <xf numFmtId="0" fontId="3" fillId="18" borderId="1" xfId="0" applyFont="1" applyFill="1" applyBorder="1" applyAlignment="1">
      <alignment horizontal="left"/>
    </xf>
    <xf numFmtId="0" fontId="3" fillId="18" borderId="1" xfId="0" applyFont="1" applyFill="1" applyBorder="1"/>
    <xf numFmtId="44" fontId="3" fillId="18" borderId="1" xfId="0" applyNumberFormat="1" applyFont="1" applyFill="1" applyBorder="1"/>
    <xf numFmtId="0" fontId="3" fillId="0" borderId="1" xfId="0" applyFont="1" applyFill="1" applyBorder="1" applyAlignment="1">
      <alignment horizontal="center"/>
    </xf>
    <xf numFmtId="0" fontId="3" fillId="0" borderId="1" xfId="0" applyFont="1" applyFill="1" applyBorder="1" applyAlignment="1">
      <alignment horizontal="left"/>
    </xf>
    <xf numFmtId="0" fontId="3" fillId="0" borderId="1" xfId="0" applyFont="1" applyFill="1" applyBorder="1"/>
    <xf numFmtId="44" fontId="3" fillId="0" borderId="1" xfId="0" applyNumberFormat="1" applyFont="1" applyFill="1" applyBorder="1"/>
    <xf numFmtId="2" fontId="0" fillId="6" borderId="0" xfId="0" applyNumberFormat="1" applyFill="1"/>
    <xf numFmtId="0" fontId="5" fillId="0" borderId="1" xfId="0" applyFont="1" applyFill="1" applyBorder="1" applyAlignment="1">
      <alignment horizontal="center" vertical="center"/>
    </xf>
    <xf numFmtId="2" fontId="0" fillId="14" borderId="0" xfId="0" applyNumberFormat="1" applyFill="1"/>
    <xf numFmtId="0" fontId="38" fillId="18" borderId="1" xfId="0" applyFont="1" applyFill="1" applyBorder="1" applyAlignment="1">
      <alignment vertical="center"/>
    </xf>
    <xf numFmtId="0" fontId="41" fillId="0" borderId="1" xfId="0" applyFont="1" applyBorder="1" applyAlignment="1">
      <alignment vertical="center"/>
    </xf>
    <xf numFmtId="9" fontId="6" fillId="0" borderId="0" xfId="0" applyNumberFormat="1" applyFont="1" applyFill="1"/>
    <xf numFmtId="0" fontId="0" fillId="14" borderId="0" xfId="0" applyFill="1"/>
    <xf numFmtId="0" fontId="3" fillId="0" borderId="0" xfId="0" applyFont="1" applyAlignment="1">
      <alignment wrapText="1"/>
    </xf>
    <xf numFmtId="0" fontId="3" fillId="0" borderId="1" xfId="0" applyFont="1" applyFill="1" applyBorder="1" applyAlignment="1">
      <alignment horizontal="left" vertical="center"/>
    </xf>
    <xf numFmtId="0" fontId="3" fillId="0" borderId="1" xfId="0" applyFont="1" applyFill="1" applyBorder="1" applyAlignment="1">
      <alignment vertical="center"/>
    </xf>
    <xf numFmtId="44" fontId="3" fillId="0" borderId="1" xfId="0" applyNumberFormat="1" applyFont="1" applyFill="1" applyBorder="1" applyAlignment="1">
      <alignmen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5" borderId="2" xfId="0" applyFont="1" applyFill="1" applyBorder="1" applyAlignment="1">
      <alignment horizontal="right" vertical="center"/>
    </xf>
    <xf numFmtId="0" fontId="2" fillId="5" borderId="3" xfId="0" applyFont="1" applyFill="1" applyBorder="1" applyAlignment="1">
      <alignment horizontal="right" vertical="center"/>
    </xf>
    <xf numFmtId="0" fontId="2" fillId="5" borderId="4" xfId="0" applyFont="1" applyFill="1" applyBorder="1" applyAlignment="1">
      <alignment horizontal="right" vertical="center"/>
    </xf>
    <xf numFmtId="0" fontId="12" fillId="0" borderId="0" xfId="0" applyFont="1" applyBorder="1" applyAlignment="1">
      <alignment horizontal="center" vertical="center"/>
    </xf>
    <xf numFmtId="0" fontId="39" fillId="0" borderId="0" xfId="0" applyFont="1" applyAlignment="1">
      <alignment horizontal="center" vertical="center"/>
    </xf>
    <xf numFmtId="0" fontId="12" fillId="0" borderId="0" xfId="0" applyFont="1" applyAlignment="1">
      <alignment horizontal="center" vertical="center"/>
    </xf>
    <xf numFmtId="0" fontId="11" fillId="6" borderId="6"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2" fillId="5" borderId="1" xfId="0" applyFont="1" applyFill="1" applyBorder="1" applyAlignment="1">
      <alignment horizontal="right" vertical="center"/>
    </xf>
    <xf numFmtId="0" fontId="9" fillId="3" borderId="1"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10" fontId="2" fillId="2" borderId="6" xfId="0" applyNumberFormat="1" applyFont="1" applyFill="1" applyBorder="1" applyAlignment="1">
      <alignment horizontal="center" vertical="center"/>
    </xf>
    <xf numFmtId="10" fontId="2" fillId="2" borderId="7" xfId="0" applyNumberFormat="1" applyFont="1" applyFill="1" applyBorder="1" applyAlignment="1">
      <alignment horizontal="center" vertical="center"/>
    </xf>
    <xf numFmtId="14" fontId="2" fillId="2" borderId="8" xfId="0" applyNumberFormat="1" applyFont="1" applyFill="1" applyBorder="1" applyAlignment="1">
      <alignment horizontal="center" vertical="center"/>
    </xf>
    <xf numFmtId="0" fontId="2" fillId="2" borderId="5" xfId="0" applyFont="1" applyFill="1" applyBorder="1" applyAlignment="1">
      <alignment horizontal="center" vertical="center"/>
    </xf>
    <xf numFmtId="44" fontId="34" fillId="2" borderId="11" xfId="0" applyNumberFormat="1" applyFont="1" applyFill="1" applyBorder="1" applyAlignment="1">
      <alignment horizontal="center" vertical="center"/>
    </xf>
    <xf numFmtId="44" fontId="34" fillId="2" borderId="12" xfId="0" applyNumberFormat="1" applyFont="1" applyFill="1" applyBorder="1" applyAlignment="1">
      <alignment horizontal="center" vertical="center"/>
    </xf>
    <xf numFmtId="44" fontId="34" fillId="2" borderId="9" xfId="0" applyNumberFormat="1" applyFont="1" applyFill="1" applyBorder="1" applyAlignment="1">
      <alignment horizontal="center" vertical="center"/>
    </xf>
    <xf numFmtId="44" fontId="34" fillId="2" borderId="10" xfId="0" applyNumberFormat="1" applyFont="1" applyFill="1" applyBorder="1" applyAlignment="1">
      <alignment horizontal="center" vertical="center"/>
    </xf>
    <xf numFmtId="0" fontId="2" fillId="2" borderId="9" xfId="0" applyNumberFormat="1" applyFont="1" applyFill="1" applyBorder="1" applyAlignment="1">
      <alignment horizontal="center" vertical="center"/>
    </xf>
    <xf numFmtId="0" fontId="2" fillId="2" borderId="10"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 xfId="0" applyFont="1" applyFill="1" applyBorder="1" applyAlignment="1">
      <alignment horizontal="center" vertical="center" wrapText="1"/>
    </xf>
    <xf numFmtId="0" fontId="11" fillId="5" borderId="1" xfId="0" applyFont="1" applyFill="1" applyBorder="1" applyAlignment="1">
      <alignment horizontal="left" vertical="center"/>
    </xf>
    <xf numFmtId="0" fontId="13" fillId="5" borderId="1" xfId="0" applyFont="1" applyFill="1" applyBorder="1" applyAlignment="1">
      <alignment horizontal="left" vertical="center"/>
    </xf>
    <xf numFmtId="0" fontId="2" fillId="5" borderId="1" xfId="0" applyFont="1" applyFill="1" applyBorder="1" applyAlignment="1">
      <alignment horizontal="left" vertical="center"/>
    </xf>
    <xf numFmtId="2" fontId="2" fillId="4" borderId="1" xfId="1" applyNumberFormat="1" applyFont="1" applyFill="1" applyBorder="1" applyAlignment="1">
      <alignment horizontal="center" vertical="center"/>
    </xf>
    <xf numFmtId="164" fontId="2" fillId="4" borderId="1" xfId="0" applyNumberFormat="1" applyFont="1" applyFill="1" applyBorder="1" applyAlignment="1">
      <alignment horizontal="center" vertical="center" wrapText="1"/>
    </xf>
    <xf numFmtId="164" fontId="2" fillId="4" borderId="8" xfId="0" applyNumberFormat="1" applyFont="1" applyFill="1" applyBorder="1" applyAlignment="1">
      <alignment horizontal="center" vertical="center" wrapText="1"/>
    </xf>
    <xf numFmtId="164" fontId="2" fillId="4" borderId="5" xfId="0" applyNumberFormat="1" applyFont="1" applyFill="1" applyBorder="1" applyAlignment="1">
      <alignment horizontal="center" vertical="center" wrapText="1"/>
    </xf>
    <xf numFmtId="0" fontId="38" fillId="2" borderId="2" xfId="0" applyFont="1" applyFill="1" applyBorder="1" applyAlignment="1">
      <alignment horizontal="center"/>
    </xf>
    <xf numFmtId="0" fontId="38" fillId="2" borderId="3" xfId="0" applyFont="1" applyFill="1" applyBorder="1" applyAlignment="1">
      <alignment horizontal="center"/>
    </xf>
    <xf numFmtId="0" fontId="38" fillId="2" borderId="4" xfId="0" applyFont="1" applyFill="1" applyBorder="1" applyAlignment="1">
      <alignment horizontal="center"/>
    </xf>
    <xf numFmtId="0" fontId="2" fillId="16" borderId="14" xfId="0" applyFont="1" applyFill="1" applyBorder="1" applyAlignment="1">
      <alignment horizontal="center"/>
    </xf>
    <xf numFmtId="0" fontId="2" fillId="16" borderId="14"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16" borderId="1"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2" fillId="2" borderId="3" xfId="0" applyFont="1" applyFill="1" applyBorder="1" applyAlignment="1">
      <alignment horizontal="center" vertical="center"/>
    </xf>
    <xf numFmtId="164" fontId="37" fillId="2" borderId="6" xfId="0" applyNumberFormat="1" applyFont="1" applyFill="1" applyBorder="1" applyAlignment="1">
      <alignment horizontal="center" vertical="center"/>
    </xf>
    <xf numFmtId="164" fontId="37" fillId="2" borderId="13" xfId="0" applyNumberFormat="1" applyFont="1" applyFill="1" applyBorder="1" applyAlignment="1">
      <alignment horizontal="center" vertical="center"/>
    </xf>
    <xf numFmtId="164" fontId="37" fillId="2" borderId="7" xfId="0" applyNumberFormat="1" applyFont="1" applyFill="1" applyBorder="1" applyAlignment="1">
      <alignment horizontal="center" vertical="center"/>
    </xf>
    <xf numFmtId="164" fontId="37" fillId="2" borderId="9" xfId="0" applyNumberFormat="1" applyFont="1" applyFill="1" applyBorder="1" applyAlignment="1">
      <alignment horizontal="center" vertical="center"/>
    </xf>
    <xf numFmtId="164" fontId="37" fillId="2" borderId="14" xfId="0" applyNumberFormat="1" applyFont="1" applyFill="1" applyBorder="1" applyAlignment="1">
      <alignment horizontal="center" vertical="center"/>
    </xf>
    <xf numFmtId="164" fontId="37" fillId="2" borderId="1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36" fillId="2" borderId="6" xfId="0" applyNumberFormat="1" applyFont="1" applyFill="1" applyBorder="1" applyAlignment="1">
      <alignment horizontal="center" vertical="center"/>
    </xf>
    <xf numFmtId="14" fontId="36" fillId="2" borderId="7" xfId="0" applyNumberFormat="1" applyFont="1" applyFill="1" applyBorder="1" applyAlignment="1">
      <alignment horizontal="center" vertical="center"/>
    </xf>
    <xf numFmtId="14" fontId="36" fillId="2" borderId="9" xfId="0" applyNumberFormat="1" applyFont="1" applyFill="1" applyBorder="1" applyAlignment="1">
      <alignment horizontal="center" vertical="center"/>
    </xf>
    <xf numFmtId="14" fontId="36" fillId="2" borderId="10" xfId="0" applyNumberFormat="1" applyFont="1" applyFill="1" applyBorder="1" applyAlignment="1">
      <alignment horizontal="center" vertical="center"/>
    </xf>
    <xf numFmtId="10" fontId="35" fillId="2" borderId="2" xfId="0" applyNumberFormat="1" applyFont="1" applyFill="1" applyBorder="1" applyAlignment="1">
      <alignment horizontal="center" vertical="center"/>
    </xf>
    <xf numFmtId="10" fontId="35" fillId="2" borderId="4" xfId="0" applyNumberFormat="1" applyFont="1" applyFill="1" applyBorder="1" applyAlignment="1">
      <alignment horizontal="center" vertical="center"/>
    </xf>
    <xf numFmtId="0" fontId="33" fillId="2" borderId="1" xfId="0" applyFont="1" applyFill="1" applyBorder="1" applyAlignment="1">
      <alignment horizontal="left" vertical="center"/>
    </xf>
    <xf numFmtId="0" fontId="11" fillId="0" borderId="19" xfId="10" applyNumberFormat="1" applyFont="1" applyBorder="1" applyAlignment="1" applyProtection="1">
      <alignment horizontal="center" vertical="center" wrapText="1"/>
      <protection hidden="1"/>
    </xf>
    <xf numFmtId="0" fontId="11" fillId="0" borderId="20" xfId="10" applyNumberFormat="1" applyFont="1" applyBorder="1" applyAlignment="1" applyProtection="1">
      <alignment horizontal="center" vertical="center" wrapText="1"/>
      <protection hidden="1"/>
    </xf>
    <xf numFmtId="0" fontId="11" fillId="0" borderId="21" xfId="10" applyNumberFormat="1" applyFont="1" applyBorder="1" applyAlignment="1" applyProtection="1">
      <alignment horizontal="center" vertical="center" wrapText="1"/>
      <protection hidden="1"/>
    </xf>
    <xf numFmtId="2" fontId="19" fillId="8" borderId="16" xfId="9" applyNumberFormat="1" applyFont="1" applyFill="1" applyBorder="1" applyAlignment="1" applyProtection="1">
      <alignment horizontal="left"/>
      <protection locked="0"/>
    </xf>
    <xf numFmtId="0" fontId="17" fillId="0" borderId="17" xfId="8" applyBorder="1" applyAlignment="1" applyProtection="1">
      <protection locked="0"/>
    </xf>
    <xf numFmtId="0" fontId="17" fillId="0" borderId="18" xfId="8" applyBorder="1" applyAlignment="1" applyProtection="1">
      <protection locked="0"/>
    </xf>
    <xf numFmtId="0" fontId="17" fillId="8" borderId="17" xfId="8" applyFill="1" applyBorder="1" applyAlignment="1" applyProtection="1">
      <protection locked="0"/>
    </xf>
    <xf numFmtId="0" fontId="17" fillId="8" borderId="18" xfId="8" applyFill="1" applyBorder="1" applyAlignment="1" applyProtection="1">
      <protection locked="0"/>
    </xf>
    <xf numFmtId="0" fontId="22" fillId="9" borderId="19" xfId="8" applyFont="1" applyFill="1" applyBorder="1" applyAlignment="1" applyProtection="1">
      <alignment horizontal="center" vertical="center" wrapText="1"/>
    </xf>
    <xf numFmtId="0" fontId="22" fillId="9" borderId="20" xfId="8" applyFont="1" applyFill="1" applyBorder="1" applyAlignment="1" applyProtection="1">
      <alignment horizontal="center" vertical="center" wrapText="1"/>
    </xf>
    <xf numFmtId="0" fontId="22" fillId="9" borderId="21" xfId="8" applyFont="1" applyFill="1" applyBorder="1" applyAlignment="1" applyProtection="1">
      <alignment horizontal="center" vertical="center" wrapText="1"/>
    </xf>
    <xf numFmtId="14" fontId="24" fillId="0" borderId="0" xfId="10" applyNumberFormat="1" applyFont="1" applyFill="1" applyBorder="1" applyAlignment="1" applyProtection="1">
      <alignment horizontal="center" vertical="center" wrapText="1"/>
      <protection hidden="1"/>
    </xf>
    <xf numFmtId="0" fontId="11" fillId="0" borderId="0" xfId="6" applyFont="1" applyFill="1" applyAlignment="1" applyProtection="1">
      <alignment horizontal="left" vertical="center" wrapText="1"/>
    </xf>
    <xf numFmtId="0" fontId="27" fillId="0" borderId="0" xfId="8" applyFont="1" applyAlignment="1">
      <alignment horizontal="left" vertical="center" wrapText="1"/>
    </xf>
    <xf numFmtId="14" fontId="7" fillId="0" borderId="0" xfId="10" applyNumberFormat="1" applyFont="1" applyBorder="1" applyAlignment="1" applyProtection="1">
      <alignment horizontal="center" vertical="center" textRotation="180" wrapText="1"/>
      <protection hidden="1"/>
    </xf>
    <xf numFmtId="0" fontId="25" fillId="0" borderId="0" xfId="6" applyFont="1" applyAlignment="1" applyProtection="1">
      <alignment horizontal="center" vertical="center" wrapText="1"/>
    </xf>
    <xf numFmtId="14" fontId="7" fillId="0" borderId="28" xfId="10" applyNumberFormat="1" applyFont="1" applyBorder="1" applyAlignment="1" applyProtection="1">
      <alignment horizontal="center" vertical="center" wrapText="1"/>
      <protection hidden="1"/>
    </xf>
    <xf numFmtId="14" fontId="7" fillId="0" borderId="30" xfId="10" applyNumberFormat="1" applyFont="1" applyBorder="1" applyAlignment="1" applyProtection="1">
      <alignment horizontal="center" vertical="center" wrapText="1"/>
      <protection hidden="1"/>
    </xf>
    <xf numFmtId="14" fontId="7" fillId="0" borderId="29" xfId="10" applyNumberFormat="1" applyFont="1" applyBorder="1" applyAlignment="1" applyProtection="1">
      <alignment horizontal="center" vertical="center" wrapText="1"/>
      <protection hidden="1"/>
    </xf>
    <xf numFmtId="14" fontId="7" fillId="0" borderId="31" xfId="10" applyNumberFormat="1" applyFont="1" applyBorder="1" applyAlignment="1" applyProtection="1">
      <alignment horizontal="center" vertical="center" wrapText="1"/>
      <protection hidden="1"/>
    </xf>
    <xf numFmtId="0" fontId="26" fillId="0" borderId="16" xfId="6" applyFont="1" applyBorder="1" applyAlignment="1" applyProtection="1">
      <alignment horizontal="center" wrapText="1"/>
    </xf>
    <xf numFmtId="0" fontId="27" fillId="0" borderId="17" xfId="8" applyFont="1" applyBorder="1" applyAlignment="1" applyProtection="1">
      <alignment horizontal="center" wrapText="1"/>
    </xf>
    <xf numFmtId="0" fontId="27" fillId="0" borderId="42" xfId="8" applyFont="1" applyBorder="1" applyAlignment="1" applyProtection="1">
      <alignment horizontal="center" wrapText="1"/>
    </xf>
    <xf numFmtId="0" fontId="26" fillId="12" borderId="9" xfId="6" applyNumberFormat="1" applyFont="1" applyFill="1" applyBorder="1" applyAlignment="1" applyProtection="1">
      <alignment horizontal="center"/>
    </xf>
    <xf numFmtId="0" fontId="26" fillId="12" borderId="10" xfId="6" applyNumberFormat="1" applyFont="1" applyFill="1" applyBorder="1" applyAlignment="1" applyProtection="1">
      <alignment horizontal="center"/>
    </xf>
    <xf numFmtId="0" fontId="26" fillId="0" borderId="43" xfId="11" applyFont="1" applyBorder="1" applyAlignment="1" applyProtection="1">
      <alignment horizontal="left" vertical="center" wrapText="1"/>
    </xf>
    <xf numFmtId="0" fontId="26" fillId="0" borderId="44" xfId="11" applyFont="1" applyBorder="1" applyAlignment="1" applyProtection="1">
      <alignment horizontal="left" vertical="center" wrapText="1"/>
    </xf>
    <xf numFmtId="0" fontId="26" fillId="0" borderId="32" xfId="11" applyFont="1" applyBorder="1" applyAlignment="1" applyProtection="1">
      <alignment horizontal="left" vertical="center" wrapText="1"/>
    </xf>
    <xf numFmtId="2" fontId="28" fillId="0" borderId="46" xfId="11" applyNumberFormat="1" applyFont="1" applyFill="1" applyBorder="1" applyAlignment="1" applyProtection="1">
      <alignment horizontal="center" vertical="center"/>
    </xf>
    <xf numFmtId="0" fontId="17" fillId="0" borderId="47" xfId="8" applyBorder="1" applyAlignment="1" applyProtection="1">
      <alignment horizontal="center" vertical="center"/>
    </xf>
    <xf numFmtId="10" fontId="28" fillId="0" borderId="46" xfId="12" applyNumberFormat="1" applyFont="1" applyFill="1" applyBorder="1" applyAlignment="1" applyProtection="1">
      <alignment horizontal="center" vertical="center"/>
    </xf>
    <xf numFmtId="2" fontId="10" fillId="0" borderId="13" xfId="11" applyNumberFormat="1" applyFont="1" applyFill="1" applyBorder="1" applyAlignment="1" applyProtection="1">
      <alignment horizontal="center" vertical="center" wrapText="1"/>
    </xf>
    <xf numFmtId="0" fontId="29" fillId="0" borderId="13" xfId="8" applyFont="1" applyBorder="1" applyAlignment="1" applyProtection="1">
      <alignment wrapText="1"/>
    </xf>
    <xf numFmtId="0" fontId="29" fillId="0" borderId="7" xfId="8" applyFont="1" applyBorder="1" applyAlignment="1" applyProtection="1">
      <alignment wrapText="1"/>
    </xf>
    <xf numFmtId="0" fontId="29" fillId="0" borderId="0" xfId="8" applyFont="1" applyBorder="1" applyAlignment="1" applyProtection="1">
      <alignment wrapText="1"/>
    </xf>
    <xf numFmtId="0" fontId="29" fillId="0" borderId="12" xfId="8" applyFont="1" applyBorder="1" applyAlignment="1" applyProtection="1">
      <alignment wrapText="1"/>
    </xf>
    <xf numFmtId="0" fontId="29" fillId="0" borderId="9" xfId="8" applyFont="1" applyBorder="1" applyAlignment="1" applyProtection="1">
      <alignment wrapText="1"/>
    </xf>
    <xf numFmtId="0" fontId="29" fillId="0" borderId="14" xfId="8" applyFont="1" applyBorder="1" applyAlignment="1" applyProtection="1">
      <alignment wrapText="1"/>
    </xf>
    <xf numFmtId="0" fontId="29" fillId="0" borderId="10" xfId="8" applyFont="1" applyBorder="1" applyAlignment="1" applyProtection="1">
      <alignment wrapText="1"/>
    </xf>
    <xf numFmtId="0" fontId="7" fillId="10" borderId="6" xfId="6" applyNumberFormat="1" applyFont="1" applyFill="1" applyBorder="1" applyAlignment="1" applyProtection="1">
      <alignment horizontal="left" wrapText="1"/>
    </xf>
    <xf numFmtId="0" fontId="7" fillId="10" borderId="13" xfId="6" applyNumberFormat="1" applyFont="1" applyFill="1" applyBorder="1" applyAlignment="1" applyProtection="1">
      <alignment horizontal="left" wrapText="1"/>
    </xf>
    <xf numFmtId="0" fontId="7" fillId="10" borderId="7" xfId="6" applyNumberFormat="1" applyFont="1" applyFill="1" applyBorder="1" applyAlignment="1" applyProtection="1">
      <alignment horizontal="left" wrapText="1"/>
    </xf>
    <xf numFmtId="0" fontId="7" fillId="10" borderId="9" xfId="6" applyNumberFormat="1" applyFont="1" applyFill="1" applyBorder="1" applyAlignment="1" applyProtection="1">
      <alignment horizontal="left" wrapText="1"/>
    </xf>
    <xf numFmtId="0" fontId="7" fillId="10" borderId="14" xfId="6" applyNumberFormat="1" applyFont="1" applyFill="1" applyBorder="1" applyAlignment="1" applyProtection="1">
      <alignment horizontal="left" wrapText="1"/>
    </xf>
    <xf numFmtId="0" fontId="7" fillId="10" borderId="10" xfId="6" applyNumberFormat="1" applyFont="1" applyFill="1" applyBorder="1" applyAlignment="1" applyProtection="1">
      <alignment horizontal="left" wrapText="1"/>
    </xf>
    <xf numFmtId="0" fontId="10" fillId="0" borderId="58" xfId="6" applyFill="1" applyBorder="1" applyAlignment="1" applyProtection="1">
      <alignment horizontal="center"/>
      <protection locked="0"/>
    </xf>
    <xf numFmtId="0" fontId="10" fillId="0" borderId="60" xfId="6" applyFill="1" applyBorder="1" applyAlignment="1" applyProtection="1">
      <alignment horizontal="center"/>
      <protection locked="0"/>
    </xf>
    <xf numFmtId="0" fontId="31" fillId="13" borderId="48" xfId="6" applyFont="1" applyFill="1" applyBorder="1" applyAlignment="1" applyProtection="1">
      <alignment horizontal="center"/>
    </xf>
    <xf numFmtId="0" fontId="31" fillId="13" borderId="49" xfId="6" applyFont="1" applyFill="1" applyBorder="1" applyAlignment="1" applyProtection="1">
      <alignment horizontal="center"/>
    </xf>
    <xf numFmtId="0" fontId="31" fillId="13" borderId="50" xfId="6" applyFont="1" applyFill="1" applyBorder="1" applyAlignment="1" applyProtection="1">
      <alignment horizontal="center"/>
    </xf>
    <xf numFmtId="0" fontId="8" fillId="0" borderId="51" xfId="6" applyNumberFormat="1" applyFont="1" applyFill="1" applyBorder="1" applyAlignment="1" applyProtection="1">
      <alignment horizontal="left" vertical="center" wrapText="1"/>
    </xf>
    <xf numFmtId="0" fontId="8" fillId="0" borderId="52" xfId="6" applyNumberFormat="1" applyFont="1" applyFill="1" applyBorder="1" applyAlignment="1" applyProtection="1">
      <alignment horizontal="left" vertical="center" wrapText="1"/>
    </xf>
    <xf numFmtId="0" fontId="8" fillId="0" borderId="53" xfId="6" applyNumberFormat="1" applyFont="1" applyFill="1" applyBorder="1" applyAlignment="1" applyProtection="1">
      <alignment horizontal="left" vertical="center" wrapText="1"/>
    </xf>
    <xf numFmtId="0" fontId="8" fillId="0" borderId="54" xfId="6" applyNumberFormat="1" applyFont="1" applyFill="1" applyBorder="1" applyAlignment="1" applyProtection="1">
      <alignment horizontal="left" vertical="center" wrapText="1"/>
    </xf>
    <xf numFmtId="0" fontId="8" fillId="0" borderId="0" xfId="6" applyNumberFormat="1" applyFont="1" applyFill="1" applyBorder="1" applyAlignment="1" applyProtection="1">
      <alignment horizontal="left" vertical="center" wrapText="1"/>
    </xf>
    <xf numFmtId="0" fontId="8" fillId="0" borderId="55" xfId="6" applyNumberFormat="1" applyFont="1" applyFill="1" applyBorder="1" applyAlignment="1" applyProtection="1">
      <alignment horizontal="left" vertical="center" wrapText="1"/>
    </xf>
    <xf numFmtId="14" fontId="10" fillId="8" borderId="14" xfId="13" applyNumberFormat="1" applyFont="1" applyFill="1" applyBorder="1" applyAlignment="1" applyProtection="1">
      <alignment horizontal="center"/>
      <protection locked="0"/>
    </xf>
    <xf numFmtId="0" fontId="10" fillId="0" borderId="13" xfId="10" applyFont="1" applyBorder="1" applyAlignment="1" applyProtection="1">
      <alignment horizontal="center"/>
    </xf>
    <xf numFmtId="0" fontId="5" fillId="0" borderId="57" xfId="6" applyFont="1" applyBorder="1" applyAlignment="1" applyProtection="1">
      <alignment horizontal="center"/>
    </xf>
    <xf numFmtId="0" fontId="10" fillId="0" borderId="17" xfId="6" applyFill="1" applyBorder="1" applyAlignment="1" applyProtection="1">
      <alignment horizontal="center"/>
      <protection locked="0"/>
    </xf>
  </cellXfs>
  <cellStyles count="14">
    <cellStyle name="Moeda" xfId="1" builtinId="4"/>
    <cellStyle name="Normal" xfId="0" builtinId="0"/>
    <cellStyle name="Normal 2" xfId="3"/>
    <cellStyle name="Normal 2 2 2" xfId="5"/>
    <cellStyle name="Normal 2_SIGEO Ver_2013A" xfId="10"/>
    <cellStyle name="Normal 4" xfId="8"/>
    <cellStyle name="Normal 4 2_SIGEO Ver_2013A" xfId="7"/>
    <cellStyle name="Normal_Cálculo BDI conforme TCU" xfId="11"/>
    <cellStyle name="Normal_Cálculo BDI conforme TCU_SIGEO Ver_2013A" xfId="6"/>
    <cellStyle name="Normal_Plan1" xfId="9"/>
    <cellStyle name="Porcentagem" xfId="2" builtinId="5"/>
    <cellStyle name="Porcentagem 5" xfId="12"/>
    <cellStyle name="Vírgula 2 2" xfId="13"/>
    <cellStyle name="Vírgula 5 2" xfId="4"/>
  </cellStyles>
  <dxfs count="7">
    <dxf>
      <font>
        <b/>
        <i val="0"/>
        <condense val="0"/>
        <extend val="0"/>
        <color indexed="9"/>
      </font>
      <fill>
        <patternFill patternType="solid">
          <bgColor indexed="10"/>
        </patternFill>
      </fill>
    </dxf>
    <dxf>
      <font>
        <b/>
        <i val="0"/>
        <condense val="0"/>
        <extend val="0"/>
        <color indexed="17"/>
      </font>
      <fill>
        <patternFill>
          <bgColor indexed="9"/>
        </patternFill>
      </fill>
    </dxf>
    <dxf>
      <font>
        <b/>
        <i val="0"/>
        <condense val="0"/>
        <extend val="0"/>
        <color indexed="17"/>
      </font>
      <fill>
        <patternFill patternType="none">
          <bgColor indexed="65"/>
        </patternFill>
      </fill>
    </dxf>
    <dxf>
      <fill>
        <patternFill>
          <bgColor indexed="43"/>
        </patternFill>
      </fill>
    </dxf>
    <dxf>
      <font>
        <condense val="0"/>
        <extend val="0"/>
        <color indexed="17"/>
      </font>
    </dxf>
    <dxf>
      <font>
        <condense val="0"/>
        <extend val="0"/>
        <color indexed="10"/>
      </font>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6" dropStyle="combo" dx="16" fmlaLink="$O$10:$O$15" fmlaRange="$N$10:$N$15" noThreeD="1" sel="1" val="0"/>
</file>

<file path=xl/ctrlProps/ctrlProp2.xml><?xml version="1.0" encoding="utf-8"?>
<formControlPr xmlns="http://schemas.microsoft.com/office/spreadsheetml/2009/9/main" objectType="CheckBox" checked="Checked" fmlaLink="$N$8" noThree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30</xdr:row>
      <xdr:rowOff>0</xdr:rowOff>
    </xdr:from>
    <xdr:to>
      <xdr:col>11</xdr:col>
      <xdr:colOff>0</xdr:colOff>
      <xdr:row>33</xdr:row>
      <xdr:rowOff>76200</xdr:rowOff>
    </xdr:to>
    <xdr:sp macro="" textlink="">
      <xdr:nvSpPr>
        <xdr:cNvPr id="2" name="CaixaDeTexto 1">
          <a:extLst>
            <a:ext uri="{FF2B5EF4-FFF2-40B4-BE49-F238E27FC236}">
              <a16:creationId xmlns="" xmlns:a16="http://schemas.microsoft.com/office/drawing/2014/main" id="{00000000-0008-0000-0200-000002000000}"/>
            </a:ext>
          </a:extLst>
        </xdr:cNvPr>
        <xdr:cNvSpPr txBox="1">
          <a:spLocks noChangeArrowheads="1"/>
        </xdr:cNvSpPr>
      </xdr:nvSpPr>
      <xdr:spPr bwMode="auto">
        <a:xfrm>
          <a:off x="628650" y="5267325"/>
          <a:ext cx="10410825" cy="5619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10</xdr:row>
          <xdr:rowOff>9525</xdr:rowOff>
        </xdr:from>
        <xdr:to>
          <xdr:col>5</xdr:col>
          <xdr:colOff>485775</xdr:colOff>
          <xdr:row>11</xdr:row>
          <xdr:rowOff>47625</xdr:rowOff>
        </xdr:to>
        <xdr:sp macro="" textlink="">
          <xdr:nvSpPr>
            <xdr:cNvPr id="3073" name="Drop Down 1" descr="teste"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114300</xdr:colOff>
      <xdr:row>26</xdr:row>
      <xdr:rowOff>133350</xdr:rowOff>
    </xdr:from>
    <xdr:to>
      <xdr:col>3</xdr:col>
      <xdr:colOff>2638425</xdr:colOff>
      <xdr:row>28</xdr:row>
      <xdr:rowOff>85725</xdr:rowOff>
    </xdr:to>
    <xdr:pic>
      <xdr:nvPicPr>
        <xdr:cNvPr id="4" name="Picture 38">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71600" y="4552950"/>
          <a:ext cx="2952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19050</xdr:colOff>
          <xdr:row>21</xdr:row>
          <xdr:rowOff>142875</xdr:rowOff>
        </xdr:from>
        <xdr:to>
          <xdr:col>11</xdr:col>
          <xdr:colOff>819150</xdr:colOff>
          <xdr:row>23</xdr:row>
          <xdr:rowOff>28575</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BCBCBC"/>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Mão-de-obra desonerada</a:t>
              </a:r>
            </a:p>
          </xdr:txBody>
        </xdr:sp>
        <xdr:clientData fLocksWithSheet="0"/>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3"/>
  <sheetViews>
    <sheetView tabSelected="1" view="pageLayout" zoomScaleNormal="100" workbookViewId="0">
      <selection activeCell="F70" sqref="F70"/>
    </sheetView>
  </sheetViews>
  <sheetFormatPr defaultRowHeight="15" x14ac:dyDescent="0.25"/>
  <cols>
    <col min="1" max="1" width="6.140625" customWidth="1"/>
    <col min="2" max="2" width="17.7109375" customWidth="1"/>
    <col min="3" max="3" width="21.7109375" bestFit="1" customWidth="1"/>
    <col min="4" max="4" width="70.7109375" customWidth="1"/>
    <col min="5" max="5" width="5.42578125" customWidth="1"/>
    <col min="6" max="6" width="9.140625" style="194"/>
    <col min="7" max="7" width="15.7109375" customWidth="1"/>
    <col min="8" max="8" width="16.140625" customWidth="1"/>
    <col min="9" max="9" width="16" customWidth="1"/>
    <col min="10" max="10" width="11.7109375" bestFit="1" customWidth="1"/>
  </cols>
  <sheetData>
    <row r="1" spans="1:10" ht="20.25" x14ac:dyDescent="0.25">
      <c r="A1" s="249" t="s">
        <v>41</v>
      </c>
      <c r="B1" s="249"/>
      <c r="C1" s="249"/>
      <c r="D1" s="249"/>
      <c r="E1" s="249"/>
      <c r="F1" s="249"/>
      <c r="G1" s="249"/>
      <c r="H1" s="249"/>
      <c r="I1" s="249"/>
    </row>
    <row r="2" spans="1:10" x14ac:dyDescent="0.25">
      <c r="A2" s="250" t="s">
        <v>582</v>
      </c>
      <c r="B2" s="251"/>
      <c r="C2" s="251"/>
      <c r="D2" s="252"/>
      <c r="E2" s="253" t="s">
        <v>16</v>
      </c>
      <c r="F2" s="254"/>
      <c r="G2" s="19" t="s">
        <v>17</v>
      </c>
      <c r="H2" s="253" t="s">
        <v>18</v>
      </c>
      <c r="I2" s="254"/>
    </row>
    <row r="3" spans="1:10" x14ac:dyDescent="0.25">
      <c r="A3" s="250" t="s">
        <v>597</v>
      </c>
      <c r="B3" s="251"/>
      <c r="C3" s="251"/>
      <c r="D3" s="252"/>
      <c r="E3" s="255">
        <v>0.26500000000000001</v>
      </c>
      <c r="F3" s="256"/>
      <c r="G3" s="257">
        <v>44741</v>
      </c>
      <c r="H3" s="259">
        <f>I122</f>
        <v>133762.62372356196</v>
      </c>
      <c r="I3" s="260"/>
      <c r="J3" s="159"/>
    </row>
    <row r="4" spans="1:10" x14ac:dyDescent="0.25">
      <c r="A4" s="250" t="s">
        <v>411</v>
      </c>
      <c r="B4" s="251"/>
      <c r="C4" s="251"/>
      <c r="D4" s="252"/>
      <c r="E4" s="263">
        <v>1.2649999999999999</v>
      </c>
      <c r="F4" s="264"/>
      <c r="G4" s="258"/>
      <c r="H4" s="261"/>
      <c r="I4" s="262"/>
    </row>
    <row r="5" spans="1:10" x14ac:dyDescent="0.25">
      <c r="A5" s="266" t="s">
        <v>0</v>
      </c>
      <c r="B5" s="267" t="s">
        <v>19</v>
      </c>
      <c r="C5" s="266" t="s">
        <v>20</v>
      </c>
      <c r="D5" s="269" t="s">
        <v>21</v>
      </c>
      <c r="E5" s="266" t="s">
        <v>22</v>
      </c>
      <c r="F5" s="273" t="s">
        <v>23</v>
      </c>
      <c r="G5" s="274" t="s">
        <v>24</v>
      </c>
      <c r="H5" s="275" t="s">
        <v>25</v>
      </c>
      <c r="I5" s="266" t="s">
        <v>26</v>
      </c>
    </row>
    <row r="6" spans="1:10" x14ac:dyDescent="0.25">
      <c r="A6" s="266"/>
      <c r="B6" s="268"/>
      <c r="C6" s="266"/>
      <c r="D6" s="269"/>
      <c r="E6" s="266"/>
      <c r="F6" s="273"/>
      <c r="G6" s="274"/>
      <c r="H6" s="276"/>
      <c r="I6" s="266"/>
    </row>
    <row r="7" spans="1:10" x14ac:dyDescent="0.25">
      <c r="A7" s="20" t="s">
        <v>27</v>
      </c>
      <c r="B7" s="265"/>
      <c r="C7" s="265"/>
      <c r="D7" s="233" t="s">
        <v>28</v>
      </c>
      <c r="E7" s="234"/>
      <c r="F7" s="234"/>
      <c r="G7" s="234"/>
      <c r="H7" s="234"/>
      <c r="I7" s="235"/>
    </row>
    <row r="8" spans="1:10" x14ac:dyDescent="0.25">
      <c r="A8" s="1" t="s">
        <v>1</v>
      </c>
      <c r="B8" s="1">
        <v>42571</v>
      </c>
      <c r="C8" s="21" t="s">
        <v>29</v>
      </c>
      <c r="D8" s="22" t="s">
        <v>206</v>
      </c>
      <c r="E8" s="1" t="s">
        <v>30</v>
      </c>
      <c r="F8" s="170">
        <f>1.5*2.5</f>
        <v>3.75</v>
      </c>
      <c r="G8" s="23">
        <f>Referências!M3</f>
        <v>213.6</v>
      </c>
      <c r="H8" s="23">
        <f>G8*$E$4</f>
        <v>270.20399999999995</v>
      </c>
      <c r="I8" s="23">
        <f>H8*F8</f>
        <v>1013.2649999999999</v>
      </c>
    </row>
    <row r="9" spans="1:10" x14ac:dyDescent="0.25">
      <c r="A9" s="1" t="s">
        <v>44</v>
      </c>
      <c r="B9" s="1">
        <v>42591</v>
      </c>
      <c r="C9" s="21" t="s">
        <v>29</v>
      </c>
      <c r="D9" s="22" t="s">
        <v>40</v>
      </c>
      <c r="E9" s="1" t="s">
        <v>30</v>
      </c>
      <c r="F9" s="170">
        <v>44.29</v>
      </c>
      <c r="G9" s="23">
        <f>Referências!M4</f>
        <v>4.99</v>
      </c>
      <c r="H9" s="23">
        <f t="shared" ref="H9:H15" si="0">G9*$E$4</f>
        <v>6.3123499999999995</v>
      </c>
      <c r="I9" s="23">
        <f t="shared" ref="I9:I15" si="1">H9*F9</f>
        <v>279.57398149999995</v>
      </c>
    </row>
    <row r="10" spans="1:10" x14ac:dyDescent="0.25">
      <c r="A10" s="1" t="s">
        <v>173</v>
      </c>
      <c r="B10" s="1">
        <f>Referências!G5</f>
        <v>42566</v>
      </c>
      <c r="C10" s="21" t="s">
        <v>29</v>
      </c>
      <c r="D10" s="22" t="s">
        <v>274</v>
      </c>
      <c r="E10" s="1" t="s">
        <v>30</v>
      </c>
      <c r="F10" s="170">
        <f>2*4</f>
        <v>8</v>
      </c>
      <c r="G10" s="23">
        <f>Referências!M5</f>
        <v>361.06</v>
      </c>
      <c r="H10" s="23">
        <f t="shared" si="0"/>
        <v>456.74089999999995</v>
      </c>
      <c r="I10" s="23">
        <f t="shared" si="1"/>
        <v>3653.9271999999996</v>
      </c>
    </row>
    <row r="11" spans="1:10" x14ac:dyDescent="0.25">
      <c r="A11" s="1" t="s">
        <v>45</v>
      </c>
      <c r="B11" s="1">
        <f>Referências!G8</f>
        <v>42512</v>
      </c>
      <c r="C11" s="21" t="s">
        <v>29</v>
      </c>
      <c r="D11" s="22" t="s">
        <v>276</v>
      </c>
      <c r="E11" s="1" t="s">
        <v>30</v>
      </c>
      <c r="F11" s="170">
        <f>F9</f>
        <v>44.29</v>
      </c>
      <c r="G11" s="23">
        <f>Referências!M8</f>
        <v>5.75</v>
      </c>
      <c r="H11" s="23">
        <f t="shared" si="0"/>
        <v>7.2737499999999997</v>
      </c>
      <c r="I11" s="23">
        <f t="shared" si="1"/>
        <v>322.15438749999998</v>
      </c>
    </row>
    <row r="12" spans="1:10" x14ac:dyDescent="0.25">
      <c r="A12" s="1" t="s">
        <v>171</v>
      </c>
      <c r="B12" s="1">
        <f>Referências!G10</f>
        <v>42513</v>
      </c>
      <c r="C12" s="21" t="s">
        <v>29</v>
      </c>
      <c r="D12" s="22" t="s">
        <v>275</v>
      </c>
      <c r="E12" s="1" t="s">
        <v>30</v>
      </c>
      <c r="F12" s="30">
        <f>F9</f>
        <v>44.29</v>
      </c>
      <c r="G12" s="29">
        <f>Referências!M10</f>
        <v>11.6</v>
      </c>
      <c r="H12" s="23">
        <f t="shared" si="0"/>
        <v>14.673999999999998</v>
      </c>
      <c r="I12" s="23">
        <f t="shared" si="1"/>
        <v>649.91145999999992</v>
      </c>
    </row>
    <row r="13" spans="1:10" x14ac:dyDescent="0.25">
      <c r="A13" s="1" t="s">
        <v>174</v>
      </c>
      <c r="B13" s="1">
        <f>Referências!G39</f>
        <v>42515</v>
      </c>
      <c r="C13" s="21" t="s">
        <v>29</v>
      </c>
      <c r="D13" s="22" t="s">
        <v>277</v>
      </c>
      <c r="E13" s="1" t="s">
        <v>30</v>
      </c>
      <c r="F13" s="30">
        <f>F9</f>
        <v>44.29</v>
      </c>
      <c r="G13" s="29">
        <f>Referências!M39</f>
        <v>5.75</v>
      </c>
      <c r="H13" s="23">
        <f t="shared" si="0"/>
        <v>7.2737499999999997</v>
      </c>
      <c r="I13" s="23">
        <f t="shared" si="1"/>
        <v>322.15438749999998</v>
      </c>
    </row>
    <row r="14" spans="1:10" x14ac:dyDescent="0.25">
      <c r="A14" s="1" t="s">
        <v>175</v>
      </c>
      <c r="B14" s="1">
        <v>42522</v>
      </c>
      <c r="C14" s="21" t="s">
        <v>29</v>
      </c>
      <c r="D14" s="22" t="s">
        <v>372</v>
      </c>
      <c r="E14" s="1" t="s">
        <v>42</v>
      </c>
      <c r="F14" s="30">
        <f>2*5</f>
        <v>10</v>
      </c>
      <c r="G14" s="29">
        <v>63.9</v>
      </c>
      <c r="H14" s="23">
        <f t="shared" si="0"/>
        <v>80.833499999999987</v>
      </c>
      <c r="I14" s="23">
        <f t="shared" si="1"/>
        <v>808.33499999999981</v>
      </c>
    </row>
    <row r="15" spans="1:10" x14ac:dyDescent="0.25">
      <c r="A15" s="1" t="s">
        <v>176</v>
      </c>
      <c r="B15" s="1">
        <f>Referências!G38</f>
        <v>42574</v>
      </c>
      <c r="C15" s="21" t="s">
        <v>29</v>
      </c>
      <c r="D15" s="22" t="s">
        <v>272</v>
      </c>
      <c r="E15" s="1" t="s">
        <v>30</v>
      </c>
      <c r="F15" s="30">
        <f>15*2</f>
        <v>30</v>
      </c>
      <c r="G15" s="29">
        <f>Referências!M38</f>
        <v>83.06</v>
      </c>
      <c r="H15" s="23">
        <f t="shared" si="0"/>
        <v>105.07089999999999</v>
      </c>
      <c r="I15" s="23">
        <f t="shared" si="1"/>
        <v>3152.127</v>
      </c>
    </row>
    <row r="16" spans="1:10" x14ac:dyDescent="0.25">
      <c r="A16" s="248" t="s">
        <v>35</v>
      </c>
      <c r="B16" s="248"/>
      <c r="C16" s="248"/>
      <c r="D16" s="248"/>
      <c r="E16" s="248"/>
      <c r="F16" s="248"/>
      <c r="G16" s="248"/>
      <c r="H16" s="24"/>
      <c r="I16" s="24">
        <f>SUM(I8:I15)</f>
        <v>10201.448416499999</v>
      </c>
    </row>
    <row r="17" spans="1:9" x14ac:dyDescent="0.25">
      <c r="A17" s="184"/>
      <c r="B17" s="184"/>
      <c r="C17" s="184"/>
      <c r="D17" s="184"/>
      <c r="E17" s="184"/>
      <c r="F17" s="220"/>
      <c r="G17" s="184"/>
      <c r="H17" s="184"/>
      <c r="I17" s="184"/>
    </row>
    <row r="18" spans="1:9" x14ac:dyDescent="0.25">
      <c r="A18" s="20" t="s">
        <v>31</v>
      </c>
      <c r="B18" s="265"/>
      <c r="C18" s="265"/>
      <c r="D18" s="233" t="s">
        <v>383</v>
      </c>
      <c r="E18" s="234"/>
      <c r="F18" s="234"/>
      <c r="G18" s="234"/>
      <c r="H18" s="234"/>
      <c r="I18" s="235"/>
    </row>
    <row r="19" spans="1:9" x14ac:dyDescent="0.25">
      <c r="A19" s="1" t="s">
        <v>2</v>
      </c>
      <c r="B19" s="1">
        <f>Referências!G50</f>
        <v>42590</v>
      </c>
      <c r="C19" s="1" t="s">
        <v>29</v>
      </c>
      <c r="D19" s="22" t="s">
        <v>282</v>
      </c>
      <c r="E19" s="1" t="s">
        <v>268</v>
      </c>
      <c r="F19" s="170">
        <f>((0.82+4.48+0.45+1.29+38)*0.2*0.5)+(0.3*0.3*0.5)+(2.5*1.8*2)+((PI()*1.15^2)*1.2)</f>
        <v>18.534707541247002</v>
      </c>
      <c r="G19" s="23">
        <f>Referências!M51</f>
        <v>52.85</v>
      </c>
      <c r="H19" s="23">
        <f t="shared" ref="H19:H25" si="2">G19*$E$4</f>
        <v>66.855249999999998</v>
      </c>
      <c r="I19" s="23">
        <f t="shared" ref="I19:I25" si="3">H19*F19</f>
        <v>1239.1425063469535</v>
      </c>
    </row>
    <row r="20" spans="1:9" x14ac:dyDescent="0.25">
      <c r="A20" s="1" t="s">
        <v>46</v>
      </c>
      <c r="B20" s="1">
        <v>42585</v>
      </c>
      <c r="C20" s="1" t="s">
        <v>29</v>
      </c>
      <c r="D20" s="22" t="s">
        <v>384</v>
      </c>
      <c r="E20" s="1" t="s">
        <v>268</v>
      </c>
      <c r="F20" s="170">
        <f>0.22*44.29</f>
        <v>9.7438000000000002</v>
      </c>
      <c r="G20" s="23">
        <f>Referências!M65</f>
        <v>52.84</v>
      </c>
      <c r="H20" s="23">
        <f t="shared" si="2"/>
        <v>66.842600000000004</v>
      </c>
      <c r="I20" s="23">
        <f t="shared" si="3"/>
        <v>651.30092588000002</v>
      </c>
    </row>
    <row r="21" spans="1:9" x14ac:dyDescent="0.25">
      <c r="A21" s="248" t="s">
        <v>32</v>
      </c>
      <c r="B21" s="248"/>
      <c r="C21" s="248"/>
      <c r="D21" s="248"/>
      <c r="E21" s="248"/>
      <c r="F21" s="248"/>
      <c r="G21" s="248"/>
      <c r="H21" s="24"/>
      <c r="I21" s="24">
        <f>SUM(I19:I20)</f>
        <v>1890.4434322269535</v>
      </c>
    </row>
    <row r="22" spans="1:9" x14ac:dyDescent="0.25">
      <c r="A22" s="184"/>
      <c r="B22" s="184"/>
      <c r="C22" s="184"/>
      <c r="D22" s="184"/>
      <c r="E22" s="184"/>
      <c r="F22" s="220"/>
      <c r="G22" s="184"/>
      <c r="H22" s="184"/>
      <c r="I22" s="184"/>
    </row>
    <row r="23" spans="1:9" x14ac:dyDescent="0.25">
      <c r="A23" s="206" t="s">
        <v>33</v>
      </c>
      <c r="B23" s="265"/>
      <c r="C23" s="265"/>
      <c r="D23" s="272" t="s">
        <v>382</v>
      </c>
      <c r="E23" s="272"/>
      <c r="F23" s="272"/>
      <c r="G23" s="272"/>
      <c r="H23" s="272"/>
      <c r="I23" s="272"/>
    </row>
    <row r="24" spans="1:9" x14ac:dyDescent="0.25">
      <c r="A24" s="1" t="s">
        <v>3</v>
      </c>
      <c r="B24" s="1">
        <v>42532</v>
      </c>
      <c r="C24" s="1" t="s">
        <v>29</v>
      </c>
      <c r="D24" s="22" t="s">
        <v>561</v>
      </c>
      <c r="E24" s="1" t="s">
        <v>30</v>
      </c>
      <c r="F24" s="30">
        <v>60</v>
      </c>
      <c r="G24" s="169">
        <v>83.05</v>
      </c>
      <c r="H24" s="23">
        <f t="shared" si="2"/>
        <v>105.05824999999999</v>
      </c>
      <c r="I24" s="23">
        <f t="shared" si="3"/>
        <v>6303.494999999999</v>
      </c>
    </row>
    <row r="25" spans="1:9" x14ac:dyDescent="0.25">
      <c r="A25" s="1" t="s">
        <v>595</v>
      </c>
      <c r="B25" s="1">
        <v>42581</v>
      </c>
      <c r="C25" s="1" t="s">
        <v>29</v>
      </c>
      <c r="D25" s="22" t="s">
        <v>594</v>
      </c>
      <c r="E25" s="1" t="s">
        <v>268</v>
      </c>
      <c r="F25" s="30">
        <v>20</v>
      </c>
      <c r="G25" s="23">
        <f>15.1+34.5</f>
        <v>49.6</v>
      </c>
      <c r="H25" s="23">
        <f t="shared" si="2"/>
        <v>62.744</v>
      </c>
      <c r="I25" s="23">
        <f t="shared" si="3"/>
        <v>1254.8800000000001</v>
      </c>
    </row>
    <row r="26" spans="1:9" x14ac:dyDescent="0.25">
      <c r="A26" s="248" t="s">
        <v>37</v>
      </c>
      <c r="B26" s="248"/>
      <c r="C26" s="248"/>
      <c r="D26" s="248"/>
      <c r="E26" s="248"/>
      <c r="F26" s="248"/>
      <c r="G26" s="248"/>
      <c r="H26" s="24"/>
      <c r="I26" s="24">
        <f>SUM(I24:I25)</f>
        <v>7558.3749999999991</v>
      </c>
    </row>
    <row r="27" spans="1:9" x14ac:dyDescent="0.25">
      <c r="A27" s="184"/>
      <c r="B27" s="184"/>
      <c r="C27" s="184"/>
      <c r="D27" s="184"/>
      <c r="E27" s="184"/>
      <c r="F27" s="220"/>
      <c r="G27" s="184"/>
      <c r="H27" s="184"/>
      <c r="I27" s="184"/>
    </row>
    <row r="28" spans="1:9" x14ac:dyDescent="0.25">
      <c r="A28" s="171" t="s">
        <v>34</v>
      </c>
      <c r="B28" s="265"/>
      <c r="C28" s="265"/>
      <c r="D28" s="233" t="s">
        <v>279</v>
      </c>
      <c r="E28" s="234"/>
      <c r="F28" s="234"/>
      <c r="G28" s="234"/>
      <c r="H28" s="234"/>
      <c r="I28" s="235"/>
    </row>
    <row r="29" spans="1:9" x14ac:dyDescent="0.25">
      <c r="A29" s="1" t="s">
        <v>13</v>
      </c>
      <c r="B29" s="1" t="s">
        <v>480</v>
      </c>
      <c r="C29" s="1" t="s">
        <v>479</v>
      </c>
      <c r="D29" s="156" t="s">
        <v>424</v>
      </c>
      <c r="E29" s="1" t="s">
        <v>268</v>
      </c>
      <c r="F29" s="170">
        <f>(((5.15*8.6)-(4.85*8.3))*0.4*0.15)+((4.85+4.9+2.1)*0.15*0.4)+((0.3*0.15)*9*2.8)+(9*(1.2*0.5*0.4))</f>
        <v>4.2470999999999997</v>
      </c>
      <c r="G29" s="23">
        <v>3436.04</v>
      </c>
      <c r="H29" s="23">
        <f t="shared" ref="H29:H37" si="4">G29*$E$4</f>
        <v>4346.5905999999995</v>
      </c>
      <c r="I29" s="23">
        <f t="shared" ref="I29:I37" si="5">H29*F29</f>
        <v>18460.404937259995</v>
      </c>
    </row>
    <row r="30" spans="1:9" x14ac:dyDescent="0.25">
      <c r="A30" s="1" t="s">
        <v>14</v>
      </c>
      <c r="B30" s="1">
        <f>Referências!G60</f>
        <v>40208</v>
      </c>
      <c r="C30" s="1" t="s">
        <v>29</v>
      </c>
      <c r="D30" s="22" t="s">
        <v>186</v>
      </c>
      <c r="E30" s="1" t="s">
        <v>30</v>
      </c>
      <c r="F30" s="170">
        <f>((8.6*4)+(5.15*4)+(4.85*2)+(2.1*2)+(4.9*2))*0.4+((0.3*2)+(0.15*2)*2.1*9)</f>
        <v>37.75</v>
      </c>
      <c r="G30" s="23">
        <f>Referências!M60</f>
        <v>77.61</v>
      </c>
      <c r="H30" s="23">
        <f t="shared" si="4"/>
        <v>98.176649999999995</v>
      </c>
      <c r="I30" s="23">
        <f t="shared" si="5"/>
        <v>3706.1685374999997</v>
      </c>
    </row>
    <row r="31" spans="1:9" x14ac:dyDescent="0.25">
      <c r="A31" s="1" t="s">
        <v>572</v>
      </c>
      <c r="B31" s="1">
        <f>Referências!G55</f>
        <v>43239</v>
      </c>
      <c r="C31" s="1" t="s">
        <v>29</v>
      </c>
      <c r="D31" s="22" t="s">
        <v>187</v>
      </c>
      <c r="E31" s="1" t="s">
        <v>268</v>
      </c>
      <c r="F31" s="170">
        <f>(36.54+3.15)*0.06</f>
        <v>2.3813999999999997</v>
      </c>
      <c r="G31" s="23">
        <f>Referências!M55</f>
        <v>148.19999999999999</v>
      </c>
      <c r="H31" s="23">
        <f t="shared" si="4"/>
        <v>187.47299999999998</v>
      </c>
      <c r="I31" s="23">
        <f t="shared" si="5"/>
        <v>446.44820219999991</v>
      </c>
    </row>
    <row r="32" spans="1:9" x14ac:dyDescent="0.25">
      <c r="A32" s="1" t="s">
        <v>387</v>
      </c>
      <c r="B32" s="1">
        <v>40064</v>
      </c>
      <c r="C32" s="1" t="s">
        <v>29</v>
      </c>
      <c r="D32" s="22" t="s">
        <v>421</v>
      </c>
      <c r="E32" s="1" t="s">
        <v>42</v>
      </c>
      <c r="F32" s="170">
        <f>18*3.5</f>
        <v>63</v>
      </c>
      <c r="G32" s="23">
        <f>Referências!M69</f>
        <v>43.569999999999993</v>
      </c>
      <c r="H32" s="23">
        <f t="shared" si="4"/>
        <v>55.116049999999987</v>
      </c>
      <c r="I32" s="23">
        <f t="shared" si="5"/>
        <v>3472.3111499999991</v>
      </c>
    </row>
    <row r="33" spans="1:9" x14ac:dyDescent="0.25">
      <c r="A33" s="1" t="s">
        <v>388</v>
      </c>
      <c r="B33" s="1" t="str">
        <f>Referências!A17</f>
        <v>93186</v>
      </c>
      <c r="C33" s="1" t="s">
        <v>217</v>
      </c>
      <c r="D33" s="22" t="s">
        <v>308</v>
      </c>
      <c r="E33" s="1" t="s">
        <v>42</v>
      </c>
      <c r="F33" s="30">
        <v>1</v>
      </c>
      <c r="G33" s="26">
        <v>87.15</v>
      </c>
      <c r="H33" s="23">
        <f t="shared" si="4"/>
        <v>110.24475</v>
      </c>
      <c r="I33" s="23">
        <f t="shared" si="5"/>
        <v>110.24475</v>
      </c>
    </row>
    <row r="34" spans="1:9" x14ac:dyDescent="0.25">
      <c r="A34" s="1" t="s">
        <v>426</v>
      </c>
      <c r="B34" s="1" t="str">
        <f>Referências!A18</f>
        <v>93187</v>
      </c>
      <c r="C34" s="1" t="s">
        <v>217</v>
      </c>
      <c r="D34" s="22" t="s">
        <v>309</v>
      </c>
      <c r="E34" s="1" t="s">
        <v>42</v>
      </c>
      <c r="F34" s="30">
        <f>2*2.2</f>
        <v>4.4000000000000004</v>
      </c>
      <c r="G34" s="26">
        <v>100.34</v>
      </c>
      <c r="H34" s="23">
        <f t="shared" si="4"/>
        <v>126.9301</v>
      </c>
      <c r="I34" s="23">
        <f t="shared" si="5"/>
        <v>558.49243999999999</v>
      </c>
    </row>
    <row r="35" spans="1:9" x14ac:dyDescent="0.25">
      <c r="A35" s="1" t="s">
        <v>427</v>
      </c>
      <c r="B35" s="1" t="str">
        <f>Referências!A19</f>
        <v>93188</v>
      </c>
      <c r="C35" s="1" t="s">
        <v>217</v>
      </c>
      <c r="D35" s="22" t="s">
        <v>310</v>
      </c>
      <c r="E35" s="1" t="s">
        <v>42</v>
      </c>
      <c r="F35" s="30">
        <f>2*1</f>
        <v>2</v>
      </c>
      <c r="G35" s="26">
        <v>80.319999999999993</v>
      </c>
      <c r="H35" s="23">
        <f t="shared" si="4"/>
        <v>101.60479999999998</v>
      </c>
      <c r="I35" s="23">
        <f t="shared" si="5"/>
        <v>203.20959999999997</v>
      </c>
    </row>
    <row r="36" spans="1:9" x14ac:dyDescent="0.25">
      <c r="A36" s="1" t="s">
        <v>428</v>
      </c>
      <c r="B36" s="1" t="str">
        <f>Referências!A21</f>
        <v>93196</v>
      </c>
      <c r="C36" s="1" t="s">
        <v>217</v>
      </c>
      <c r="D36" s="22" t="s">
        <v>311</v>
      </c>
      <c r="E36" s="1" t="s">
        <v>42</v>
      </c>
      <c r="F36" s="30">
        <f>F33</f>
        <v>1</v>
      </c>
      <c r="G36" s="26">
        <v>84.69</v>
      </c>
      <c r="H36" s="23">
        <f t="shared" si="4"/>
        <v>107.13284999999999</v>
      </c>
      <c r="I36" s="23">
        <f t="shared" si="5"/>
        <v>107.13284999999999</v>
      </c>
    </row>
    <row r="37" spans="1:9" x14ac:dyDescent="0.25">
      <c r="A37" s="1" t="s">
        <v>429</v>
      </c>
      <c r="B37" s="1" t="str">
        <f>Referências!A22</f>
        <v>93197</v>
      </c>
      <c r="C37" s="1" t="s">
        <v>217</v>
      </c>
      <c r="D37" s="22" t="s">
        <v>316</v>
      </c>
      <c r="E37" s="1" t="s">
        <v>42</v>
      </c>
      <c r="F37" s="30">
        <f>F34</f>
        <v>4.4000000000000004</v>
      </c>
      <c r="G37" s="26">
        <v>94.98</v>
      </c>
      <c r="H37" s="23">
        <f t="shared" si="4"/>
        <v>120.1497</v>
      </c>
      <c r="I37" s="23">
        <f t="shared" si="5"/>
        <v>528.65868</v>
      </c>
    </row>
    <row r="38" spans="1:9" x14ac:dyDescent="0.25">
      <c r="A38" s="248" t="s">
        <v>47</v>
      </c>
      <c r="B38" s="248"/>
      <c r="C38" s="248"/>
      <c r="D38" s="248"/>
      <c r="E38" s="248"/>
      <c r="F38" s="248"/>
      <c r="G38" s="248"/>
      <c r="H38" s="24"/>
      <c r="I38" s="24">
        <f>SUM(I29:I37)</f>
        <v>27593.071146959996</v>
      </c>
    </row>
    <row r="39" spans="1:9" x14ac:dyDescent="0.25">
      <c r="A39" s="184"/>
      <c r="B39" s="184"/>
      <c r="C39" s="184"/>
      <c r="D39" s="184"/>
      <c r="E39" s="184"/>
      <c r="F39" s="220"/>
      <c r="G39" s="184"/>
      <c r="H39" s="184"/>
      <c r="I39" s="184"/>
    </row>
    <row r="40" spans="1:9" x14ac:dyDescent="0.25">
      <c r="A40" s="20" t="s">
        <v>36</v>
      </c>
      <c r="B40" s="265"/>
      <c r="C40" s="265"/>
      <c r="D40" s="270" t="s">
        <v>179</v>
      </c>
      <c r="E40" s="271"/>
      <c r="F40" s="271"/>
      <c r="G40" s="271"/>
      <c r="H40" s="271"/>
      <c r="I40" s="271"/>
    </row>
    <row r="41" spans="1:9" x14ac:dyDescent="0.25">
      <c r="A41" s="1" t="s">
        <v>4</v>
      </c>
      <c r="B41" s="1" t="str">
        <f>Referências!A11</f>
        <v>98557</v>
      </c>
      <c r="C41" s="1" t="s">
        <v>217</v>
      </c>
      <c r="D41" s="156" t="s">
        <v>425</v>
      </c>
      <c r="E41" s="1" t="s">
        <v>30</v>
      </c>
      <c r="F41" s="170">
        <f>((5.15+8.6+5.15+8.6+4.85+2.1+4.9)*0.15)+2*((5.15+8.6+5.15+8.6+4.85+2.1+4.9)*0.4)</f>
        <v>37.382500000000007</v>
      </c>
      <c r="G41" s="23">
        <f>Referências!E11</f>
        <v>38.47</v>
      </c>
      <c r="H41" s="23">
        <f>G41*$E$4</f>
        <v>48.664549999999991</v>
      </c>
      <c r="I41" s="23">
        <f>H41*F41</f>
        <v>1819.2025403750001</v>
      </c>
    </row>
    <row r="42" spans="1:9" x14ac:dyDescent="0.25">
      <c r="A42" s="1" t="s">
        <v>142</v>
      </c>
      <c r="B42" s="1">
        <f>Referências!G42</f>
        <v>42806</v>
      </c>
      <c r="C42" s="1" t="s">
        <v>29</v>
      </c>
      <c r="D42" s="156" t="s">
        <v>285</v>
      </c>
      <c r="E42" s="1" t="s">
        <v>30</v>
      </c>
      <c r="F42" s="170">
        <f>F52</f>
        <v>47.85</v>
      </c>
      <c r="G42" s="23">
        <f>Referências!M42</f>
        <v>66.400000000000006</v>
      </c>
      <c r="H42" s="23">
        <f>G42*$E$4</f>
        <v>83.995999999999995</v>
      </c>
      <c r="I42" s="23">
        <f t="shared" ref="I42:I43" si="6">H42*F42</f>
        <v>4019.2085999999999</v>
      </c>
    </row>
    <row r="43" spans="1:9" x14ac:dyDescent="0.25">
      <c r="A43" s="1" t="s">
        <v>172</v>
      </c>
      <c r="B43" s="1" t="str">
        <f>Referências!A27</f>
        <v>98557</v>
      </c>
      <c r="C43" s="1" t="s">
        <v>217</v>
      </c>
      <c r="D43" s="156" t="s">
        <v>331</v>
      </c>
      <c r="E43" s="1" t="s">
        <v>30</v>
      </c>
      <c r="F43" s="170">
        <f>3.15+((2.25+1.5+1.5+2.25)*0.5)</f>
        <v>6.9</v>
      </c>
      <c r="G43" s="23">
        <f>Referências!E27</f>
        <v>38.47</v>
      </c>
      <c r="H43" s="23">
        <f>G43*$E$4</f>
        <v>48.664549999999991</v>
      </c>
      <c r="I43" s="23">
        <f t="shared" si="6"/>
        <v>335.78539499999994</v>
      </c>
    </row>
    <row r="44" spans="1:9" x14ac:dyDescent="0.25">
      <c r="A44" s="248" t="s">
        <v>169</v>
      </c>
      <c r="B44" s="248"/>
      <c r="C44" s="248"/>
      <c r="D44" s="248"/>
      <c r="E44" s="248"/>
      <c r="F44" s="248"/>
      <c r="G44" s="248"/>
      <c r="H44" s="24"/>
      <c r="I44" s="24">
        <f>SUM(I41:I43)</f>
        <v>6174.1965353750002</v>
      </c>
    </row>
    <row r="45" spans="1:9" x14ac:dyDescent="0.25">
      <c r="A45" s="184"/>
      <c r="B45" s="184"/>
      <c r="C45" s="184"/>
      <c r="D45" s="184"/>
      <c r="E45" s="184"/>
      <c r="F45" s="220"/>
      <c r="G45" s="184"/>
      <c r="H45" s="184"/>
      <c r="I45" s="184"/>
    </row>
    <row r="46" spans="1:9" x14ac:dyDescent="0.25">
      <c r="A46" s="25" t="s">
        <v>170</v>
      </c>
      <c r="B46" s="231"/>
      <c r="C46" s="232"/>
      <c r="D46" s="233" t="s">
        <v>280</v>
      </c>
      <c r="E46" s="234"/>
      <c r="F46" s="234"/>
      <c r="G46" s="234"/>
      <c r="H46" s="234"/>
      <c r="I46" s="235"/>
    </row>
    <row r="47" spans="1:9" x14ac:dyDescent="0.25">
      <c r="A47" s="14" t="s">
        <v>48</v>
      </c>
      <c r="B47" s="14">
        <v>42662</v>
      </c>
      <c r="C47" s="14" t="s">
        <v>29</v>
      </c>
      <c r="D47" s="22" t="s">
        <v>563</v>
      </c>
      <c r="E47" s="1" t="s">
        <v>30</v>
      </c>
      <c r="F47" s="30">
        <f>(8.6+8.6+5.15+5.15+2.25+1.5)*2.8</f>
        <v>87.5</v>
      </c>
      <c r="G47" s="26">
        <f>37.91+61.45</f>
        <v>99.36</v>
      </c>
      <c r="H47" s="23">
        <f>G47*$E$4</f>
        <v>125.69039999999998</v>
      </c>
      <c r="I47" s="26">
        <f t="shared" ref="I47:I53" si="7">H47*F47</f>
        <v>10997.909999999998</v>
      </c>
    </row>
    <row r="48" spans="1:9" ht="28.5" x14ac:dyDescent="0.25">
      <c r="A48" s="14" t="s">
        <v>49</v>
      </c>
      <c r="B48" s="14" t="str">
        <f>Referências!A30</f>
        <v>87879</v>
      </c>
      <c r="C48" s="14" t="s">
        <v>217</v>
      </c>
      <c r="D48" s="22" t="s">
        <v>385</v>
      </c>
      <c r="E48" s="1" t="s">
        <v>30</v>
      </c>
      <c r="F48" s="30">
        <f>F47</f>
        <v>87.5</v>
      </c>
      <c r="G48" s="26">
        <v>3.94</v>
      </c>
      <c r="H48" s="23">
        <f t="shared" ref="H48:H53" si="8">G48*$E$4</f>
        <v>4.9840999999999998</v>
      </c>
      <c r="I48" s="26">
        <f t="shared" si="7"/>
        <v>436.10874999999999</v>
      </c>
    </row>
    <row r="49" spans="1:10" x14ac:dyDescent="0.25">
      <c r="A49" s="14" t="s">
        <v>50</v>
      </c>
      <c r="B49" s="14">
        <v>43683</v>
      </c>
      <c r="C49" s="14" t="s">
        <v>29</v>
      </c>
      <c r="D49" s="22" t="s">
        <v>386</v>
      </c>
      <c r="E49" s="1" t="s">
        <v>30</v>
      </c>
      <c r="F49" s="30">
        <f>F48</f>
        <v>87.5</v>
      </c>
      <c r="G49" s="26">
        <f>23.48+7.78</f>
        <v>31.26</v>
      </c>
      <c r="H49" s="23">
        <f t="shared" si="8"/>
        <v>39.543900000000001</v>
      </c>
      <c r="I49" s="26">
        <f t="shared" si="7"/>
        <v>3460.0912499999999</v>
      </c>
    </row>
    <row r="50" spans="1:10" x14ac:dyDescent="0.25">
      <c r="A50" s="14" t="s">
        <v>96</v>
      </c>
      <c r="B50" s="14">
        <f>Referências!G56</f>
        <v>42765</v>
      </c>
      <c r="C50" s="14" t="s">
        <v>29</v>
      </c>
      <c r="D50" s="22" t="s">
        <v>287</v>
      </c>
      <c r="E50" s="1" t="s">
        <v>30</v>
      </c>
      <c r="F50" s="30">
        <f>F49-F52</f>
        <v>39.65</v>
      </c>
      <c r="G50" s="26">
        <f>Referências!M56</f>
        <v>29.33</v>
      </c>
      <c r="H50" s="23">
        <f t="shared" si="8"/>
        <v>37.102449999999997</v>
      </c>
      <c r="I50" s="26">
        <f t="shared" si="7"/>
        <v>1471.1121424999999</v>
      </c>
    </row>
    <row r="51" spans="1:10" x14ac:dyDescent="0.25">
      <c r="A51" s="14" t="s">
        <v>253</v>
      </c>
      <c r="B51" s="14">
        <f>Referências!G57</f>
        <v>40222</v>
      </c>
      <c r="C51" s="14" t="s">
        <v>29</v>
      </c>
      <c r="D51" s="22" t="s">
        <v>347</v>
      </c>
      <c r="E51" s="1" t="s">
        <v>30</v>
      </c>
      <c r="F51" s="30">
        <f>36.54+3.15</f>
        <v>39.69</v>
      </c>
      <c r="G51" s="26">
        <f>Referências!M57</f>
        <v>60.36</v>
      </c>
      <c r="H51" s="23">
        <f t="shared" si="8"/>
        <v>76.355399999999989</v>
      </c>
      <c r="I51" s="26">
        <f t="shared" si="7"/>
        <v>3030.5458259999996</v>
      </c>
    </row>
    <row r="52" spans="1:10" ht="28.5" x14ac:dyDescent="0.25">
      <c r="A52" s="14" t="s">
        <v>258</v>
      </c>
      <c r="B52" s="14" t="str">
        <f>Referências!A32</f>
        <v>87273</v>
      </c>
      <c r="C52" s="14" t="s">
        <v>217</v>
      </c>
      <c r="D52" s="22" t="s">
        <v>562</v>
      </c>
      <c r="E52" s="1" t="s">
        <v>30</v>
      </c>
      <c r="F52" s="30">
        <f>1.5*(2.1+2.1+1.5+1.5)+((4.85+6.65+2.25+1.65+8.3+2.6)*1.5)-(1.5*0.8*2)</f>
        <v>47.85</v>
      </c>
      <c r="G52" s="26">
        <v>59.67</v>
      </c>
      <c r="H52" s="23">
        <f t="shared" si="8"/>
        <v>75.482550000000003</v>
      </c>
      <c r="I52" s="26">
        <f t="shared" si="7"/>
        <v>3611.8400175000002</v>
      </c>
    </row>
    <row r="53" spans="1:10" x14ac:dyDescent="0.25">
      <c r="A53" s="14" t="s">
        <v>317</v>
      </c>
      <c r="B53" s="14">
        <f>Referências!G58</f>
        <v>43268</v>
      </c>
      <c r="C53" s="14" t="s">
        <v>29</v>
      </c>
      <c r="D53" s="22" t="s">
        <v>188</v>
      </c>
      <c r="E53" s="1" t="s">
        <v>30</v>
      </c>
      <c r="F53" s="30">
        <f>36.54+3.15</f>
        <v>39.69</v>
      </c>
      <c r="G53" s="26">
        <f>Referências!M58</f>
        <v>36.519999999999996</v>
      </c>
      <c r="H53" s="23">
        <f t="shared" si="8"/>
        <v>46.197799999999994</v>
      </c>
      <c r="I53" s="26">
        <f t="shared" si="7"/>
        <v>1833.5906819999996</v>
      </c>
    </row>
    <row r="54" spans="1:10" x14ac:dyDescent="0.25">
      <c r="A54" s="248" t="s">
        <v>51</v>
      </c>
      <c r="B54" s="248"/>
      <c r="C54" s="248"/>
      <c r="D54" s="248"/>
      <c r="E54" s="248"/>
      <c r="F54" s="248"/>
      <c r="G54" s="248"/>
      <c r="H54" s="24"/>
      <c r="I54" s="24">
        <f>SUM(I47:I53)</f>
        <v>24841.198667999994</v>
      </c>
    </row>
    <row r="55" spans="1:10" x14ac:dyDescent="0.25">
      <c r="A55" s="184"/>
      <c r="B55" s="184"/>
      <c r="C55" s="184"/>
      <c r="D55" s="184"/>
      <c r="E55" s="184"/>
      <c r="F55" s="220"/>
      <c r="G55" s="184"/>
      <c r="H55" s="184"/>
      <c r="I55" s="184"/>
    </row>
    <row r="56" spans="1:10" x14ac:dyDescent="0.25">
      <c r="A56" s="25" t="s">
        <v>38</v>
      </c>
      <c r="B56" s="231"/>
      <c r="C56" s="232"/>
      <c r="D56" s="233" t="s">
        <v>281</v>
      </c>
      <c r="E56" s="234"/>
      <c r="F56" s="234"/>
      <c r="G56" s="234"/>
      <c r="H56" s="234"/>
      <c r="I56" s="235"/>
    </row>
    <row r="57" spans="1:10" ht="42.75" x14ac:dyDescent="0.25">
      <c r="A57" s="14" t="s">
        <v>15</v>
      </c>
      <c r="B57" s="1">
        <v>90843</v>
      </c>
      <c r="C57" s="14" t="s">
        <v>217</v>
      </c>
      <c r="D57" s="22" t="s">
        <v>559</v>
      </c>
      <c r="E57" s="1" t="s">
        <v>205</v>
      </c>
      <c r="F57" s="30">
        <v>1</v>
      </c>
      <c r="G57" s="26">
        <v>1015.24</v>
      </c>
      <c r="H57" s="23">
        <f>G57*$E$4</f>
        <v>1284.2785999999999</v>
      </c>
      <c r="I57" s="26">
        <f t="shared" ref="I57:I61" si="9">H57*F57</f>
        <v>1284.2785999999999</v>
      </c>
      <c r="J57" s="161"/>
    </row>
    <row r="58" spans="1:10" x14ac:dyDescent="0.25">
      <c r="A58" s="14" t="s">
        <v>52</v>
      </c>
      <c r="B58" s="1">
        <f>Referências!G30</f>
        <v>42700</v>
      </c>
      <c r="C58" s="1" t="s">
        <v>29</v>
      </c>
      <c r="D58" s="22" t="s">
        <v>256</v>
      </c>
      <c r="E58" s="1" t="s">
        <v>30</v>
      </c>
      <c r="F58" s="30">
        <f>(0.8*2.1)</f>
        <v>1.6800000000000002</v>
      </c>
      <c r="G58" s="26">
        <f>Referências!M30</f>
        <v>610.29</v>
      </c>
      <c r="H58" s="23">
        <f t="shared" ref="H58:H61" si="10">G58*$E$4</f>
        <v>772.01684999999986</v>
      </c>
      <c r="I58" s="26">
        <f t="shared" si="9"/>
        <v>1296.988308</v>
      </c>
    </row>
    <row r="59" spans="1:10" x14ac:dyDescent="0.25">
      <c r="A59" s="14" t="s">
        <v>168</v>
      </c>
      <c r="B59" s="1" t="str">
        <f>Referências!A9</f>
        <v>94569</v>
      </c>
      <c r="C59" s="1" t="s">
        <v>217</v>
      </c>
      <c r="D59" s="22" t="s">
        <v>252</v>
      </c>
      <c r="E59" s="1" t="s">
        <v>30</v>
      </c>
      <c r="F59" s="30">
        <f>(1.8*1.2*2)+(0.6*0.6)</f>
        <v>4.6800000000000006</v>
      </c>
      <c r="G59" s="26">
        <v>751.18</v>
      </c>
      <c r="H59" s="23">
        <f t="shared" si="10"/>
        <v>950.2426999999999</v>
      </c>
      <c r="I59" s="26">
        <f t="shared" si="9"/>
        <v>4447.1358360000004</v>
      </c>
    </row>
    <row r="60" spans="1:10" x14ac:dyDescent="0.25">
      <c r="A60" s="14" t="s">
        <v>353</v>
      </c>
      <c r="B60" s="1">
        <f>Referências!G49</f>
        <v>43865</v>
      </c>
      <c r="C60" s="1" t="s">
        <v>29</v>
      </c>
      <c r="D60" s="22" t="s">
        <v>560</v>
      </c>
      <c r="E60" s="1" t="s">
        <v>42</v>
      </c>
      <c r="F60" s="30">
        <f>1.8+1.8+0.6+0.9+0.8</f>
        <v>5.9</v>
      </c>
      <c r="G60" s="26">
        <f>Referências!M49</f>
        <v>93.06</v>
      </c>
      <c r="H60" s="23">
        <f t="shared" si="10"/>
        <v>117.7209</v>
      </c>
      <c r="I60" s="26">
        <f t="shared" si="9"/>
        <v>694.55331000000001</v>
      </c>
    </row>
    <row r="61" spans="1:10" ht="28.5" x14ac:dyDescent="0.25">
      <c r="A61" s="14" t="s">
        <v>354</v>
      </c>
      <c r="B61" s="1" t="str">
        <f>Referências!A36</f>
        <v>90830</v>
      </c>
      <c r="C61" s="1" t="s">
        <v>217</v>
      </c>
      <c r="D61" s="22" t="s">
        <v>291</v>
      </c>
      <c r="E61" s="1" t="s">
        <v>205</v>
      </c>
      <c r="F61" s="30">
        <v>1</v>
      </c>
      <c r="G61" s="26">
        <v>157.99</v>
      </c>
      <c r="H61" s="23">
        <f t="shared" si="10"/>
        <v>199.85735</v>
      </c>
      <c r="I61" s="26">
        <f t="shared" si="9"/>
        <v>199.85735</v>
      </c>
    </row>
    <row r="62" spans="1:10" x14ac:dyDescent="0.25">
      <c r="A62" s="248" t="s">
        <v>53</v>
      </c>
      <c r="B62" s="248"/>
      <c r="C62" s="248"/>
      <c r="D62" s="248"/>
      <c r="E62" s="248"/>
      <c r="F62" s="248"/>
      <c r="G62" s="248"/>
      <c r="H62" s="24"/>
      <c r="I62" s="24">
        <f>SUM(I57:I61)</f>
        <v>7922.8134040000004</v>
      </c>
    </row>
    <row r="64" spans="1:10" x14ac:dyDescent="0.25">
      <c r="A64" s="25" t="s">
        <v>182</v>
      </c>
      <c r="B64" s="231"/>
      <c r="C64" s="232"/>
      <c r="D64" s="233" t="s">
        <v>180</v>
      </c>
      <c r="E64" s="234"/>
      <c r="F64" s="234"/>
      <c r="G64" s="234"/>
      <c r="H64" s="234"/>
      <c r="I64" s="235"/>
    </row>
    <row r="65" spans="1:9" x14ac:dyDescent="0.25">
      <c r="A65" s="28" t="s">
        <v>196</v>
      </c>
      <c r="B65" s="1">
        <v>92541</v>
      </c>
      <c r="C65" s="1" t="s">
        <v>217</v>
      </c>
      <c r="D65" s="22" t="s">
        <v>292</v>
      </c>
      <c r="E65" s="1" t="s">
        <v>30</v>
      </c>
      <c r="F65" s="170">
        <v>59</v>
      </c>
      <c r="G65" s="153">
        <v>80.44</v>
      </c>
      <c r="H65" s="29">
        <f t="shared" ref="H65:H71" si="11">G65*$E$4</f>
        <v>101.75659999999999</v>
      </c>
      <c r="I65" s="27">
        <f t="shared" ref="I65:I71" si="12">H65*F65</f>
        <v>6003.6393999999991</v>
      </c>
    </row>
    <row r="66" spans="1:9" ht="28.5" x14ac:dyDescent="0.25">
      <c r="A66" s="28" t="s">
        <v>197</v>
      </c>
      <c r="B66" s="1" t="str">
        <f>Referências!A28</f>
        <v>94207</v>
      </c>
      <c r="C66" s="1" t="s">
        <v>217</v>
      </c>
      <c r="D66" s="22" t="s">
        <v>435</v>
      </c>
      <c r="E66" s="1" t="s">
        <v>30</v>
      </c>
      <c r="F66" s="170">
        <f>F65</f>
        <v>59</v>
      </c>
      <c r="G66" s="153">
        <v>45.22</v>
      </c>
      <c r="H66" s="29">
        <f t="shared" si="11"/>
        <v>57.203299999999992</v>
      </c>
      <c r="I66" s="27">
        <f t="shared" si="12"/>
        <v>3374.9946999999993</v>
      </c>
    </row>
    <row r="67" spans="1:9" x14ac:dyDescent="0.25">
      <c r="A67" s="28" t="s">
        <v>198</v>
      </c>
      <c r="B67" s="1" t="str">
        <f>Referências!A24</f>
        <v>94227</v>
      </c>
      <c r="C67" s="1" t="s">
        <v>217</v>
      </c>
      <c r="D67" s="22" t="s">
        <v>293</v>
      </c>
      <c r="E67" s="1" t="s">
        <v>42</v>
      </c>
      <c r="F67" s="170">
        <f>9.6+11.68</f>
        <v>21.28</v>
      </c>
      <c r="G67" s="153">
        <v>72.91</v>
      </c>
      <c r="H67" s="29">
        <f t="shared" si="11"/>
        <v>92.231149999999985</v>
      </c>
      <c r="I67" s="27">
        <f t="shared" si="12"/>
        <v>1962.6788719999997</v>
      </c>
    </row>
    <row r="68" spans="1:9" x14ac:dyDescent="0.25">
      <c r="A68" s="28" t="s">
        <v>199</v>
      </c>
      <c r="B68" s="1">
        <f>Referências!G45</f>
        <v>42751</v>
      </c>
      <c r="C68" s="1" t="s">
        <v>29</v>
      </c>
      <c r="D68" s="22" t="s">
        <v>294</v>
      </c>
      <c r="E68" s="1" t="s">
        <v>42</v>
      </c>
      <c r="F68" s="170">
        <f>9.6+9.6</f>
        <v>19.2</v>
      </c>
      <c r="G68" s="153">
        <f>Referências!M45</f>
        <v>43.019999999999996</v>
      </c>
      <c r="H68" s="29">
        <f t="shared" si="11"/>
        <v>54.42029999999999</v>
      </c>
      <c r="I68" s="27">
        <f t="shared" si="12"/>
        <v>1044.8697599999998</v>
      </c>
    </row>
    <row r="69" spans="1:9" ht="28.5" x14ac:dyDescent="0.25">
      <c r="A69" s="28" t="s">
        <v>573</v>
      </c>
      <c r="B69" s="1" t="str">
        <f>Referências!A34</f>
        <v>94223</v>
      </c>
      <c r="C69" s="1" t="s">
        <v>217</v>
      </c>
      <c r="D69" s="22" t="s">
        <v>438</v>
      </c>
      <c r="E69" s="1" t="s">
        <v>42</v>
      </c>
      <c r="F69" s="170">
        <f>9.6</f>
        <v>9.6</v>
      </c>
      <c r="G69" s="153">
        <v>79.819999999999993</v>
      </c>
      <c r="H69" s="29">
        <f t="shared" si="11"/>
        <v>100.97229999999999</v>
      </c>
      <c r="I69" s="27">
        <f t="shared" si="12"/>
        <v>969.33407999999986</v>
      </c>
    </row>
    <row r="70" spans="1:9" x14ac:dyDescent="0.25">
      <c r="A70" s="28" t="s">
        <v>389</v>
      </c>
      <c r="B70" s="1">
        <v>96111</v>
      </c>
      <c r="C70" s="1" t="s">
        <v>217</v>
      </c>
      <c r="D70" s="22" t="s">
        <v>583</v>
      </c>
      <c r="E70" s="1" t="s">
        <v>30</v>
      </c>
      <c r="F70" s="170">
        <f>F53+(59-44)</f>
        <v>54.69</v>
      </c>
      <c r="G70" s="153">
        <v>66.989999999999995</v>
      </c>
      <c r="H70" s="29">
        <f t="shared" si="11"/>
        <v>84.742349999999988</v>
      </c>
      <c r="I70" s="27">
        <f t="shared" si="12"/>
        <v>4634.5591214999995</v>
      </c>
    </row>
    <row r="71" spans="1:9" x14ac:dyDescent="0.25">
      <c r="A71" s="28" t="s">
        <v>587</v>
      </c>
      <c r="B71" s="1">
        <v>40138</v>
      </c>
      <c r="C71" s="1" t="s">
        <v>29</v>
      </c>
      <c r="D71" s="22" t="s">
        <v>586</v>
      </c>
      <c r="E71" s="1" t="s">
        <v>42</v>
      </c>
      <c r="F71" s="170">
        <f>4.85+6.65+2.25+1.65+2.6+8.3+1.5+1.5+2.25+2.25</f>
        <v>33.799999999999997</v>
      </c>
      <c r="G71" s="153">
        <f>13.26+6.88</f>
        <v>20.14</v>
      </c>
      <c r="H71" s="29">
        <f t="shared" si="11"/>
        <v>25.4771</v>
      </c>
      <c r="I71" s="27">
        <f t="shared" si="12"/>
        <v>861.12597999999991</v>
      </c>
    </row>
    <row r="72" spans="1:9" x14ac:dyDescent="0.25">
      <c r="A72" s="236" t="s">
        <v>192</v>
      </c>
      <c r="B72" s="237"/>
      <c r="C72" s="237"/>
      <c r="D72" s="237"/>
      <c r="E72" s="237"/>
      <c r="F72" s="237"/>
      <c r="G72" s="238"/>
      <c r="H72" s="24"/>
      <c r="I72" s="24">
        <f>SUM(I65:I71)</f>
        <v>18851.201913500001</v>
      </c>
    </row>
    <row r="73" spans="1:9" x14ac:dyDescent="0.25">
      <c r="A73" s="184"/>
      <c r="B73" s="184"/>
      <c r="C73" s="184"/>
      <c r="D73" s="184"/>
      <c r="E73" s="184"/>
      <c r="F73" s="220"/>
      <c r="G73" s="184"/>
      <c r="H73" s="184"/>
      <c r="I73" s="184"/>
    </row>
    <row r="74" spans="1:9" x14ac:dyDescent="0.25">
      <c r="A74" s="25" t="s">
        <v>183</v>
      </c>
      <c r="B74" s="231"/>
      <c r="C74" s="232"/>
      <c r="D74" s="233" t="s">
        <v>181</v>
      </c>
      <c r="E74" s="234"/>
      <c r="F74" s="234"/>
      <c r="G74" s="234"/>
      <c r="H74" s="234"/>
      <c r="I74" s="235"/>
    </row>
    <row r="75" spans="1:9" x14ac:dyDescent="0.25">
      <c r="A75" s="28" t="s">
        <v>200</v>
      </c>
      <c r="B75" s="1">
        <f>Referências!G70</f>
        <v>43382</v>
      </c>
      <c r="C75" s="1" t="s">
        <v>29</v>
      </c>
      <c r="D75" s="22" t="s">
        <v>443</v>
      </c>
      <c r="E75" s="1" t="s">
        <v>205</v>
      </c>
      <c r="F75" s="30">
        <v>3</v>
      </c>
      <c r="G75" s="153">
        <f>Referências!M70</f>
        <v>11.48</v>
      </c>
      <c r="H75" s="29">
        <f t="shared" ref="H75:H82" si="13">G75*$E$4</f>
        <v>14.5222</v>
      </c>
      <c r="I75" s="27">
        <f t="shared" ref="I75:I82" si="14">H75*F75</f>
        <v>43.566600000000001</v>
      </c>
    </row>
    <row r="76" spans="1:9" ht="28.5" x14ac:dyDescent="0.25">
      <c r="A76" s="28" t="s">
        <v>232</v>
      </c>
      <c r="B76" s="1" t="str">
        <f>Referências!A66</f>
        <v>93137</v>
      </c>
      <c r="C76" s="1" t="s">
        <v>217</v>
      </c>
      <c r="D76" s="22" t="s">
        <v>558</v>
      </c>
      <c r="E76" s="1" t="s">
        <v>205</v>
      </c>
      <c r="F76" s="30">
        <v>4</v>
      </c>
      <c r="G76" s="153">
        <v>182.09</v>
      </c>
      <c r="H76" s="29">
        <f t="shared" si="13"/>
        <v>230.34384999999997</v>
      </c>
      <c r="I76" s="27">
        <f t="shared" si="14"/>
        <v>921.3753999999999</v>
      </c>
    </row>
    <row r="77" spans="1:9" ht="28.5" x14ac:dyDescent="0.25">
      <c r="A77" s="28" t="s">
        <v>233</v>
      </c>
      <c r="B77" s="1" t="str">
        <f>Referências!A51</f>
        <v>93128</v>
      </c>
      <c r="C77" s="1" t="s">
        <v>217</v>
      </c>
      <c r="D77" s="22" t="s">
        <v>449</v>
      </c>
      <c r="E77" s="1" t="s">
        <v>205</v>
      </c>
      <c r="F77" s="30">
        <v>2</v>
      </c>
      <c r="G77" s="153">
        <v>153.16999999999999</v>
      </c>
      <c r="H77" s="29">
        <f t="shared" si="13"/>
        <v>193.76004999999998</v>
      </c>
      <c r="I77" s="27">
        <f t="shared" si="14"/>
        <v>387.52009999999996</v>
      </c>
    </row>
    <row r="78" spans="1:9" ht="28.5" x14ac:dyDescent="0.25">
      <c r="A78" s="28" t="s">
        <v>234</v>
      </c>
      <c r="B78" s="1" t="str">
        <f>Referências!A52</f>
        <v>93141</v>
      </c>
      <c r="C78" s="1" t="s">
        <v>217</v>
      </c>
      <c r="D78" s="22" t="s">
        <v>450</v>
      </c>
      <c r="E78" s="1" t="s">
        <v>205</v>
      </c>
      <c r="F78" s="30">
        <v>4</v>
      </c>
      <c r="G78" s="153">
        <v>186.47</v>
      </c>
      <c r="H78" s="29">
        <f t="shared" si="13"/>
        <v>235.88454999999999</v>
      </c>
      <c r="I78" s="27">
        <f t="shared" si="14"/>
        <v>943.53819999999996</v>
      </c>
    </row>
    <row r="79" spans="1:9" ht="28.5" x14ac:dyDescent="0.25">
      <c r="A79" s="28" t="s">
        <v>235</v>
      </c>
      <c r="B79" s="1" t="str">
        <f>Referências!A53</f>
        <v>93142</v>
      </c>
      <c r="C79" s="1" t="s">
        <v>217</v>
      </c>
      <c r="D79" s="22" t="s">
        <v>451</v>
      </c>
      <c r="E79" s="1" t="s">
        <v>205</v>
      </c>
      <c r="F79" s="30">
        <v>1</v>
      </c>
      <c r="G79" s="153">
        <v>208.88</v>
      </c>
      <c r="H79" s="29">
        <f t="shared" si="13"/>
        <v>264.23319999999995</v>
      </c>
      <c r="I79" s="27">
        <f t="shared" si="14"/>
        <v>264.23319999999995</v>
      </c>
    </row>
    <row r="80" spans="1:9" ht="28.5" x14ac:dyDescent="0.25">
      <c r="A80" s="28" t="s">
        <v>236</v>
      </c>
      <c r="B80" s="1" t="str">
        <f>Referências!A54</f>
        <v>93143</v>
      </c>
      <c r="C80" s="1" t="s">
        <v>217</v>
      </c>
      <c r="D80" s="22" t="s">
        <v>452</v>
      </c>
      <c r="E80" s="1" t="s">
        <v>205</v>
      </c>
      <c r="F80" s="30">
        <v>1</v>
      </c>
      <c r="G80" s="153">
        <v>189.05</v>
      </c>
      <c r="H80" s="29">
        <f t="shared" si="13"/>
        <v>239.14824999999999</v>
      </c>
      <c r="I80" s="27">
        <f t="shared" si="14"/>
        <v>239.14824999999999</v>
      </c>
    </row>
    <row r="81" spans="1:9" ht="28.5" x14ac:dyDescent="0.25">
      <c r="A81" s="28" t="s">
        <v>237</v>
      </c>
      <c r="B81" s="1">
        <f>Referências!G73</f>
        <v>40165</v>
      </c>
      <c r="C81" s="1" t="s">
        <v>29</v>
      </c>
      <c r="D81" s="22" t="s">
        <v>457</v>
      </c>
      <c r="E81" s="1" t="s">
        <v>205</v>
      </c>
      <c r="F81" s="30">
        <v>4</v>
      </c>
      <c r="G81" s="153">
        <f>Referências!M73</f>
        <v>175.91</v>
      </c>
      <c r="H81" s="29">
        <f t="shared" si="13"/>
        <v>222.52614999999997</v>
      </c>
      <c r="I81" s="27">
        <f t="shared" si="14"/>
        <v>890.10459999999989</v>
      </c>
    </row>
    <row r="82" spans="1:9" x14ac:dyDescent="0.25">
      <c r="A82" s="28" t="s">
        <v>238</v>
      </c>
      <c r="B82" s="1" t="str">
        <f>Referências!A55</f>
        <v>97591</v>
      </c>
      <c r="C82" s="1" t="s">
        <v>217</v>
      </c>
      <c r="D82" s="205" t="s">
        <v>459</v>
      </c>
      <c r="E82" s="1" t="s">
        <v>205</v>
      </c>
      <c r="F82" s="30">
        <v>2</v>
      </c>
      <c r="G82" s="153">
        <v>161.65</v>
      </c>
      <c r="H82" s="29">
        <f t="shared" si="13"/>
        <v>204.48724999999999</v>
      </c>
      <c r="I82" s="27">
        <f t="shared" si="14"/>
        <v>408.97449999999998</v>
      </c>
    </row>
    <row r="83" spans="1:9" x14ac:dyDescent="0.25">
      <c r="A83" s="236" t="s">
        <v>193</v>
      </c>
      <c r="B83" s="237"/>
      <c r="C83" s="237"/>
      <c r="D83" s="237"/>
      <c r="E83" s="237"/>
      <c r="F83" s="237"/>
      <c r="G83" s="238"/>
      <c r="H83" s="24"/>
      <c r="I83" s="24">
        <f>SUM(I75:I82)</f>
        <v>4098.4608500000004</v>
      </c>
    </row>
    <row r="84" spans="1:9" x14ac:dyDescent="0.25">
      <c r="A84" s="184"/>
      <c r="B84" s="184"/>
      <c r="C84" s="184"/>
      <c r="D84" s="184"/>
      <c r="E84" s="184"/>
      <c r="F84" s="220"/>
      <c r="G84" s="184"/>
      <c r="H84" s="184"/>
      <c r="I84" s="184"/>
    </row>
    <row r="85" spans="1:9" x14ac:dyDescent="0.25">
      <c r="A85" s="25" t="s">
        <v>184</v>
      </c>
      <c r="B85" s="231"/>
      <c r="C85" s="232"/>
      <c r="D85" s="233" t="s">
        <v>481</v>
      </c>
      <c r="E85" s="234"/>
      <c r="F85" s="234"/>
      <c r="G85" s="234"/>
      <c r="H85" s="234"/>
      <c r="I85" s="235"/>
    </row>
    <row r="86" spans="1:9" x14ac:dyDescent="0.25">
      <c r="A86" s="28" t="s">
        <v>201</v>
      </c>
      <c r="B86" s="1">
        <f>Referências!G74</f>
        <v>42932</v>
      </c>
      <c r="C86" s="1" t="s">
        <v>29</v>
      </c>
      <c r="D86" s="22" t="s">
        <v>492</v>
      </c>
      <c r="E86" s="1" t="s">
        <v>205</v>
      </c>
      <c r="F86" s="170">
        <v>1</v>
      </c>
      <c r="G86" s="153">
        <f>Referências!M74</f>
        <v>73.820000000000007</v>
      </c>
      <c r="H86" s="29">
        <f>G86*$E$4</f>
        <v>93.382300000000001</v>
      </c>
      <c r="I86" s="27">
        <f t="shared" ref="I86:I96" si="15">H86*F86</f>
        <v>93.382300000000001</v>
      </c>
    </row>
    <row r="87" spans="1:9" ht="42.75" x14ac:dyDescent="0.25">
      <c r="A87" s="28" t="s">
        <v>202</v>
      </c>
      <c r="B87" s="1" t="str">
        <f>Referências!A56</f>
        <v>89957</v>
      </c>
      <c r="C87" s="1" t="s">
        <v>217</v>
      </c>
      <c r="D87" s="22" t="s">
        <v>482</v>
      </c>
      <c r="E87" s="1" t="s">
        <v>205</v>
      </c>
      <c r="F87" s="170">
        <v>2</v>
      </c>
      <c r="G87" s="153">
        <v>130.61000000000001</v>
      </c>
      <c r="H87" s="29">
        <f t="shared" ref="H87:H96" si="16">G87*$E$4</f>
        <v>165.22165000000001</v>
      </c>
      <c r="I87" s="27">
        <f t="shared" si="15"/>
        <v>330.44330000000002</v>
      </c>
    </row>
    <row r="88" spans="1:9" x14ac:dyDescent="0.25">
      <c r="A88" s="28" t="s">
        <v>330</v>
      </c>
      <c r="B88" s="1">
        <v>43030</v>
      </c>
      <c r="C88" s="1" t="s">
        <v>29</v>
      </c>
      <c r="D88" s="22" t="s">
        <v>571</v>
      </c>
      <c r="E88" s="1" t="s">
        <v>205</v>
      </c>
      <c r="F88" s="170">
        <v>3</v>
      </c>
      <c r="G88" s="153">
        <f>227.46+147.69</f>
        <v>375.15</v>
      </c>
      <c r="H88" s="29">
        <f t="shared" si="16"/>
        <v>474.56474999999995</v>
      </c>
      <c r="I88" s="27">
        <f t="shared" si="15"/>
        <v>1423.6942499999998</v>
      </c>
    </row>
    <row r="89" spans="1:9" ht="29.25" x14ac:dyDescent="0.25">
      <c r="A89" s="28" t="s">
        <v>361</v>
      </c>
      <c r="B89" s="1">
        <v>43154</v>
      </c>
      <c r="C89" s="1" t="s">
        <v>29</v>
      </c>
      <c r="D89" s="227" t="s">
        <v>569</v>
      </c>
      <c r="E89" s="1" t="s">
        <v>268</v>
      </c>
      <c r="F89" s="170">
        <f>1.5*1*1.5</f>
        <v>2.25</v>
      </c>
      <c r="G89" s="153">
        <f>343.24+354.63</f>
        <v>697.87</v>
      </c>
      <c r="H89" s="29">
        <f t="shared" si="16"/>
        <v>882.80554999999993</v>
      </c>
      <c r="I89" s="27">
        <f t="shared" si="15"/>
        <v>1986.3124874999999</v>
      </c>
    </row>
    <row r="90" spans="1:9" ht="28.5" x14ac:dyDescent="0.25">
      <c r="A90" s="28" t="s">
        <v>390</v>
      </c>
      <c r="B90" s="1">
        <v>43153</v>
      </c>
      <c r="C90" s="1" t="s">
        <v>29</v>
      </c>
      <c r="D90" s="22" t="s">
        <v>570</v>
      </c>
      <c r="E90" s="1" t="s">
        <v>268</v>
      </c>
      <c r="F90" s="170">
        <v>2</v>
      </c>
      <c r="G90" s="153">
        <f>334.56+387.69</f>
        <v>722.25</v>
      </c>
      <c r="H90" s="29">
        <f t="shared" si="16"/>
        <v>913.6462499999999</v>
      </c>
      <c r="I90" s="27">
        <f t="shared" si="15"/>
        <v>1827.2924999999998</v>
      </c>
    </row>
    <row r="91" spans="1:9" x14ac:dyDescent="0.25">
      <c r="A91" s="28" t="s">
        <v>391</v>
      </c>
      <c r="B91" s="1">
        <v>43189</v>
      </c>
      <c r="C91" s="1" t="s">
        <v>29</v>
      </c>
      <c r="D91" s="22" t="s">
        <v>578</v>
      </c>
      <c r="E91" s="1" t="s">
        <v>205</v>
      </c>
      <c r="F91" s="170">
        <v>1</v>
      </c>
      <c r="G91" s="153">
        <f>59.11+18</f>
        <v>77.11</v>
      </c>
      <c r="H91" s="29">
        <f t="shared" si="16"/>
        <v>97.544149999999988</v>
      </c>
      <c r="I91" s="27">
        <f t="shared" si="15"/>
        <v>97.544149999999988</v>
      </c>
    </row>
    <row r="92" spans="1:9" x14ac:dyDescent="0.25">
      <c r="A92" s="28" t="s">
        <v>392</v>
      </c>
      <c r="B92" s="1">
        <v>42959</v>
      </c>
      <c r="C92" s="1" t="s">
        <v>29</v>
      </c>
      <c r="D92" s="22" t="s">
        <v>579</v>
      </c>
      <c r="E92" s="1" t="s">
        <v>205</v>
      </c>
      <c r="F92" s="30">
        <v>1</v>
      </c>
      <c r="G92" s="153">
        <f>27.58+46.52</f>
        <v>74.099999999999994</v>
      </c>
      <c r="H92" s="29">
        <f t="shared" si="16"/>
        <v>93.736499999999992</v>
      </c>
      <c r="I92" s="27">
        <f t="shared" si="15"/>
        <v>93.736499999999992</v>
      </c>
    </row>
    <row r="93" spans="1:9" x14ac:dyDescent="0.25">
      <c r="A93" s="28" t="s">
        <v>393</v>
      </c>
      <c r="B93" s="1">
        <v>42968</v>
      </c>
      <c r="C93" s="1" t="s">
        <v>29</v>
      </c>
      <c r="D93" s="22" t="s">
        <v>580</v>
      </c>
      <c r="E93" s="1" t="s">
        <v>205</v>
      </c>
      <c r="F93" s="30">
        <v>1</v>
      </c>
      <c r="G93" s="153">
        <f>27.58+49.48</f>
        <v>77.06</v>
      </c>
      <c r="H93" s="29">
        <f t="shared" si="16"/>
        <v>97.480899999999991</v>
      </c>
      <c r="I93" s="27">
        <f t="shared" si="15"/>
        <v>97.480899999999991</v>
      </c>
    </row>
    <row r="94" spans="1:9" x14ac:dyDescent="0.25">
      <c r="A94" s="28" t="s">
        <v>394</v>
      </c>
      <c r="B94" s="1" t="str">
        <f>Referências!A60</f>
        <v>89512</v>
      </c>
      <c r="C94" s="1" t="s">
        <v>217</v>
      </c>
      <c r="D94" s="22" t="s">
        <v>503</v>
      </c>
      <c r="E94" s="1" t="s">
        <v>42</v>
      </c>
      <c r="F94" s="30">
        <f>5.19+38</f>
        <v>43.19</v>
      </c>
      <c r="G94" s="153">
        <v>67.48</v>
      </c>
      <c r="H94" s="29">
        <f t="shared" si="16"/>
        <v>85.362200000000001</v>
      </c>
      <c r="I94" s="27">
        <f t="shared" si="15"/>
        <v>3686.7934179999997</v>
      </c>
    </row>
    <row r="95" spans="1:9" x14ac:dyDescent="0.25">
      <c r="A95" s="28" t="s">
        <v>395</v>
      </c>
      <c r="B95" s="14" t="s">
        <v>244</v>
      </c>
      <c r="C95" s="1" t="s">
        <v>217</v>
      </c>
      <c r="D95" s="22" t="s">
        <v>581</v>
      </c>
      <c r="E95" s="1" t="s">
        <v>42</v>
      </c>
      <c r="F95" s="30">
        <v>8</v>
      </c>
      <c r="G95" s="153">
        <v>54.66</v>
      </c>
      <c r="H95" s="29">
        <f t="shared" si="16"/>
        <v>69.144899999999993</v>
      </c>
      <c r="I95" s="27">
        <f t="shared" si="15"/>
        <v>553.15919999999994</v>
      </c>
    </row>
    <row r="96" spans="1:9" x14ac:dyDescent="0.25">
      <c r="A96" s="28" t="s">
        <v>396</v>
      </c>
      <c r="B96" s="1">
        <f>Referências!G79</f>
        <v>43191</v>
      </c>
      <c r="C96" s="1" t="s">
        <v>29</v>
      </c>
      <c r="D96" s="22" t="s">
        <v>511</v>
      </c>
      <c r="E96" s="1" t="s">
        <v>205</v>
      </c>
      <c r="F96" s="30">
        <v>1</v>
      </c>
      <c r="G96" s="153">
        <f>Referências!M79</f>
        <v>23.46</v>
      </c>
      <c r="H96" s="29">
        <f t="shared" si="16"/>
        <v>29.6769</v>
      </c>
      <c r="I96" s="27">
        <f t="shared" si="15"/>
        <v>29.6769</v>
      </c>
    </row>
    <row r="97" spans="1:9" x14ac:dyDescent="0.25">
      <c r="A97" s="236" t="s">
        <v>194</v>
      </c>
      <c r="B97" s="237"/>
      <c r="C97" s="237"/>
      <c r="D97" s="237"/>
      <c r="E97" s="237"/>
      <c r="F97" s="237"/>
      <c r="G97" s="238"/>
      <c r="H97" s="24"/>
      <c r="I97" s="24">
        <f>SUM(I86:I96)</f>
        <v>10219.515905499999</v>
      </c>
    </row>
    <row r="98" spans="1:9" x14ac:dyDescent="0.25">
      <c r="A98" s="184"/>
      <c r="B98" s="184"/>
      <c r="C98" s="184"/>
      <c r="D98" s="184"/>
      <c r="E98" s="184"/>
      <c r="F98" s="220"/>
      <c r="G98" s="184"/>
      <c r="H98" s="184"/>
      <c r="I98" s="184"/>
    </row>
    <row r="99" spans="1:9" x14ac:dyDescent="0.25">
      <c r="A99" s="25" t="s">
        <v>185</v>
      </c>
      <c r="B99" s="231"/>
      <c r="C99" s="232"/>
      <c r="D99" s="233" t="s">
        <v>485</v>
      </c>
      <c r="E99" s="234"/>
      <c r="F99" s="234"/>
      <c r="G99" s="234"/>
      <c r="H99" s="234"/>
      <c r="I99" s="235"/>
    </row>
    <row r="100" spans="1:9" ht="28.5" x14ac:dyDescent="0.25">
      <c r="A100" s="28" t="s">
        <v>203</v>
      </c>
      <c r="B100" s="28" t="s">
        <v>566</v>
      </c>
      <c r="C100" s="1" t="s">
        <v>217</v>
      </c>
      <c r="D100" s="22" t="s">
        <v>568</v>
      </c>
      <c r="E100" s="1" t="s">
        <v>205</v>
      </c>
      <c r="F100" s="30">
        <v>1</v>
      </c>
      <c r="G100" s="176">
        <v>441.5</v>
      </c>
      <c r="H100" s="29">
        <f t="shared" ref="H100:H101" si="17">G100*$E$4</f>
        <v>558.49749999999995</v>
      </c>
      <c r="I100" s="27">
        <f t="shared" ref="I100:I101" si="18">H100*F100</f>
        <v>558.49749999999995</v>
      </c>
    </row>
    <row r="101" spans="1:9" ht="28.5" x14ac:dyDescent="0.25">
      <c r="A101" s="28" t="s">
        <v>204</v>
      </c>
      <c r="B101" s="1">
        <v>43921</v>
      </c>
      <c r="C101" s="1" t="s">
        <v>29</v>
      </c>
      <c r="D101" s="22" t="s">
        <v>519</v>
      </c>
      <c r="E101" s="1" t="s">
        <v>205</v>
      </c>
      <c r="F101" s="30">
        <v>1</v>
      </c>
      <c r="G101" s="153">
        <f>94.77+326.39</f>
        <v>421.15999999999997</v>
      </c>
      <c r="H101" s="29">
        <f t="shared" si="17"/>
        <v>532.76739999999995</v>
      </c>
      <c r="I101" s="27">
        <f t="shared" si="18"/>
        <v>532.76739999999995</v>
      </c>
    </row>
    <row r="102" spans="1:9" x14ac:dyDescent="0.25">
      <c r="A102" s="28" t="s">
        <v>574</v>
      </c>
      <c r="B102" s="1">
        <f>Referências!A42</f>
        <v>11758</v>
      </c>
      <c r="C102" s="1" t="s">
        <v>217</v>
      </c>
      <c r="D102" s="22" t="s">
        <v>374</v>
      </c>
      <c r="E102" s="1" t="s">
        <v>205</v>
      </c>
      <c r="F102" s="30">
        <v>2</v>
      </c>
      <c r="G102" s="153">
        <f>Referências!E42</f>
        <v>61.69</v>
      </c>
      <c r="H102" s="29">
        <f t="shared" ref="H102:H105" si="19">G102*$E$4</f>
        <v>78.037849999999992</v>
      </c>
      <c r="I102" s="27">
        <f t="shared" ref="I102:I105" si="20">H102*F102</f>
        <v>156.07569999999998</v>
      </c>
    </row>
    <row r="103" spans="1:9" x14ac:dyDescent="0.25">
      <c r="A103" s="28" t="s">
        <v>575</v>
      </c>
      <c r="B103" s="1">
        <f>Referências!A40</f>
        <v>37401</v>
      </c>
      <c r="C103" s="1" t="s">
        <v>217</v>
      </c>
      <c r="D103" s="22" t="s">
        <v>375</v>
      </c>
      <c r="E103" s="1" t="s">
        <v>205</v>
      </c>
      <c r="F103" s="30">
        <v>2</v>
      </c>
      <c r="G103" s="153">
        <f>Referências!E40</f>
        <v>64.22</v>
      </c>
      <c r="H103" s="29">
        <f t="shared" si="19"/>
        <v>81.238299999999995</v>
      </c>
      <c r="I103" s="27">
        <f t="shared" si="20"/>
        <v>162.47659999999999</v>
      </c>
    </row>
    <row r="104" spans="1:9" x14ac:dyDescent="0.25">
      <c r="A104" s="28" t="s">
        <v>576</v>
      </c>
      <c r="B104" s="1">
        <f>Referências!A41</f>
        <v>11703</v>
      </c>
      <c r="C104" s="1" t="s">
        <v>217</v>
      </c>
      <c r="D104" s="22" t="s">
        <v>380</v>
      </c>
      <c r="E104" s="1" t="s">
        <v>205</v>
      </c>
      <c r="F104" s="30">
        <v>2</v>
      </c>
      <c r="G104" s="153">
        <f>Referências!E41</f>
        <v>43.6</v>
      </c>
      <c r="H104" s="29">
        <f t="shared" si="19"/>
        <v>55.153999999999996</v>
      </c>
      <c r="I104" s="27">
        <f t="shared" si="20"/>
        <v>110.30799999999999</v>
      </c>
    </row>
    <row r="105" spans="1:9" x14ac:dyDescent="0.25">
      <c r="A105" s="28" t="s">
        <v>577</v>
      </c>
      <c r="B105" s="1">
        <v>42912</v>
      </c>
      <c r="C105" s="1" t="s">
        <v>29</v>
      </c>
      <c r="D105" s="22" t="s">
        <v>515</v>
      </c>
      <c r="E105" s="1" t="s">
        <v>205</v>
      </c>
      <c r="F105" s="30">
        <v>1</v>
      </c>
      <c r="G105" s="153">
        <f>9.1+173.15</f>
        <v>182.25</v>
      </c>
      <c r="H105" s="29">
        <f t="shared" si="19"/>
        <v>230.54624999999999</v>
      </c>
      <c r="I105" s="27">
        <f t="shared" si="20"/>
        <v>230.54624999999999</v>
      </c>
    </row>
    <row r="106" spans="1:9" x14ac:dyDescent="0.25">
      <c r="A106" s="236" t="s">
        <v>195</v>
      </c>
      <c r="B106" s="237"/>
      <c r="C106" s="237"/>
      <c r="D106" s="237"/>
      <c r="E106" s="237"/>
      <c r="F106" s="237"/>
      <c r="G106" s="238"/>
      <c r="H106" s="24"/>
      <c r="I106" s="24">
        <f>SUM(I100:I105)</f>
        <v>1750.6714499999998</v>
      </c>
    </row>
    <row r="107" spans="1:9" x14ac:dyDescent="0.25">
      <c r="A107" s="184"/>
      <c r="B107" s="184"/>
      <c r="C107" s="184"/>
      <c r="D107" s="184"/>
      <c r="E107" s="184"/>
      <c r="F107" s="220"/>
      <c r="G107" s="184"/>
      <c r="H107" s="184"/>
      <c r="I107" s="184"/>
    </row>
    <row r="108" spans="1:9" x14ac:dyDescent="0.25">
      <c r="A108" s="25" t="s">
        <v>397</v>
      </c>
      <c r="B108" s="231"/>
      <c r="C108" s="232"/>
      <c r="D108" s="233" t="s">
        <v>189</v>
      </c>
      <c r="E108" s="234"/>
      <c r="F108" s="234"/>
      <c r="G108" s="234"/>
      <c r="H108" s="234"/>
      <c r="I108" s="235"/>
    </row>
    <row r="109" spans="1:9" x14ac:dyDescent="0.25">
      <c r="A109" s="28" t="s">
        <v>398</v>
      </c>
      <c r="B109" s="1">
        <f>Referências!G46</f>
        <v>42782</v>
      </c>
      <c r="C109" s="1" t="s">
        <v>29</v>
      </c>
      <c r="D109" s="22" t="s">
        <v>564</v>
      </c>
      <c r="E109" s="1" t="s">
        <v>30</v>
      </c>
      <c r="F109" s="170">
        <f>F50</f>
        <v>39.65</v>
      </c>
      <c r="G109" s="153">
        <f>Referências!M46</f>
        <v>12.92</v>
      </c>
      <c r="H109" s="29">
        <f>G109*$E$4</f>
        <v>16.343799999999998</v>
      </c>
      <c r="I109" s="27">
        <f>H109*F109</f>
        <v>648.03166999999985</v>
      </c>
    </row>
    <row r="110" spans="1:9" x14ac:dyDescent="0.25">
      <c r="A110" s="28" t="s">
        <v>399</v>
      </c>
      <c r="B110" s="1">
        <f>Referências!G47</f>
        <v>42802</v>
      </c>
      <c r="C110" s="1" t="s">
        <v>29</v>
      </c>
      <c r="D110" s="22" t="s">
        <v>190</v>
      </c>
      <c r="E110" s="1" t="s">
        <v>30</v>
      </c>
      <c r="F110" s="30">
        <f>F109</f>
        <v>39.65</v>
      </c>
      <c r="G110" s="153">
        <f>Referências!M47</f>
        <v>2.2599999999999998</v>
      </c>
      <c r="H110" s="29">
        <f>G110*$E$4</f>
        <v>2.8588999999999993</v>
      </c>
      <c r="I110" s="27">
        <f t="shared" ref="I110:I111" si="21">H110*F110</f>
        <v>113.35538499999997</v>
      </c>
    </row>
    <row r="111" spans="1:9" x14ac:dyDescent="0.25">
      <c r="A111" s="28" t="s">
        <v>400</v>
      </c>
      <c r="B111" s="1">
        <f>Referências!G48</f>
        <v>42781</v>
      </c>
      <c r="C111" s="1" t="s">
        <v>29</v>
      </c>
      <c r="D111" s="22" t="s">
        <v>328</v>
      </c>
      <c r="E111" s="1" t="s">
        <v>30</v>
      </c>
      <c r="F111" s="30">
        <f>F110</f>
        <v>39.65</v>
      </c>
      <c r="G111" s="153">
        <f>Referências!M48</f>
        <v>22.740000000000002</v>
      </c>
      <c r="H111" s="29">
        <f>G111*$E$4</f>
        <v>28.766100000000002</v>
      </c>
      <c r="I111" s="27">
        <f t="shared" si="21"/>
        <v>1140.575865</v>
      </c>
    </row>
    <row r="112" spans="1:9" x14ac:dyDescent="0.25">
      <c r="A112" s="236" t="s">
        <v>401</v>
      </c>
      <c r="B112" s="237"/>
      <c r="C112" s="237"/>
      <c r="D112" s="237"/>
      <c r="E112" s="237"/>
      <c r="F112" s="237"/>
      <c r="G112" s="238"/>
      <c r="H112" s="24"/>
      <c r="I112" s="24">
        <f>SUM(I109:I111)</f>
        <v>1901.9629199999999</v>
      </c>
    </row>
    <row r="113" spans="1:9" x14ac:dyDescent="0.25">
      <c r="A113" s="184"/>
      <c r="B113" s="184"/>
      <c r="C113" s="184"/>
      <c r="D113" s="184"/>
      <c r="E113" s="184"/>
      <c r="F113" s="220"/>
      <c r="G113" s="184"/>
      <c r="H113" s="184"/>
      <c r="I113" s="184"/>
    </row>
    <row r="114" spans="1:9" x14ac:dyDescent="0.25">
      <c r="A114" s="25">
        <v>13</v>
      </c>
      <c r="B114" s="231"/>
      <c r="C114" s="232"/>
      <c r="D114" s="233" t="s">
        <v>39</v>
      </c>
      <c r="E114" s="234"/>
      <c r="F114" s="234"/>
      <c r="G114" s="234"/>
      <c r="H114" s="234"/>
      <c r="I114" s="235"/>
    </row>
    <row r="115" spans="1:9" x14ac:dyDescent="0.25">
      <c r="A115" s="28" t="s">
        <v>486</v>
      </c>
      <c r="B115" s="1">
        <v>42866</v>
      </c>
      <c r="C115" s="1" t="s">
        <v>29</v>
      </c>
      <c r="D115" s="22" t="s">
        <v>565</v>
      </c>
      <c r="E115" s="1" t="s">
        <v>30</v>
      </c>
      <c r="F115" s="170">
        <f>3</f>
        <v>3</v>
      </c>
      <c r="G115" s="153">
        <f>193.42+116.82</f>
        <v>310.24</v>
      </c>
      <c r="H115" s="29">
        <f t="shared" ref="H115:H119" si="22">G115*$E$4</f>
        <v>392.45359999999999</v>
      </c>
      <c r="I115" s="27">
        <f>H115*F115</f>
        <v>1177.3607999999999</v>
      </c>
    </row>
    <row r="116" spans="1:9" x14ac:dyDescent="0.25">
      <c r="A116" s="28" t="s">
        <v>487</v>
      </c>
      <c r="B116" s="1" t="str">
        <f>Referências!A43</f>
        <v>97599</v>
      </c>
      <c r="C116" s="1" t="s">
        <v>217</v>
      </c>
      <c r="D116" s="22" t="s">
        <v>402</v>
      </c>
      <c r="E116" s="1" t="s">
        <v>205</v>
      </c>
      <c r="F116" s="30">
        <v>1</v>
      </c>
      <c r="G116" s="153">
        <f>Referências!E43</f>
        <v>24.97</v>
      </c>
      <c r="H116" s="29">
        <f t="shared" si="22"/>
        <v>31.587049999999998</v>
      </c>
      <c r="I116" s="27">
        <f t="shared" ref="I116:I119" si="23">H116*F116</f>
        <v>31.587049999999998</v>
      </c>
    </row>
    <row r="117" spans="1:9" x14ac:dyDescent="0.25">
      <c r="A117" s="28" t="s">
        <v>488</v>
      </c>
      <c r="B117" s="1">
        <f>Referências!G54</f>
        <v>42892</v>
      </c>
      <c r="C117" s="1" t="s">
        <v>29</v>
      </c>
      <c r="D117" s="22" t="s">
        <v>339</v>
      </c>
      <c r="E117" s="1" t="s">
        <v>30</v>
      </c>
      <c r="F117" s="30">
        <f>F59</f>
        <v>4.6800000000000006</v>
      </c>
      <c r="G117" s="153">
        <f>Referências!M54</f>
        <v>435.57</v>
      </c>
      <c r="H117" s="29">
        <f t="shared" si="22"/>
        <v>550.99604999999997</v>
      </c>
      <c r="I117" s="27">
        <f t="shared" si="23"/>
        <v>2578.6615140000004</v>
      </c>
    </row>
    <row r="118" spans="1:9" x14ac:dyDescent="0.25">
      <c r="A118" s="28" t="s">
        <v>489</v>
      </c>
      <c r="B118" s="1">
        <f>Referências!G26</f>
        <v>42846</v>
      </c>
      <c r="C118" s="1" t="s">
        <v>29</v>
      </c>
      <c r="D118" s="22" t="s">
        <v>191</v>
      </c>
      <c r="E118" s="1" t="s">
        <v>30</v>
      </c>
      <c r="F118" s="30">
        <f>F9</f>
        <v>44.29</v>
      </c>
      <c r="G118" s="153">
        <f>Referências!M26</f>
        <v>7.55</v>
      </c>
      <c r="H118" s="29">
        <f t="shared" si="22"/>
        <v>9.550749999999999</v>
      </c>
      <c r="I118" s="27">
        <f t="shared" si="23"/>
        <v>423.00271749999996</v>
      </c>
    </row>
    <row r="119" spans="1:9" x14ac:dyDescent="0.25">
      <c r="A119" s="28" t="s">
        <v>490</v>
      </c>
      <c r="B119" s="1" t="s">
        <v>589</v>
      </c>
      <c r="C119" s="1" t="s">
        <v>588</v>
      </c>
      <c r="D119" s="22" t="s">
        <v>590</v>
      </c>
      <c r="E119" s="1" t="s">
        <v>30</v>
      </c>
      <c r="F119" s="30">
        <v>20</v>
      </c>
      <c r="G119" s="153">
        <f>10.23+121.04+127.57</f>
        <v>258.84000000000003</v>
      </c>
      <c r="H119" s="29">
        <f t="shared" si="22"/>
        <v>327.43260000000004</v>
      </c>
      <c r="I119" s="27">
        <f t="shared" si="23"/>
        <v>6548.652000000001</v>
      </c>
    </row>
    <row r="120" spans="1:9" x14ac:dyDescent="0.25">
      <c r="A120" s="236" t="s">
        <v>491</v>
      </c>
      <c r="B120" s="237"/>
      <c r="C120" s="237"/>
      <c r="D120" s="237"/>
      <c r="E120" s="237"/>
      <c r="F120" s="237"/>
      <c r="G120" s="238"/>
      <c r="H120" s="24"/>
      <c r="I120" s="24">
        <f>SUM(I115:I119)</f>
        <v>10759.264081500001</v>
      </c>
    </row>
    <row r="121" spans="1:9" x14ac:dyDescent="0.25">
      <c r="A121" s="184"/>
      <c r="B121" s="184"/>
      <c r="C121" s="184"/>
      <c r="D121" s="184"/>
      <c r="E121" s="184"/>
      <c r="F121" s="220"/>
      <c r="G121" s="184"/>
      <c r="H121" s="184"/>
      <c r="I121" s="184"/>
    </row>
    <row r="122" spans="1:9" x14ac:dyDescent="0.25">
      <c r="A122" s="236" t="s">
        <v>207</v>
      </c>
      <c r="B122" s="237"/>
      <c r="C122" s="237"/>
      <c r="D122" s="237"/>
      <c r="E122" s="237"/>
      <c r="F122" s="237"/>
      <c r="G122" s="237"/>
      <c r="H122" s="238"/>
      <c r="I122" s="24">
        <f>SUM(I16,I26,I38,I44,I54,I62,I72,I83,I97,I112,I120,I106,I21)</f>
        <v>133762.62372356196</v>
      </c>
    </row>
    <row r="123" spans="1:9" x14ac:dyDescent="0.25">
      <c r="A123" s="242" t="s">
        <v>531</v>
      </c>
      <c r="B123" s="243"/>
      <c r="C123" s="243"/>
      <c r="D123" s="243"/>
      <c r="E123" s="243"/>
      <c r="F123" s="243"/>
      <c r="G123" s="243"/>
      <c r="H123" s="243"/>
      <c r="I123" s="244"/>
    </row>
    <row r="124" spans="1:9" x14ac:dyDescent="0.25">
      <c r="A124" s="245"/>
      <c r="B124" s="246"/>
      <c r="C124" s="246"/>
      <c r="D124" s="246"/>
      <c r="E124" s="246"/>
      <c r="F124" s="246"/>
      <c r="G124" s="246"/>
      <c r="H124" s="246"/>
      <c r="I124" s="247"/>
    </row>
    <row r="125" spans="1:9" x14ac:dyDescent="0.25">
      <c r="A125" s="172"/>
      <c r="B125" s="172"/>
      <c r="C125" s="172"/>
      <c r="D125" s="172"/>
      <c r="E125" s="172"/>
      <c r="F125" s="195"/>
      <c r="G125" s="172"/>
      <c r="H125" s="172"/>
      <c r="I125" s="172"/>
    </row>
    <row r="126" spans="1:9" ht="15.75" x14ac:dyDescent="0.25">
      <c r="A126" s="239" t="s">
        <v>54</v>
      </c>
      <c r="B126" s="239"/>
      <c r="C126" s="239"/>
      <c r="D126" s="239"/>
      <c r="E126" s="239"/>
      <c r="F126" s="239"/>
      <c r="G126" s="239"/>
      <c r="H126" s="239"/>
      <c r="I126" s="239"/>
    </row>
    <row r="127" spans="1:9" ht="15.75" x14ac:dyDescent="0.25">
      <c r="A127" s="240" t="s">
        <v>348</v>
      </c>
      <c r="B127" s="240"/>
      <c r="C127" s="240"/>
      <c r="D127" s="240"/>
      <c r="E127" s="240"/>
      <c r="F127" s="240"/>
      <c r="G127" s="240"/>
      <c r="H127" s="240"/>
      <c r="I127" s="240"/>
    </row>
    <row r="128" spans="1:9" ht="15.75" x14ac:dyDescent="0.25">
      <c r="A128" s="241" t="s">
        <v>349</v>
      </c>
      <c r="B128" s="241"/>
      <c r="C128" s="241"/>
      <c r="D128" s="241"/>
      <c r="E128" s="241"/>
      <c r="F128" s="241"/>
      <c r="G128" s="241"/>
      <c r="H128" s="241"/>
      <c r="I128" s="241"/>
    </row>
    <row r="131" spans="8:9" x14ac:dyDescent="0.25">
      <c r="H131" s="159"/>
    </row>
    <row r="132" spans="8:9" x14ac:dyDescent="0.25">
      <c r="H132" s="159"/>
      <c r="I132" s="159"/>
    </row>
    <row r="133" spans="8:9" x14ac:dyDescent="0.25">
      <c r="I133" s="159"/>
    </row>
  </sheetData>
  <mergeCells count="63">
    <mergeCell ref="B23:C23"/>
    <mergeCell ref="D23:I23"/>
    <mergeCell ref="A21:G21"/>
    <mergeCell ref="B7:C7"/>
    <mergeCell ref="F5:F6"/>
    <mergeCell ref="G5:G6"/>
    <mergeCell ref="D18:I18"/>
    <mergeCell ref="H5:H6"/>
    <mergeCell ref="B46:C46"/>
    <mergeCell ref="D46:I46"/>
    <mergeCell ref="A5:A6"/>
    <mergeCell ref="B5:B6"/>
    <mergeCell ref="C5:C6"/>
    <mergeCell ref="D5:D6"/>
    <mergeCell ref="E5:E6"/>
    <mergeCell ref="A26:G26"/>
    <mergeCell ref="B40:C40"/>
    <mergeCell ref="D40:I40"/>
    <mergeCell ref="A44:G44"/>
    <mergeCell ref="A16:G16"/>
    <mergeCell ref="B28:C28"/>
    <mergeCell ref="D28:I28"/>
    <mergeCell ref="A38:G38"/>
    <mergeCell ref="I5:I6"/>
    <mergeCell ref="A62:G62"/>
    <mergeCell ref="B56:C56"/>
    <mergeCell ref="A1:I1"/>
    <mergeCell ref="A2:D2"/>
    <mergeCell ref="E2:F2"/>
    <mergeCell ref="H2:I2"/>
    <mergeCell ref="A3:D3"/>
    <mergeCell ref="E3:F3"/>
    <mergeCell ref="G3:G4"/>
    <mergeCell ref="H3:I4"/>
    <mergeCell ref="A4:D4"/>
    <mergeCell ref="E4:F4"/>
    <mergeCell ref="D7:I7"/>
    <mergeCell ref="B18:C18"/>
    <mergeCell ref="D56:I56"/>
    <mergeCell ref="A54:G54"/>
    <mergeCell ref="A126:I126"/>
    <mergeCell ref="A127:I127"/>
    <mergeCell ref="A128:I128"/>
    <mergeCell ref="B85:C85"/>
    <mergeCell ref="D85:I85"/>
    <mergeCell ref="A122:H122"/>
    <mergeCell ref="A123:I124"/>
    <mergeCell ref="B114:C114"/>
    <mergeCell ref="D114:I114"/>
    <mergeCell ref="A120:G120"/>
    <mergeCell ref="B108:C108"/>
    <mergeCell ref="D108:I108"/>
    <mergeCell ref="A112:G112"/>
    <mergeCell ref="A106:G106"/>
    <mergeCell ref="B99:C99"/>
    <mergeCell ref="D99:I99"/>
    <mergeCell ref="B64:C64"/>
    <mergeCell ref="D64:I64"/>
    <mergeCell ref="A72:G72"/>
    <mergeCell ref="A97:G97"/>
    <mergeCell ref="B74:C74"/>
    <mergeCell ref="D74:I74"/>
    <mergeCell ref="A83:G83"/>
  </mergeCells>
  <printOptions horizontalCentered="1"/>
  <pageMargins left="0.70866141732283472" right="0.70866141732283472" top="1.3385826771653544" bottom="0.74803149606299213" header="0.31496062992125984" footer="0.31496062992125984"/>
  <pageSetup paperSize="9" scale="73" fitToHeight="0" orientation="landscape" r:id="rId1"/>
  <headerFooter>
    <oddHeader>&amp;L                    
&amp;G&amp;C&amp;"-,Negrito"
SECRETARIA MUNICIPAL DA EDUCAÇÃO
PREFEITURA DO MUNICÍPIO DE LAGES&amp;R&amp;G</oddHeader>
    <oddFooter>&amp;C&amp;F&amp;R&amp;P/&amp;N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5" sqref="C5"/>
    </sheetView>
  </sheetViews>
  <sheetFormatPr defaultRowHeight="15" x14ac:dyDescent="0.25"/>
  <sheetData>
    <row r="1" spans="1:3" x14ac:dyDescent="0.25">
      <c r="A1">
        <f>7.42*8.19</f>
        <v>60.769799999999996</v>
      </c>
      <c r="C1">
        <f>A1</f>
        <v>60.769799999999996</v>
      </c>
    </row>
    <row r="2" spans="1:3" x14ac:dyDescent="0.25">
      <c r="A2">
        <f>5.42*2.94</f>
        <v>15.934799999999999</v>
      </c>
      <c r="C2">
        <f>3.0874*2.09</f>
        <v>6.4526659999999998</v>
      </c>
    </row>
    <row r="3" spans="1:3" x14ac:dyDescent="0.25">
      <c r="A3">
        <v>4</v>
      </c>
      <c r="C3">
        <f>4.9*1.65</f>
        <v>8.0850000000000009</v>
      </c>
    </row>
    <row r="4" spans="1:3" x14ac:dyDescent="0.25">
      <c r="A4">
        <v>18.68</v>
      </c>
      <c r="C4">
        <f>SUM(C1:C3)</f>
        <v>75.307466000000005</v>
      </c>
    </row>
    <row r="5" spans="1:3" x14ac:dyDescent="0.25">
      <c r="A5">
        <v>46.89</v>
      </c>
    </row>
    <row r="6" spans="1:3" x14ac:dyDescent="0.25">
      <c r="A6">
        <f>34.25</f>
        <v>34.25</v>
      </c>
    </row>
    <row r="7" spans="1:3" x14ac:dyDescent="0.25">
      <c r="A7">
        <v>3</v>
      </c>
    </row>
    <row r="8" spans="1:3" x14ac:dyDescent="0.25">
      <c r="A8">
        <v>29.39</v>
      </c>
    </row>
    <row r="9" spans="1:3" x14ac:dyDescent="0.25">
      <c r="A9">
        <f>SUM(A1:A8)</f>
        <v>212.91460000000001</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zoomScale="80" zoomScaleNormal="80" workbookViewId="0">
      <selection activeCell="G65" sqref="G65"/>
    </sheetView>
  </sheetViews>
  <sheetFormatPr defaultRowHeight="15" x14ac:dyDescent="0.25"/>
  <cols>
    <col min="1" max="1" width="33.140625" style="160" bestFit="1" customWidth="1"/>
    <col min="2" max="2" width="57.7109375" bestFit="1" customWidth="1"/>
    <col min="3" max="3" width="10.5703125" style="168" bestFit="1" customWidth="1"/>
    <col min="4" max="4" width="25.140625" bestFit="1" customWidth="1"/>
    <col min="5" max="5" width="21" style="159" bestFit="1" customWidth="1"/>
    <col min="7" max="7" width="11.140625" style="160" bestFit="1" customWidth="1"/>
    <col min="8" max="8" width="61.7109375" bestFit="1" customWidth="1"/>
    <col min="9" max="9" width="12" style="160" bestFit="1" customWidth="1"/>
    <col min="10" max="10" width="23.42578125" bestFit="1" customWidth="1"/>
    <col min="11" max="11" width="22.5703125" bestFit="1" customWidth="1"/>
    <col min="12" max="12" width="30.28515625" bestFit="1" customWidth="1"/>
    <col min="13" max="13" width="21.5703125" style="161" customWidth="1"/>
    <col min="14" max="14" width="14.5703125" bestFit="1" customWidth="1"/>
    <col min="15" max="15" width="12.42578125" bestFit="1" customWidth="1"/>
  </cols>
  <sheetData>
    <row r="1" spans="1:15" x14ac:dyDescent="0.25">
      <c r="A1" s="280" t="s">
        <v>432</v>
      </c>
      <c r="B1" s="280"/>
      <c r="C1" s="280"/>
      <c r="D1" s="280"/>
      <c r="E1" s="280"/>
      <c r="F1" s="184"/>
      <c r="G1" s="281" t="s">
        <v>346</v>
      </c>
      <c r="H1" s="281"/>
      <c r="I1" s="281"/>
      <c r="J1" s="281"/>
      <c r="K1" s="281"/>
      <c r="L1" s="281"/>
      <c r="M1" s="281"/>
      <c r="N1" s="193"/>
    </row>
    <row r="2" spans="1:15" x14ac:dyDescent="0.25">
      <c r="A2" s="163" t="s">
        <v>147</v>
      </c>
      <c r="B2" s="162" t="s">
        <v>148</v>
      </c>
      <c r="C2" s="167" t="s">
        <v>146</v>
      </c>
      <c r="D2" s="162" t="s">
        <v>149</v>
      </c>
      <c r="E2" s="164" t="s">
        <v>150</v>
      </c>
      <c r="F2" s="187"/>
      <c r="G2" s="163" t="s">
        <v>153</v>
      </c>
      <c r="H2" s="162" t="s">
        <v>154</v>
      </c>
      <c r="I2" s="163" t="s">
        <v>146</v>
      </c>
      <c r="J2" s="162" t="s">
        <v>155</v>
      </c>
      <c r="K2" s="162" t="s">
        <v>156</v>
      </c>
      <c r="L2" s="162" t="s">
        <v>160</v>
      </c>
      <c r="M2" s="192" t="s">
        <v>157</v>
      </c>
      <c r="N2" s="172"/>
    </row>
    <row r="3" spans="1:15" x14ac:dyDescent="0.25">
      <c r="A3" s="216" t="s">
        <v>215</v>
      </c>
      <c r="B3" s="217" t="s">
        <v>216</v>
      </c>
      <c r="C3" s="1" t="s">
        <v>164</v>
      </c>
      <c r="D3" s="218" t="s">
        <v>163</v>
      </c>
      <c r="E3" s="219">
        <v>270.44</v>
      </c>
      <c r="F3" s="188"/>
      <c r="G3" s="178">
        <v>42571</v>
      </c>
      <c r="H3" s="179" t="s">
        <v>152</v>
      </c>
      <c r="I3" s="178" t="s">
        <v>145</v>
      </c>
      <c r="J3" s="185">
        <v>37.909999999999997</v>
      </c>
      <c r="K3" s="185">
        <v>175.69</v>
      </c>
      <c r="L3" s="185">
        <v>267</v>
      </c>
      <c r="M3" s="185">
        <f>J3+K3</f>
        <v>213.6</v>
      </c>
      <c r="N3" s="186"/>
      <c r="O3" s="159"/>
    </row>
    <row r="4" spans="1:15" x14ac:dyDescent="0.25">
      <c r="A4" s="216" t="s">
        <v>218</v>
      </c>
      <c r="B4" s="217" t="s">
        <v>219</v>
      </c>
      <c r="C4" s="1" t="s">
        <v>164</v>
      </c>
      <c r="D4" s="218" t="s">
        <v>163</v>
      </c>
      <c r="E4" s="219">
        <v>35.57</v>
      </c>
      <c r="F4" s="188"/>
      <c r="G4" s="182">
        <v>42591</v>
      </c>
      <c r="H4" s="183" t="s">
        <v>158</v>
      </c>
      <c r="I4" s="178" t="s">
        <v>145</v>
      </c>
      <c r="J4" s="185">
        <v>3.79</v>
      </c>
      <c r="K4" s="185">
        <v>1.2</v>
      </c>
      <c r="L4" s="185">
        <v>6.23</v>
      </c>
      <c r="M4" s="185">
        <f t="shared" ref="M4:M13" si="0">J4+K4</f>
        <v>4.99</v>
      </c>
      <c r="N4" s="186"/>
      <c r="O4" s="159"/>
    </row>
    <row r="5" spans="1:15" x14ac:dyDescent="0.25">
      <c r="A5" s="216" t="s">
        <v>220</v>
      </c>
      <c r="B5" s="217" t="s">
        <v>221</v>
      </c>
      <c r="C5" s="1" t="s">
        <v>164</v>
      </c>
      <c r="D5" s="218" t="s">
        <v>163</v>
      </c>
      <c r="E5" s="219">
        <v>85.08</v>
      </c>
      <c r="F5" s="188"/>
      <c r="G5" s="182">
        <v>42566</v>
      </c>
      <c r="H5" s="183" t="s">
        <v>165</v>
      </c>
      <c r="I5" s="182" t="s">
        <v>161</v>
      </c>
      <c r="J5" s="185">
        <v>227.46</v>
      </c>
      <c r="K5" s="185">
        <v>133.6</v>
      </c>
      <c r="L5" s="185">
        <v>451.32</v>
      </c>
      <c r="M5" s="185">
        <f t="shared" si="0"/>
        <v>361.06</v>
      </c>
      <c r="N5" s="186"/>
      <c r="O5" s="159"/>
    </row>
    <row r="6" spans="1:15" x14ac:dyDescent="0.25">
      <c r="A6" s="216" t="s">
        <v>222</v>
      </c>
      <c r="B6" s="217" t="s">
        <v>223</v>
      </c>
      <c r="C6" s="1" t="s">
        <v>164</v>
      </c>
      <c r="D6" s="218" t="s">
        <v>163</v>
      </c>
      <c r="E6" s="219">
        <v>123.83</v>
      </c>
      <c r="F6" s="184"/>
      <c r="G6" s="196">
        <v>42528</v>
      </c>
      <c r="H6" s="197" t="s">
        <v>208</v>
      </c>
      <c r="I6" s="196" t="s">
        <v>145</v>
      </c>
      <c r="J6" s="185">
        <v>7.55</v>
      </c>
      <c r="K6" s="185">
        <v>0</v>
      </c>
      <c r="L6" s="185">
        <v>9.43</v>
      </c>
      <c r="M6" s="185">
        <f t="shared" si="0"/>
        <v>7.55</v>
      </c>
      <c r="N6" s="186"/>
      <c r="O6" s="159"/>
    </row>
    <row r="7" spans="1:15" x14ac:dyDescent="0.25">
      <c r="A7" s="216" t="s">
        <v>240</v>
      </c>
      <c r="B7" s="217" t="s">
        <v>241</v>
      </c>
      <c r="C7" s="1" t="s">
        <v>164</v>
      </c>
      <c r="D7" s="218" t="s">
        <v>163</v>
      </c>
      <c r="E7" s="219">
        <v>66.13</v>
      </c>
      <c r="F7" s="184"/>
      <c r="G7" s="196">
        <v>42562</v>
      </c>
      <c r="H7" s="197" t="s">
        <v>177</v>
      </c>
      <c r="I7" s="196" t="s">
        <v>145</v>
      </c>
      <c r="J7" s="185">
        <v>8.32</v>
      </c>
      <c r="K7" s="185">
        <v>0</v>
      </c>
      <c r="L7" s="185">
        <v>10.4</v>
      </c>
      <c r="M7" s="185">
        <f t="shared" si="0"/>
        <v>8.32</v>
      </c>
      <c r="N7" s="186"/>
      <c r="O7" s="159"/>
    </row>
    <row r="8" spans="1:15" x14ac:dyDescent="0.25">
      <c r="A8" s="216" t="s">
        <v>244</v>
      </c>
      <c r="B8" s="217" t="s">
        <v>245</v>
      </c>
      <c r="C8" s="1" t="s">
        <v>162</v>
      </c>
      <c r="D8" s="218" t="s">
        <v>163</v>
      </c>
      <c r="E8" s="219">
        <v>54.87</v>
      </c>
      <c r="F8" s="184"/>
      <c r="G8" s="182">
        <v>42512</v>
      </c>
      <c r="H8" s="183" t="s">
        <v>159</v>
      </c>
      <c r="I8" s="178" t="s">
        <v>145</v>
      </c>
      <c r="J8" s="185">
        <v>5.75</v>
      </c>
      <c r="K8" s="185">
        <v>0</v>
      </c>
      <c r="L8" s="185">
        <v>7.18</v>
      </c>
      <c r="M8" s="185">
        <f t="shared" si="0"/>
        <v>5.75</v>
      </c>
      <c r="N8" s="186"/>
      <c r="O8" s="159"/>
    </row>
    <row r="9" spans="1:15" x14ac:dyDescent="0.25">
      <c r="A9" s="216" t="s">
        <v>250</v>
      </c>
      <c r="B9" s="217" t="s">
        <v>251</v>
      </c>
      <c r="C9" s="1" t="s">
        <v>145</v>
      </c>
      <c r="D9" s="218" t="s">
        <v>163</v>
      </c>
      <c r="E9" s="219">
        <v>703.23</v>
      </c>
      <c r="F9" s="184"/>
      <c r="G9" s="196">
        <v>42516</v>
      </c>
      <c r="H9" s="183" t="s">
        <v>209</v>
      </c>
      <c r="I9" s="196" t="s">
        <v>145</v>
      </c>
      <c r="J9" s="185">
        <v>5.75</v>
      </c>
      <c r="K9" s="185">
        <v>0</v>
      </c>
      <c r="L9" s="185">
        <v>7.18</v>
      </c>
      <c r="M9" s="185">
        <f t="shared" si="0"/>
        <v>5.75</v>
      </c>
      <c r="N9" s="186"/>
      <c r="O9" s="159"/>
    </row>
    <row r="10" spans="1:15" x14ac:dyDescent="0.25">
      <c r="A10" s="216" t="s">
        <v>254</v>
      </c>
      <c r="B10" s="217" t="s">
        <v>255</v>
      </c>
      <c r="C10" s="1" t="s">
        <v>145</v>
      </c>
      <c r="D10" s="218" t="s">
        <v>163</v>
      </c>
      <c r="E10" s="219">
        <v>1157.77</v>
      </c>
      <c r="F10" s="184"/>
      <c r="G10" s="196">
        <v>42513</v>
      </c>
      <c r="H10" s="183" t="s">
        <v>210</v>
      </c>
      <c r="I10" s="196" t="s">
        <v>145</v>
      </c>
      <c r="J10" s="185">
        <v>11.6</v>
      </c>
      <c r="K10" s="185">
        <v>0</v>
      </c>
      <c r="L10" s="185">
        <v>14.5</v>
      </c>
      <c r="M10" s="185">
        <f t="shared" si="0"/>
        <v>11.6</v>
      </c>
      <c r="N10" s="186"/>
      <c r="O10" s="159"/>
    </row>
    <row r="11" spans="1:15" s="165" customFormat="1" x14ac:dyDescent="0.25">
      <c r="A11" s="216" t="s">
        <v>260</v>
      </c>
      <c r="B11" s="217" t="s">
        <v>261</v>
      </c>
      <c r="C11" s="1" t="s">
        <v>145</v>
      </c>
      <c r="D11" s="218" t="s">
        <v>163</v>
      </c>
      <c r="E11" s="219">
        <v>38.47</v>
      </c>
      <c r="F11" s="189"/>
      <c r="G11" s="196">
        <v>42945</v>
      </c>
      <c r="H11" s="183" t="s">
        <v>211</v>
      </c>
      <c r="I11" s="196" t="s">
        <v>212</v>
      </c>
      <c r="J11" s="185">
        <v>121.31</v>
      </c>
      <c r="K11" s="185">
        <v>527.54</v>
      </c>
      <c r="L11" s="185">
        <v>811.06</v>
      </c>
      <c r="M11" s="185">
        <f t="shared" si="0"/>
        <v>648.84999999999991</v>
      </c>
      <c r="N11" s="186"/>
      <c r="O11" s="166"/>
    </row>
    <row r="12" spans="1:15" x14ac:dyDescent="0.25">
      <c r="A12" s="216" t="s">
        <v>262</v>
      </c>
      <c r="B12" s="217" t="s">
        <v>263</v>
      </c>
      <c r="C12" s="1" t="s">
        <v>164</v>
      </c>
      <c r="D12" s="218" t="s">
        <v>163</v>
      </c>
      <c r="E12" s="219">
        <v>234.66</v>
      </c>
      <c r="F12" s="184"/>
      <c r="G12" s="196">
        <v>43923</v>
      </c>
      <c r="H12" s="183" t="s">
        <v>213</v>
      </c>
      <c r="I12" s="196" t="s">
        <v>214</v>
      </c>
      <c r="J12" s="185">
        <v>75.819999999999993</v>
      </c>
      <c r="K12" s="185">
        <v>341.88</v>
      </c>
      <c r="L12" s="185">
        <v>522.12</v>
      </c>
      <c r="M12" s="185">
        <f t="shared" si="0"/>
        <v>417.7</v>
      </c>
      <c r="N12" s="186"/>
      <c r="O12" s="159"/>
    </row>
    <row r="13" spans="1:15" x14ac:dyDescent="0.25">
      <c r="A13" s="216" t="s">
        <v>289</v>
      </c>
      <c r="B13" s="217" t="s">
        <v>290</v>
      </c>
      <c r="C13" s="1" t="s">
        <v>164</v>
      </c>
      <c r="D13" s="218" t="s">
        <v>163</v>
      </c>
      <c r="E13" s="219">
        <v>1012.12</v>
      </c>
      <c r="F13" s="184"/>
      <c r="G13" s="182">
        <v>43120</v>
      </c>
      <c r="H13" s="183" t="s">
        <v>224</v>
      </c>
      <c r="I13" s="182" t="s">
        <v>162</v>
      </c>
      <c r="J13" s="185">
        <v>7.88</v>
      </c>
      <c r="K13" s="185">
        <v>16.82</v>
      </c>
      <c r="L13" s="185">
        <v>30.87</v>
      </c>
      <c r="M13" s="185">
        <f t="shared" si="0"/>
        <v>24.7</v>
      </c>
      <c r="N13" s="186"/>
      <c r="O13" s="159"/>
    </row>
    <row r="14" spans="1:15" x14ac:dyDescent="0.25">
      <c r="A14" s="216" t="s">
        <v>430</v>
      </c>
      <c r="B14" s="217" t="s">
        <v>431</v>
      </c>
      <c r="C14" s="1" t="s">
        <v>164</v>
      </c>
      <c r="D14" s="218" t="s">
        <v>163</v>
      </c>
      <c r="E14" s="219">
        <v>1082.5999999999999</v>
      </c>
      <c r="F14" s="184"/>
      <c r="G14" s="182"/>
      <c r="H14" s="183"/>
      <c r="I14" s="182"/>
      <c r="J14" s="185"/>
      <c r="K14" s="185"/>
      <c r="L14" s="185"/>
      <c r="M14" s="185">
        <f>J14+K14</f>
        <v>0</v>
      </c>
      <c r="N14" s="186"/>
      <c r="O14" s="159"/>
    </row>
    <row r="15" spans="1:15" x14ac:dyDescent="0.25">
      <c r="A15" s="216" t="s">
        <v>295</v>
      </c>
      <c r="B15" s="217" t="s">
        <v>296</v>
      </c>
      <c r="C15" s="1" t="s">
        <v>145</v>
      </c>
      <c r="D15" s="218" t="s">
        <v>163</v>
      </c>
      <c r="E15" s="219">
        <v>877.25</v>
      </c>
      <c r="F15" s="184"/>
      <c r="G15" s="182">
        <v>43121</v>
      </c>
      <c r="H15" s="183" t="s">
        <v>225</v>
      </c>
      <c r="I15" s="182" t="s">
        <v>162</v>
      </c>
      <c r="J15" s="185">
        <v>1.17</v>
      </c>
      <c r="K15" s="185">
        <v>17.75</v>
      </c>
      <c r="L15" s="185">
        <v>23.65</v>
      </c>
      <c r="M15" s="185">
        <f t="shared" ref="M15:M78" si="1">J15+K15</f>
        <v>18.920000000000002</v>
      </c>
      <c r="N15" s="186"/>
      <c r="O15" s="159"/>
    </row>
    <row r="16" spans="1:15" x14ac:dyDescent="0.25">
      <c r="A16" s="216" t="s">
        <v>297</v>
      </c>
      <c r="B16" s="217" t="s">
        <v>298</v>
      </c>
      <c r="C16" s="1" t="s">
        <v>162</v>
      </c>
      <c r="D16" s="218" t="s">
        <v>163</v>
      </c>
      <c r="E16" s="219">
        <v>38.68</v>
      </c>
      <c r="F16" s="184"/>
      <c r="G16" s="182">
        <v>43122</v>
      </c>
      <c r="H16" s="183" t="s">
        <v>226</v>
      </c>
      <c r="I16" s="182" t="s">
        <v>162</v>
      </c>
      <c r="J16" s="185">
        <v>15.76</v>
      </c>
      <c r="K16" s="185">
        <v>19.07</v>
      </c>
      <c r="L16" s="185">
        <v>43.53</v>
      </c>
      <c r="M16" s="185">
        <f t="shared" si="1"/>
        <v>34.83</v>
      </c>
      <c r="N16" s="186"/>
      <c r="O16" s="159"/>
    </row>
    <row r="17" spans="1:14" x14ac:dyDescent="0.25">
      <c r="A17" s="216" t="s">
        <v>304</v>
      </c>
      <c r="B17" s="217" t="s">
        <v>305</v>
      </c>
      <c r="C17" s="1" t="s">
        <v>162</v>
      </c>
      <c r="D17" s="218" t="s">
        <v>301</v>
      </c>
      <c r="E17" s="219">
        <v>87.07</v>
      </c>
      <c r="F17" s="184"/>
      <c r="G17" s="196">
        <v>43212</v>
      </c>
      <c r="H17" s="183" t="s">
        <v>227</v>
      </c>
      <c r="I17" s="196" t="s">
        <v>162</v>
      </c>
      <c r="J17" s="185">
        <v>7.88</v>
      </c>
      <c r="K17" s="185">
        <v>14.04</v>
      </c>
      <c r="L17" s="185">
        <v>27.4</v>
      </c>
      <c r="M17" s="185">
        <f t="shared" si="1"/>
        <v>21.919999999999998</v>
      </c>
      <c r="N17" s="186"/>
    </row>
    <row r="18" spans="1:14" x14ac:dyDescent="0.25">
      <c r="A18" s="216" t="s">
        <v>302</v>
      </c>
      <c r="B18" s="217" t="s">
        <v>303</v>
      </c>
      <c r="C18" s="1" t="s">
        <v>162</v>
      </c>
      <c r="D18" s="218" t="s">
        <v>301</v>
      </c>
      <c r="E18" s="219">
        <v>99.89</v>
      </c>
      <c r="F18" s="184"/>
      <c r="G18" s="196">
        <v>43050</v>
      </c>
      <c r="H18" s="183" t="s">
        <v>228</v>
      </c>
      <c r="I18" s="196" t="s">
        <v>212</v>
      </c>
      <c r="J18" s="185">
        <v>3.94</v>
      </c>
      <c r="K18" s="185">
        <v>6.29</v>
      </c>
      <c r="L18" s="185">
        <v>12.78</v>
      </c>
      <c r="M18" s="185">
        <f t="shared" si="1"/>
        <v>10.23</v>
      </c>
      <c r="N18" s="186"/>
    </row>
    <row r="19" spans="1:14" x14ac:dyDescent="0.25">
      <c r="A19" s="216" t="s">
        <v>299</v>
      </c>
      <c r="B19" s="217" t="s">
        <v>300</v>
      </c>
      <c r="C19" s="1" t="s">
        <v>162</v>
      </c>
      <c r="D19" s="218" t="s">
        <v>301</v>
      </c>
      <c r="E19" s="219">
        <v>80.989999999999995</v>
      </c>
      <c r="F19" s="184"/>
      <c r="G19" s="196">
        <v>43051</v>
      </c>
      <c r="H19" s="183" t="s">
        <v>229</v>
      </c>
      <c r="I19" s="196" t="s">
        <v>212</v>
      </c>
      <c r="J19" s="185">
        <v>7.88</v>
      </c>
      <c r="K19" s="185">
        <v>8.8800000000000008</v>
      </c>
      <c r="L19" s="185">
        <v>20.95</v>
      </c>
      <c r="M19" s="185">
        <f t="shared" si="1"/>
        <v>16.760000000000002</v>
      </c>
      <c r="N19" s="186"/>
    </row>
    <row r="20" spans="1:14" x14ac:dyDescent="0.25">
      <c r="A20" s="216" t="s">
        <v>312</v>
      </c>
      <c r="B20" s="217" t="s">
        <v>313</v>
      </c>
      <c r="C20" s="1" t="s">
        <v>162</v>
      </c>
      <c r="D20" s="218" t="s">
        <v>301</v>
      </c>
      <c r="E20" s="219">
        <v>100.76</v>
      </c>
      <c r="F20" s="184"/>
      <c r="G20" s="196">
        <v>43052</v>
      </c>
      <c r="H20" s="183" t="s">
        <v>230</v>
      </c>
      <c r="I20" s="196" t="s">
        <v>212</v>
      </c>
      <c r="J20" s="185">
        <v>11.82</v>
      </c>
      <c r="K20" s="185">
        <v>57.36</v>
      </c>
      <c r="L20" s="185">
        <v>86.47</v>
      </c>
      <c r="M20" s="185">
        <f t="shared" si="1"/>
        <v>69.180000000000007</v>
      </c>
      <c r="N20" s="186"/>
    </row>
    <row r="21" spans="1:14" x14ac:dyDescent="0.25">
      <c r="A21" s="216" t="s">
        <v>306</v>
      </c>
      <c r="B21" s="217" t="s">
        <v>307</v>
      </c>
      <c r="C21" s="1" t="s">
        <v>162</v>
      </c>
      <c r="D21" s="218" t="s">
        <v>301</v>
      </c>
      <c r="E21" s="219">
        <v>84.39</v>
      </c>
      <c r="F21" s="184"/>
      <c r="G21" s="196">
        <v>43156</v>
      </c>
      <c r="H21" s="197" t="s">
        <v>231</v>
      </c>
      <c r="I21" s="196" t="s">
        <v>212</v>
      </c>
      <c r="J21" s="185">
        <v>11.82</v>
      </c>
      <c r="K21" s="185">
        <v>8.74</v>
      </c>
      <c r="L21" s="185">
        <v>25.7</v>
      </c>
      <c r="M21" s="185">
        <f t="shared" si="1"/>
        <v>20.560000000000002</v>
      </c>
      <c r="N21" s="186"/>
    </row>
    <row r="22" spans="1:14" x14ac:dyDescent="0.25">
      <c r="A22" s="216" t="s">
        <v>314</v>
      </c>
      <c r="B22" s="217" t="s">
        <v>315</v>
      </c>
      <c r="C22" s="1" t="s">
        <v>162</v>
      </c>
      <c r="D22" s="218" t="s">
        <v>301</v>
      </c>
      <c r="E22" s="219">
        <v>94.67</v>
      </c>
      <c r="F22" s="184"/>
      <c r="G22" s="196">
        <v>43118</v>
      </c>
      <c r="H22" s="183" t="s">
        <v>239</v>
      </c>
      <c r="I22" s="196" t="s">
        <v>162</v>
      </c>
      <c r="J22" s="185">
        <v>5.91</v>
      </c>
      <c r="K22" s="185">
        <v>5.04</v>
      </c>
      <c r="L22" s="185">
        <v>13.68</v>
      </c>
      <c r="M22" s="185">
        <f t="shared" si="1"/>
        <v>10.95</v>
      </c>
      <c r="N22" s="186"/>
    </row>
    <row r="23" spans="1:14" x14ac:dyDescent="0.25">
      <c r="A23" s="216" t="s">
        <v>295</v>
      </c>
      <c r="B23" s="217" t="s">
        <v>296</v>
      </c>
      <c r="C23" s="1" t="s">
        <v>145</v>
      </c>
      <c r="D23" s="218" t="s">
        <v>163</v>
      </c>
      <c r="E23" s="219">
        <v>877.25</v>
      </c>
      <c r="F23" s="184"/>
      <c r="G23" s="196">
        <v>43062</v>
      </c>
      <c r="H23" s="183" t="s">
        <v>242</v>
      </c>
      <c r="I23" s="196" t="s">
        <v>212</v>
      </c>
      <c r="J23" s="185">
        <v>2.35</v>
      </c>
      <c r="K23" s="185">
        <v>2.68</v>
      </c>
      <c r="L23" s="185">
        <v>6.28</v>
      </c>
      <c r="M23" s="185">
        <f t="shared" si="1"/>
        <v>5.03</v>
      </c>
      <c r="N23" s="186"/>
    </row>
    <row r="24" spans="1:14" x14ac:dyDescent="0.25">
      <c r="A24" s="216" t="s">
        <v>319</v>
      </c>
      <c r="B24" s="217" t="s">
        <v>320</v>
      </c>
      <c r="C24" s="1" t="s">
        <v>162</v>
      </c>
      <c r="D24" s="218" t="s">
        <v>301</v>
      </c>
      <c r="E24" s="219">
        <v>72.19</v>
      </c>
      <c r="F24" s="184"/>
      <c r="G24" s="196">
        <v>43087</v>
      </c>
      <c r="H24" s="183" t="s">
        <v>243</v>
      </c>
      <c r="I24" s="196" t="s">
        <v>212</v>
      </c>
      <c r="J24" s="185">
        <v>7.88</v>
      </c>
      <c r="K24" s="185">
        <v>2.99</v>
      </c>
      <c r="L24" s="185">
        <v>13.58</v>
      </c>
      <c r="M24" s="185">
        <f t="shared" si="1"/>
        <v>10.870000000000001</v>
      </c>
      <c r="N24" s="186"/>
    </row>
    <row r="25" spans="1:14" x14ac:dyDescent="0.25">
      <c r="A25" s="216" t="s">
        <v>321</v>
      </c>
      <c r="B25" s="217" t="s">
        <v>322</v>
      </c>
      <c r="C25" s="1" t="s">
        <v>145</v>
      </c>
      <c r="D25" s="218" t="s">
        <v>301</v>
      </c>
      <c r="E25" s="219">
        <v>22.55</v>
      </c>
      <c r="F25" s="184"/>
      <c r="G25" s="196">
        <v>42911</v>
      </c>
      <c r="H25" s="183" t="s">
        <v>246</v>
      </c>
      <c r="I25" s="196" t="s">
        <v>212</v>
      </c>
      <c r="J25" s="185">
        <v>30.36</v>
      </c>
      <c r="K25" s="185">
        <v>328.04</v>
      </c>
      <c r="L25" s="185">
        <v>448</v>
      </c>
      <c r="M25" s="185">
        <f t="shared" si="1"/>
        <v>358.40000000000003</v>
      </c>
    </row>
    <row r="26" spans="1:14" x14ac:dyDescent="0.25">
      <c r="A26" s="216" t="s">
        <v>323</v>
      </c>
      <c r="B26" s="217" t="s">
        <v>324</v>
      </c>
      <c r="C26" s="1" t="s">
        <v>162</v>
      </c>
      <c r="D26" s="218" t="s">
        <v>301</v>
      </c>
      <c r="E26" s="219">
        <v>79.81</v>
      </c>
      <c r="F26" s="190"/>
      <c r="G26" s="182">
        <v>42846</v>
      </c>
      <c r="H26" s="183" t="s">
        <v>166</v>
      </c>
      <c r="I26" s="182" t="s">
        <v>145</v>
      </c>
      <c r="J26" s="185">
        <v>7.55</v>
      </c>
      <c r="K26" s="185">
        <v>0</v>
      </c>
      <c r="L26" s="185">
        <v>9.43</v>
      </c>
      <c r="M26" s="185">
        <f t="shared" si="1"/>
        <v>7.55</v>
      </c>
    </row>
    <row r="27" spans="1:14" x14ac:dyDescent="0.25">
      <c r="A27" s="216" t="s">
        <v>260</v>
      </c>
      <c r="B27" s="217" t="s">
        <v>261</v>
      </c>
      <c r="C27" s="1" t="s">
        <v>145</v>
      </c>
      <c r="D27" s="218" t="s">
        <v>163</v>
      </c>
      <c r="E27" s="219">
        <v>38.47</v>
      </c>
      <c r="F27" s="191"/>
      <c r="G27" s="196">
        <v>42541</v>
      </c>
      <c r="H27" s="183" t="s">
        <v>247</v>
      </c>
      <c r="I27" s="196" t="s">
        <v>145</v>
      </c>
      <c r="J27" s="185">
        <v>16.239999999999998</v>
      </c>
      <c r="K27" s="185">
        <v>0</v>
      </c>
      <c r="L27" s="185">
        <v>20.3</v>
      </c>
      <c r="M27" s="185">
        <f t="shared" si="1"/>
        <v>16.239999999999998</v>
      </c>
    </row>
    <row r="28" spans="1:14" x14ac:dyDescent="0.25">
      <c r="A28" s="216" t="s">
        <v>433</v>
      </c>
      <c r="B28" s="217" t="s">
        <v>434</v>
      </c>
      <c r="C28" s="1" t="s">
        <v>145</v>
      </c>
      <c r="D28" s="218" t="s">
        <v>301</v>
      </c>
      <c r="E28" s="219">
        <v>45.21</v>
      </c>
      <c r="F28" s="191"/>
      <c r="G28" s="196">
        <v>42546</v>
      </c>
      <c r="H28" s="183" t="s">
        <v>248</v>
      </c>
      <c r="I28" s="196" t="s">
        <v>145</v>
      </c>
      <c r="J28" s="185">
        <v>10.199999999999999</v>
      </c>
      <c r="K28" s="185">
        <v>0</v>
      </c>
      <c r="L28" s="185">
        <v>12.75</v>
      </c>
      <c r="M28" s="185">
        <f t="shared" si="1"/>
        <v>10.199999999999999</v>
      </c>
    </row>
    <row r="29" spans="1:14" x14ac:dyDescent="0.25">
      <c r="A29" s="216" t="s">
        <v>323</v>
      </c>
      <c r="B29" s="217" t="s">
        <v>324</v>
      </c>
      <c r="C29" s="1" t="s">
        <v>162</v>
      </c>
      <c r="D29" s="218" t="s">
        <v>301</v>
      </c>
      <c r="E29" s="219">
        <v>79.81</v>
      </c>
      <c r="F29" s="184"/>
      <c r="G29" s="196">
        <v>42704</v>
      </c>
      <c r="H29" s="183" t="s">
        <v>249</v>
      </c>
      <c r="I29" s="196" t="s">
        <v>145</v>
      </c>
      <c r="J29" s="185">
        <v>102.48</v>
      </c>
      <c r="K29" s="185">
        <v>343.88</v>
      </c>
      <c r="L29" s="185">
        <v>557.95000000000005</v>
      </c>
      <c r="M29" s="185">
        <f t="shared" si="1"/>
        <v>446.36</v>
      </c>
    </row>
    <row r="30" spans="1:14" x14ac:dyDescent="0.25">
      <c r="A30" s="216" t="s">
        <v>337</v>
      </c>
      <c r="B30" s="217" t="s">
        <v>338</v>
      </c>
      <c r="C30" s="1" t="s">
        <v>145</v>
      </c>
      <c r="D30" s="218" t="s">
        <v>163</v>
      </c>
      <c r="E30" s="219">
        <v>3.9</v>
      </c>
      <c r="F30" s="184"/>
      <c r="G30" s="196">
        <v>42700</v>
      </c>
      <c r="H30" s="183" t="s">
        <v>256</v>
      </c>
      <c r="I30" s="196" t="s">
        <v>257</v>
      </c>
      <c r="J30" s="185">
        <v>37.909999999999997</v>
      </c>
      <c r="K30" s="185">
        <v>572.38</v>
      </c>
      <c r="L30" s="185">
        <v>762.86</v>
      </c>
      <c r="M30" s="185">
        <f t="shared" si="1"/>
        <v>610.29</v>
      </c>
    </row>
    <row r="31" spans="1:14" x14ac:dyDescent="0.25">
      <c r="A31" s="216" t="s">
        <v>342</v>
      </c>
      <c r="B31" s="217" t="s">
        <v>343</v>
      </c>
      <c r="C31" s="1" t="s">
        <v>162</v>
      </c>
      <c r="D31" s="218" t="s">
        <v>163</v>
      </c>
      <c r="E31" s="219">
        <v>22.72</v>
      </c>
      <c r="F31" s="184"/>
      <c r="G31" s="196">
        <v>40142</v>
      </c>
      <c r="H31" s="183" t="s">
        <v>259</v>
      </c>
      <c r="I31" s="196" t="s">
        <v>167</v>
      </c>
      <c r="J31" s="185">
        <v>0</v>
      </c>
      <c r="K31" s="185">
        <v>516.99</v>
      </c>
      <c r="L31" s="185">
        <v>646.23</v>
      </c>
      <c r="M31" s="185">
        <f t="shared" si="1"/>
        <v>516.99</v>
      </c>
      <c r="N31" s="186"/>
    </row>
    <row r="32" spans="1:14" x14ac:dyDescent="0.25">
      <c r="A32" s="216" t="s">
        <v>344</v>
      </c>
      <c r="B32" s="217" t="s">
        <v>345</v>
      </c>
      <c r="C32" s="1" t="s">
        <v>145</v>
      </c>
      <c r="D32" s="218" t="s">
        <v>163</v>
      </c>
      <c r="E32" s="219">
        <v>59.52</v>
      </c>
      <c r="F32" s="184"/>
      <c r="G32" s="196">
        <v>43612</v>
      </c>
      <c r="H32" s="183" t="s">
        <v>264</v>
      </c>
      <c r="I32" s="196" t="s">
        <v>212</v>
      </c>
      <c r="J32" s="185">
        <v>8.3000000000000007</v>
      </c>
      <c r="K32" s="185">
        <v>124.11</v>
      </c>
      <c r="L32" s="185">
        <v>165.51</v>
      </c>
      <c r="M32" s="185">
        <f t="shared" si="1"/>
        <v>132.41</v>
      </c>
      <c r="N32" s="186"/>
    </row>
    <row r="33" spans="1:14" x14ac:dyDescent="0.25">
      <c r="A33" s="216" t="s">
        <v>350</v>
      </c>
      <c r="B33" s="217" t="s">
        <v>351</v>
      </c>
      <c r="C33" s="1" t="s">
        <v>162</v>
      </c>
      <c r="D33" s="218" t="s">
        <v>163</v>
      </c>
      <c r="E33" s="219">
        <v>5.84</v>
      </c>
      <c r="F33" s="184"/>
      <c r="G33" s="196">
        <v>40058</v>
      </c>
      <c r="H33" s="183" t="s">
        <v>265</v>
      </c>
      <c r="I33" s="196" t="s">
        <v>212</v>
      </c>
      <c r="J33" s="185">
        <v>8.3000000000000007</v>
      </c>
      <c r="K33" s="185">
        <v>104.63</v>
      </c>
      <c r="L33" s="185">
        <v>141.16</v>
      </c>
      <c r="M33" s="185">
        <f t="shared" si="1"/>
        <v>112.92999999999999</v>
      </c>
      <c r="N33" s="186"/>
    </row>
    <row r="34" spans="1:14" x14ac:dyDescent="0.25">
      <c r="A34" s="216" t="s">
        <v>323</v>
      </c>
      <c r="B34" s="217" t="s">
        <v>324</v>
      </c>
      <c r="C34" s="1" t="s">
        <v>162</v>
      </c>
      <c r="D34" s="218" t="s">
        <v>301</v>
      </c>
      <c r="E34" s="219">
        <v>79.81</v>
      </c>
      <c r="F34" s="184"/>
      <c r="G34" s="196">
        <v>43700</v>
      </c>
      <c r="H34" s="183" t="s">
        <v>266</v>
      </c>
      <c r="I34" s="196" t="s">
        <v>212</v>
      </c>
      <c r="J34" s="185">
        <v>3.02</v>
      </c>
      <c r="K34" s="185">
        <v>16.28</v>
      </c>
      <c r="L34" s="185">
        <v>24.12</v>
      </c>
      <c r="M34" s="185">
        <f t="shared" si="1"/>
        <v>19.3</v>
      </c>
      <c r="N34" s="186"/>
    </row>
    <row r="35" spans="1:14" x14ac:dyDescent="0.25">
      <c r="A35" s="216" t="s">
        <v>359</v>
      </c>
      <c r="B35" s="217" t="s">
        <v>360</v>
      </c>
      <c r="C35" s="1" t="s">
        <v>145</v>
      </c>
      <c r="D35" s="218" t="s">
        <v>163</v>
      </c>
      <c r="E35" s="219">
        <v>1.65</v>
      </c>
      <c r="F35" s="184"/>
      <c r="G35" s="196">
        <v>43155</v>
      </c>
      <c r="H35" s="183" t="s">
        <v>267</v>
      </c>
      <c r="I35" s="196" t="s">
        <v>151</v>
      </c>
      <c r="J35" s="185">
        <v>343.24</v>
      </c>
      <c r="K35" s="185">
        <v>354.63</v>
      </c>
      <c r="L35" s="185">
        <v>872.33</v>
      </c>
      <c r="M35" s="185">
        <f t="shared" si="1"/>
        <v>697.87</v>
      </c>
      <c r="N35" s="186"/>
    </row>
    <row r="36" spans="1:14" x14ac:dyDescent="0.25">
      <c r="A36" s="216" t="s">
        <v>362</v>
      </c>
      <c r="B36" s="217" t="s">
        <v>363</v>
      </c>
      <c r="C36" s="1" t="s">
        <v>164</v>
      </c>
      <c r="D36" s="218" t="s">
        <v>163</v>
      </c>
      <c r="E36" s="219">
        <v>152.47999999999999</v>
      </c>
      <c r="F36" s="184"/>
      <c r="G36" s="196">
        <v>43153</v>
      </c>
      <c r="H36" s="183" t="s">
        <v>269</v>
      </c>
      <c r="I36" s="196" t="s">
        <v>151</v>
      </c>
      <c r="J36" s="185">
        <v>334.56</v>
      </c>
      <c r="K36" s="185">
        <v>387.69</v>
      </c>
      <c r="L36" s="185">
        <v>902.81</v>
      </c>
      <c r="M36" s="185">
        <f t="shared" si="1"/>
        <v>722.25</v>
      </c>
      <c r="N36" s="186"/>
    </row>
    <row r="37" spans="1:14" x14ac:dyDescent="0.25">
      <c r="A37" s="216" t="s">
        <v>364</v>
      </c>
      <c r="B37" s="217" t="s">
        <v>365</v>
      </c>
      <c r="C37" s="1" t="s">
        <v>164</v>
      </c>
      <c r="D37" s="218" t="s">
        <v>163</v>
      </c>
      <c r="E37" s="219">
        <v>483.48</v>
      </c>
      <c r="F37" s="184"/>
      <c r="G37" s="196">
        <v>43154</v>
      </c>
      <c r="H37" s="183" t="s">
        <v>270</v>
      </c>
      <c r="I37" s="196" t="s">
        <v>271</v>
      </c>
      <c r="J37" s="185">
        <v>343.24</v>
      </c>
      <c r="K37" s="185">
        <v>354.63</v>
      </c>
      <c r="L37" s="185">
        <v>872.33</v>
      </c>
      <c r="M37" s="185">
        <f t="shared" si="1"/>
        <v>697.87</v>
      </c>
      <c r="N37" s="186"/>
    </row>
    <row r="38" spans="1:14" x14ac:dyDescent="0.25">
      <c r="A38" s="216" t="s">
        <v>366</v>
      </c>
      <c r="B38" s="217" t="s">
        <v>367</v>
      </c>
      <c r="C38" s="1" t="s">
        <v>164</v>
      </c>
      <c r="D38" s="218" t="s">
        <v>163</v>
      </c>
      <c r="E38" s="219">
        <v>184.86</v>
      </c>
      <c r="F38" s="184"/>
      <c r="G38" s="196">
        <v>42574</v>
      </c>
      <c r="H38" s="183" t="s">
        <v>273</v>
      </c>
      <c r="I38" s="196" t="s">
        <v>145</v>
      </c>
      <c r="J38" s="185">
        <v>42.47</v>
      </c>
      <c r="K38" s="185">
        <v>40.590000000000003</v>
      </c>
      <c r="L38" s="185">
        <v>103.82</v>
      </c>
      <c r="M38" s="185">
        <f t="shared" si="1"/>
        <v>83.06</v>
      </c>
      <c r="N38" s="186"/>
    </row>
    <row r="39" spans="1:14" x14ac:dyDescent="0.25">
      <c r="A39" s="216" t="s">
        <v>368</v>
      </c>
      <c r="B39" s="217" t="s">
        <v>369</v>
      </c>
      <c r="C39" s="1" t="s">
        <v>164</v>
      </c>
      <c r="D39" s="218" t="s">
        <v>163</v>
      </c>
      <c r="E39" s="219">
        <v>151.19999999999999</v>
      </c>
      <c r="F39" s="184"/>
      <c r="G39" s="196">
        <v>42515</v>
      </c>
      <c r="H39" s="183" t="s">
        <v>278</v>
      </c>
      <c r="I39" s="196" t="s">
        <v>145</v>
      </c>
      <c r="J39" s="185">
        <v>5.75</v>
      </c>
      <c r="K39" s="185">
        <v>0</v>
      </c>
      <c r="L39" s="185">
        <v>7.18</v>
      </c>
      <c r="M39" s="185">
        <f t="shared" si="1"/>
        <v>5.75</v>
      </c>
      <c r="N39" s="186"/>
    </row>
    <row r="40" spans="1:14" x14ac:dyDescent="0.25">
      <c r="A40" s="212">
        <v>37401</v>
      </c>
      <c r="B40" s="213" t="s">
        <v>376</v>
      </c>
      <c r="C40" s="1" t="s">
        <v>164</v>
      </c>
      <c r="D40" s="214" t="s">
        <v>377</v>
      </c>
      <c r="E40" s="215">
        <v>64.22</v>
      </c>
      <c r="F40" s="184"/>
      <c r="G40" s="182">
        <v>42850</v>
      </c>
      <c r="H40" s="183" t="s">
        <v>283</v>
      </c>
      <c r="I40" s="178" t="s">
        <v>151</v>
      </c>
      <c r="J40" s="185">
        <v>15.1</v>
      </c>
      <c r="K40" s="185">
        <v>34.5</v>
      </c>
      <c r="L40" s="185">
        <v>62</v>
      </c>
      <c r="M40" s="185">
        <f t="shared" si="1"/>
        <v>49.6</v>
      </c>
      <c r="N40" s="186"/>
    </row>
    <row r="41" spans="1:14" x14ac:dyDescent="0.25">
      <c r="A41" s="212">
        <v>11703</v>
      </c>
      <c r="B41" s="213" t="s">
        <v>378</v>
      </c>
      <c r="C41" s="1" t="s">
        <v>164</v>
      </c>
      <c r="D41" s="214" t="s">
        <v>379</v>
      </c>
      <c r="E41" s="215">
        <v>43.6</v>
      </c>
      <c r="F41" s="184"/>
      <c r="G41" s="196">
        <v>42558</v>
      </c>
      <c r="H41" s="183" t="s">
        <v>284</v>
      </c>
      <c r="I41" s="196" t="s">
        <v>22</v>
      </c>
      <c r="J41" s="185">
        <v>15.1</v>
      </c>
      <c r="K41" s="185">
        <v>0</v>
      </c>
      <c r="L41" s="185">
        <v>18.87</v>
      </c>
      <c r="M41" s="185">
        <f t="shared" si="1"/>
        <v>15.1</v>
      </c>
      <c r="N41" s="186"/>
    </row>
    <row r="42" spans="1:14" x14ac:dyDescent="0.25">
      <c r="A42" s="212">
        <v>11758</v>
      </c>
      <c r="B42" s="213" t="s">
        <v>381</v>
      </c>
      <c r="C42" s="1" t="s">
        <v>164</v>
      </c>
      <c r="D42" s="214" t="s">
        <v>377</v>
      </c>
      <c r="E42" s="215">
        <v>61.69</v>
      </c>
      <c r="F42" s="184"/>
      <c r="G42" s="182">
        <v>42806</v>
      </c>
      <c r="H42" s="183" t="s">
        <v>286</v>
      </c>
      <c r="I42" s="178" t="s">
        <v>145</v>
      </c>
      <c r="J42" s="185">
        <v>48.44</v>
      </c>
      <c r="K42" s="185">
        <v>17.96</v>
      </c>
      <c r="L42" s="185">
        <v>83</v>
      </c>
      <c r="M42" s="185">
        <f t="shared" si="1"/>
        <v>66.400000000000006</v>
      </c>
      <c r="N42" s="186"/>
    </row>
    <row r="43" spans="1:14" ht="30" x14ac:dyDescent="0.25">
      <c r="A43" s="28" t="s">
        <v>403</v>
      </c>
      <c r="B43" s="204" t="s">
        <v>404</v>
      </c>
      <c r="C43" s="173" t="s">
        <v>164</v>
      </c>
      <c r="D43" s="208" t="s">
        <v>163</v>
      </c>
      <c r="E43" s="176">
        <v>24.97</v>
      </c>
      <c r="F43" s="184"/>
      <c r="G43" s="177">
        <v>40222</v>
      </c>
      <c r="H43" s="198" t="s">
        <v>288</v>
      </c>
      <c r="I43" s="28" t="s">
        <v>167</v>
      </c>
      <c r="J43" s="185">
        <v>26.56</v>
      </c>
      <c r="K43" s="185">
        <v>33.799999999999997</v>
      </c>
      <c r="L43" s="185">
        <v>75.45</v>
      </c>
      <c r="M43" s="185">
        <f t="shared" si="1"/>
        <v>60.36</v>
      </c>
      <c r="N43" s="186"/>
    </row>
    <row r="44" spans="1:14" x14ac:dyDescent="0.25">
      <c r="A44" s="178" t="s">
        <v>405</v>
      </c>
      <c r="B44" s="179" t="s">
        <v>406</v>
      </c>
      <c r="C44" s="173" t="s">
        <v>164</v>
      </c>
      <c r="D44" s="174" t="s">
        <v>163</v>
      </c>
      <c r="E44" s="175">
        <v>177.2</v>
      </c>
      <c r="F44" s="184"/>
      <c r="G44" s="196">
        <v>42729</v>
      </c>
      <c r="H44" s="183" t="s">
        <v>318</v>
      </c>
      <c r="I44" s="196" t="s">
        <v>145</v>
      </c>
      <c r="J44" s="185">
        <v>10.23</v>
      </c>
      <c r="K44" s="185">
        <v>30.41</v>
      </c>
      <c r="L44" s="185">
        <v>50.8</v>
      </c>
      <c r="M44" s="185">
        <f t="shared" si="1"/>
        <v>40.64</v>
      </c>
      <c r="N44" s="186"/>
    </row>
    <row r="45" spans="1:14" x14ac:dyDescent="0.25">
      <c r="A45" s="216" t="s">
        <v>414</v>
      </c>
      <c r="B45" s="217" t="s">
        <v>415</v>
      </c>
      <c r="C45" s="1" t="s">
        <v>145</v>
      </c>
      <c r="D45" s="218" t="s">
        <v>163</v>
      </c>
      <c r="E45" s="219">
        <v>2.94</v>
      </c>
      <c r="F45" s="184"/>
      <c r="G45" s="196">
        <v>42751</v>
      </c>
      <c r="H45" s="183" t="s">
        <v>325</v>
      </c>
      <c r="I45" s="196" t="s">
        <v>162</v>
      </c>
      <c r="J45" s="185">
        <v>18.98</v>
      </c>
      <c r="K45" s="185">
        <v>24.04</v>
      </c>
      <c r="L45" s="185">
        <v>53.77</v>
      </c>
      <c r="M45" s="185">
        <f t="shared" si="1"/>
        <v>43.019999999999996</v>
      </c>
      <c r="N45" s="186"/>
    </row>
    <row r="46" spans="1:14" x14ac:dyDescent="0.25">
      <c r="A46" s="216" t="s">
        <v>416</v>
      </c>
      <c r="B46" s="217" t="s">
        <v>417</v>
      </c>
      <c r="C46" s="1" t="s">
        <v>145</v>
      </c>
      <c r="D46" s="218" t="s">
        <v>163</v>
      </c>
      <c r="E46" s="219">
        <v>6.33</v>
      </c>
      <c r="F46" s="184"/>
      <c r="G46" s="196">
        <v>42782</v>
      </c>
      <c r="H46" s="183" t="s">
        <v>326</v>
      </c>
      <c r="I46" s="196" t="s">
        <v>145</v>
      </c>
      <c r="J46" s="185">
        <v>5.3</v>
      </c>
      <c r="K46" s="185">
        <v>7.62</v>
      </c>
      <c r="L46" s="185">
        <v>16.149999999999999</v>
      </c>
      <c r="M46" s="185">
        <f t="shared" si="1"/>
        <v>12.92</v>
      </c>
      <c r="N46" s="186"/>
    </row>
    <row r="47" spans="1:14" x14ac:dyDescent="0.25">
      <c r="A47" s="178" t="s">
        <v>436</v>
      </c>
      <c r="B47" s="179" t="s">
        <v>437</v>
      </c>
      <c r="C47" s="173" t="s">
        <v>145</v>
      </c>
      <c r="D47" s="174" t="s">
        <v>163</v>
      </c>
      <c r="E47" s="175">
        <v>86.45</v>
      </c>
      <c r="F47" s="184"/>
      <c r="G47" s="182">
        <v>42802</v>
      </c>
      <c r="H47" s="183" t="s">
        <v>327</v>
      </c>
      <c r="I47" s="182" t="s">
        <v>145</v>
      </c>
      <c r="J47" s="185">
        <v>1.0900000000000001</v>
      </c>
      <c r="K47" s="185">
        <v>1.17</v>
      </c>
      <c r="L47" s="185">
        <v>2.82</v>
      </c>
      <c r="M47" s="185">
        <f t="shared" si="1"/>
        <v>2.2599999999999998</v>
      </c>
      <c r="N47" s="186"/>
    </row>
    <row r="48" spans="1:14" x14ac:dyDescent="0.25">
      <c r="A48" s="216" t="s">
        <v>439</v>
      </c>
      <c r="B48" s="217" t="s">
        <v>440</v>
      </c>
      <c r="C48" s="1" t="s">
        <v>162</v>
      </c>
      <c r="D48" s="218" t="s">
        <v>301</v>
      </c>
      <c r="E48" s="219">
        <v>58.34</v>
      </c>
      <c r="G48" s="182">
        <v>42781</v>
      </c>
      <c r="H48" s="183" t="s">
        <v>329</v>
      </c>
      <c r="I48" s="182" t="s">
        <v>145</v>
      </c>
      <c r="J48" s="185">
        <v>11.75</v>
      </c>
      <c r="K48" s="185">
        <v>10.99</v>
      </c>
      <c r="L48" s="185">
        <v>28.42</v>
      </c>
      <c r="M48" s="185">
        <f t="shared" si="1"/>
        <v>22.740000000000002</v>
      </c>
      <c r="N48" s="184"/>
    </row>
    <row r="49" spans="1:14" x14ac:dyDescent="0.25">
      <c r="A49" s="178" t="s">
        <v>441</v>
      </c>
      <c r="B49" s="179" t="s">
        <v>442</v>
      </c>
      <c r="C49" s="173" t="s">
        <v>164</v>
      </c>
      <c r="D49" s="174" t="s">
        <v>163</v>
      </c>
      <c r="E49" s="175">
        <v>701.21</v>
      </c>
      <c r="G49" s="182">
        <v>43865</v>
      </c>
      <c r="H49" s="183" t="s">
        <v>332</v>
      </c>
      <c r="I49" s="182" t="s">
        <v>162</v>
      </c>
      <c r="J49" s="185">
        <v>18.95</v>
      </c>
      <c r="K49" s="185">
        <v>74.11</v>
      </c>
      <c r="L49" s="185">
        <v>116.32</v>
      </c>
      <c r="M49" s="185">
        <f t="shared" si="1"/>
        <v>93.06</v>
      </c>
      <c r="N49" s="184"/>
    </row>
    <row r="50" spans="1:14" x14ac:dyDescent="0.25">
      <c r="A50" s="216" t="s">
        <v>444</v>
      </c>
      <c r="B50" s="217" t="s">
        <v>445</v>
      </c>
      <c r="C50" s="1" t="s">
        <v>164</v>
      </c>
      <c r="D50" s="218" t="s">
        <v>163</v>
      </c>
      <c r="E50" s="219">
        <v>417.21</v>
      </c>
      <c r="G50" s="182">
        <v>42590</v>
      </c>
      <c r="H50" s="183" t="s">
        <v>333</v>
      </c>
      <c r="I50" s="182" t="s">
        <v>151</v>
      </c>
      <c r="J50" s="185">
        <v>52.85</v>
      </c>
      <c r="K50" s="185">
        <v>0</v>
      </c>
      <c r="L50" s="185">
        <v>66.06</v>
      </c>
      <c r="M50" s="185">
        <f t="shared" si="1"/>
        <v>52.85</v>
      </c>
      <c r="N50" s="184"/>
    </row>
    <row r="51" spans="1:14" x14ac:dyDescent="0.25">
      <c r="A51" s="178" t="s">
        <v>368</v>
      </c>
      <c r="B51" s="179" t="s">
        <v>369</v>
      </c>
      <c r="C51" s="173" t="s">
        <v>164</v>
      </c>
      <c r="D51" s="174" t="s">
        <v>163</v>
      </c>
      <c r="E51" s="175">
        <v>151.19999999999999</v>
      </c>
      <c r="G51" s="182">
        <v>42590</v>
      </c>
      <c r="H51" s="183" t="s">
        <v>334</v>
      </c>
      <c r="I51" s="182" t="s">
        <v>271</v>
      </c>
      <c r="J51" s="185">
        <v>52.85</v>
      </c>
      <c r="K51" s="185">
        <v>0</v>
      </c>
      <c r="L51" s="185">
        <v>66.06</v>
      </c>
      <c r="M51" s="185">
        <f t="shared" si="1"/>
        <v>52.85</v>
      </c>
    </row>
    <row r="52" spans="1:14" x14ac:dyDescent="0.25">
      <c r="A52" s="216" t="s">
        <v>366</v>
      </c>
      <c r="B52" s="217" t="s">
        <v>367</v>
      </c>
      <c r="C52" s="1" t="s">
        <v>164</v>
      </c>
      <c r="D52" s="218" t="s">
        <v>163</v>
      </c>
      <c r="E52" s="219">
        <v>184.86</v>
      </c>
      <c r="G52" s="182">
        <v>42726</v>
      </c>
      <c r="H52" s="183" t="s">
        <v>335</v>
      </c>
      <c r="I52" s="182" t="s">
        <v>145</v>
      </c>
      <c r="J52" s="185">
        <v>15.9</v>
      </c>
      <c r="K52" s="185">
        <v>23.4</v>
      </c>
      <c r="L52" s="185">
        <v>49.12</v>
      </c>
      <c r="M52" s="185">
        <f t="shared" si="1"/>
        <v>39.299999999999997</v>
      </c>
    </row>
    <row r="53" spans="1:14" x14ac:dyDescent="0.25">
      <c r="A53" s="178" t="s">
        <v>453</v>
      </c>
      <c r="B53" s="179" t="s">
        <v>454</v>
      </c>
      <c r="C53" s="173" t="s">
        <v>164</v>
      </c>
      <c r="D53" s="174" t="s">
        <v>163</v>
      </c>
      <c r="E53" s="175">
        <v>206.19</v>
      </c>
      <c r="G53" s="182">
        <v>42665</v>
      </c>
      <c r="H53" s="183" t="s">
        <v>336</v>
      </c>
      <c r="I53" s="182" t="s">
        <v>145</v>
      </c>
      <c r="J53" s="185">
        <v>26.53</v>
      </c>
      <c r="K53" s="185">
        <v>26.93</v>
      </c>
      <c r="L53" s="185">
        <v>66.819999999999993</v>
      </c>
      <c r="M53" s="185">
        <f t="shared" si="1"/>
        <v>53.46</v>
      </c>
    </row>
    <row r="54" spans="1:14" x14ac:dyDescent="0.25">
      <c r="A54" s="216" t="s">
        <v>455</v>
      </c>
      <c r="B54" s="217" t="s">
        <v>456</v>
      </c>
      <c r="C54" s="1" t="s">
        <v>164</v>
      </c>
      <c r="D54" s="218" t="s">
        <v>163</v>
      </c>
      <c r="E54" s="219">
        <v>187.22</v>
      </c>
      <c r="G54" s="182">
        <v>42892</v>
      </c>
      <c r="H54" s="183" t="s">
        <v>340</v>
      </c>
      <c r="I54" s="182" t="s">
        <v>145</v>
      </c>
      <c r="J54" s="185">
        <v>56.86</v>
      </c>
      <c r="K54" s="185">
        <v>378.71</v>
      </c>
      <c r="L54" s="185">
        <v>544.46</v>
      </c>
      <c r="M54" s="185">
        <f t="shared" si="1"/>
        <v>435.57</v>
      </c>
    </row>
    <row r="55" spans="1:14" x14ac:dyDescent="0.25">
      <c r="A55" s="178" t="s">
        <v>460</v>
      </c>
      <c r="B55" s="179" t="s">
        <v>461</v>
      </c>
      <c r="C55" s="173" t="s">
        <v>164</v>
      </c>
      <c r="D55" s="174" t="s">
        <v>301</v>
      </c>
      <c r="E55" s="175">
        <v>157.61000000000001</v>
      </c>
      <c r="G55" s="182">
        <v>43239</v>
      </c>
      <c r="H55" s="183" t="s">
        <v>341</v>
      </c>
      <c r="I55" s="182" t="s">
        <v>151</v>
      </c>
      <c r="J55" s="185">
        <v>30.2</v>
      </c>
      <c r="K55" s="185">
        <v>118</v>
      </c>
      <c r="L55" s="185">
        <v>185.25</v>
      </c>
      <c r="M55" s="185">
        <f t="shared" si="1"/>
        <v>148.19999999999999</v>
      </c>
    </row>
    <row r="56" spans="1:14" x14ac:dyDescent="0.25">
      <c r="A56" s="216" t="s">
        <v>483</v>
      </c>
      <c r="B56" s="217" t="s">
        <v>484</v>
      </c>
      <c r="C56" s="1" t="s">
        <v>164</v>
      </c>
      <c r="D56" s="218" t="s">
        <v>163</v>
      </c>
      <c r="E56" s="219">
        <v>130.13</v>
      </c>
      <c r="G56" s="182">
        <v>42765</v>
      </c>
      <c r="H56" s="183" t="s">
        <v>287</v>
      </c>
      <c r="I56" s="182" t="s">
        <v>145</v>
      </c>
      <c r="J56" s="185">
        <v>23.48</v>
      </c>
      <c r="K56" s="185">
        <v>5.85</v>
      </c>
      <c r="L56" s="185">
        <v>36.659999999999997</v>
      </c>
      <c r="M56" s="185">
        <f t="shared" si="1"/>
        <v>29.33</v>
      </c>
    </row>
    <row r="57" spans="1:14" x14ac:dyDescent="0.25">
      <c r="A57" s="178" t="s">
        <v>496</v>
      </c>
      <c r="B57" s="179" t="s">
        <v>497</v>
      </c>
      <c r="C57" s="173" t="s">
        <v>164</v>
      </c>
      <c r="D57" s="174" t="s">
        <v>301</v>
      </c>
      <c r="E57" s="175">
        <v>245.03</v>
      </c>
      <c r="G57" s="177">
        <v>40222</v>
      </c>
      <c r="H57" s="181" t="s">
        <v>347</v>
      </c>
      <c r="I57" s="177" t="s">
        <v>167</v>
      </c>
      <c r="J57" s="185">
        <v>26.56</v>
      </c>
      <c r="K57" s="185">
        <v>33.799999999999997</v>
      </c>
      <c r="L57" s="185">
        <v>75.45</v>
      </c>
      <c r="M57" s="185">
        <f t="shared" si="1"/>
        <v>60.36</v>
      </c>
      <c r="N57" s="165"/>
    </row>
    <row r="58" spans="1:14" x14ac:dyDescent="0.25">
      <c r="A58" s="216" t="s">
        <v>498</v>
      </c>
      <c r="B58" s="217" t="s">
        <v>499</v>
      </c>
      <c r="C58" s="1" t="s">
        <v>164</v>
      </c>
      <c r="D58" s="218" t="s">
        <v>301</v>
      </c>
      <c r="E58" s="219">
        <v>1290.2</v>
      </c>
      <c r="G58" s="182">
        <v>43268</v>
      </c>
      <c r="H58" s="183" t="s">
        <v>352</v>
      </c>
      <c r="I58" s="182" t="s">
        <v>145</v>
      </c>
      <c r="J58" s="185">
        <v>17.48</v>
      </c>
      <c r="K58" s="185">
        <v>19.04</v>
      </c>
      <c r="L58" s="185">
        <v>45.65</v>
      </c>
      <c r="M58" s="185">
        <f t="shared" si="1"/>
        <v>36.519999999999996</v>
      </c>
    </row>
    <row r="59" spans="1:14" x14ac:dyDescent="0.25">
      <c r="A59" s="178" t="s">
        <v>500</v>
      </c>
      <c r="B59" s="179" t="s">
        <v>501</v>
      </c>
      <c r="C59" s="173" t="s">
        <v>162</v>
      </c>
      <c r="D59" s="174" t="s">
        <v>163</v>
      </c>
      <c r="E59" s="175">
        <v>25.19</v>
      </c>
      <c r="G59" s="182">
        <v>47984</v>
      </c>
      <c r="H59" s="183" t="s">
        <v>355</v>
      </c>
      <c r="I59" s="182" t="s">
        <v>356</v>
      </c>
      <c r="J59" s="185">
        <v>1.97</v>
      </c>
      <c r="K59" s="185">
        <v>2.58</v>
      </c>
      <c r="L59" s="185">
        <v>5.68</v>
      </c>
      <c r="M59" s="185">
        <f t="shared" si="1"/>
        <v>4.55</v>
      </c>
    </row>
    <row r="60" spans="1:14" x14ac:dyDescent="0.25">
      <c r="A60" s="216" t="s">
        <v>504</v>
      </c>
      <c r="B60" s="217" t="s">
        <v>505</v>
      </c>
      <c r="C60" s="1" t="s">
        <v>162</v>
      </c>
      <c r="D60" s="218" t="s">
        <v>163</v>
      </c>
      <c r="E60" s="219">
        <v>67.989999999999995</v>
      </c>
      <c r="G60" s="182">
        <v>40208</v>
      </c>
      <c r="H60" s="183" t="s">
        <v>357</v>
      </c>
      <c r="I60" s="182" t="s">
        <v>145</v>
      </c>
      <c r="J60" s="185">
        <v>58.49</v>
      </c>
      <c r="K60" s="185">
        <v>19.12</v>
      </c>
      <c r="L60" s="185">
        <v>97.01</v>
      </c>
      <c r="M60" s="185">
        <f t="shared" si="1"/>
        <v>77.61</v>
      </c>
    </row>
    <row r="61" spans="1:14" x14ac:dyDescent="0.25">
      <c r="A61" s="178" t="s">
        <v>506</v>
      </c>
      <c r="B61" s="179" t="s">
        <v>507</v>
      </c>
      <c r="C61" s="173" t="s">
        <v>162</v>
      </c>
      <c r="D61" s="174" t="s">
        <v>163</v>
      </c>
      <c r="E61" s="175">
        <v>28.1</v>
      </c>
      <c r="G61" s="182">
        <v>40089</v>
      </c>
      <c r="H61" s="183" t="s">
        <v>358</v>
      </c>
      <c r="I61" s="182" t="s">
        <v>151</v>
      </c>
      <c r="J61" s="185">
        <v>1300.3900000000001</v>
      </c>
      <c r="K61" s="185">
        <v>1617.79</v>
      </c>
      <c r="L61" s="185">
        <v>3647.72</v>
      </c>
      <c r="M61" s="185">
        <f t="shared" si="1"/>
        <v>2918.1800000000003</v>
      </c>
    </row>
    <row r="62" spans="1:14" x14ac:dyDescent="0.25">
      <c r="A62" s="216" t="s">
        <v>508</v>
      </c>
      <c r="B62" s="217" t="s">
        <v>509</v>
      </c>
      <c r="C62" s="1" t="s">
        <v>162</v>
      </c>
      <c r="D62" s="218" t="s">
        <v>163</v>
      </c>
      <c r="E62" s="219">
        <v>42.94</v>
      </c>
      <c r="G62" s="182">
        <v>43902</v>
      </c>
      <c r="H62" s="183" t="s">
        <v>370</v>
      </c>
      <c r="I62" s="182" t="s">
        <v>145</v>
      </c>
      <c r="J62" s="185">
        <v>3.77</v>
      </c>
      <c r="K62" s="185">
        <v>0</v>
      </c>
      <c r="L62" s="185">
        <v>4.71</v>
      </c>
      <c r="M62" s="185">
        <f t="shared" si="1"/>
        <v>3.77</v>
      </c>
    </row>
    <row r="63" spans="1:14" s="165" customFormat="1" ht="30" x14ac:dyDescent="0.25">
      <c r="A63" s="28" t="s">
        <v>244</v>
      </c>
      <c r="B63" s="204" t="s">
        <v>245</v>
      </c>
      <c r="C63" s="173" t="s">
        <v>162</v>
      </c>
      <c r="D63" s="208" t="s">
        <v>163</v>
      </c>
      <c r="E63" s="176">
        <v>54.87</v>
      </c>
      <c r="G63" s="177">
        <v>43919</v>
      </c>
      <c r="H63" s="181" t="s">
        <v>371</v>
      </c>
      <c r="I63" s="177" t="s">
        <v>22</v>
      </c>
      <c r="J63" s="185">
        <v>676.15</v>
      </c>
      <c r="K63" s="185">
        <v>908.38</v>
      </c>
      <c r="L63" s="185">
        <v>1980.66</v>
      </c>
      <c r="M63" s="185">
        <f t="shared" si="1"/>
        <v>1584.53</v>
      </c>
    </row>
    <row r="64" spans="1:14" x14ac:dyDescent="0.25">
      <c r="A64" s="216" t="s">
        <v>513</v>
      </c>
      <c r="B64" s="217" t="s">
        <v>514</v>
      </c>
      <c r="C64" s="1" t="s">
        <v>164</v>
      </c>
      <c r="D64" s="218" t="s">
        <v>163</v>
      </c>
      <c r="E64" s="219">
        <v>651.72</v>
      </c>
      <c r="G64" s="182">
        <v>42768</v>
      </c>
      <c r="H64" s="183" t="s">
        <v>373</v>
      </c>
      <c r="I64" s="182" t="s">
        <v>145</v>
      </c>
      <c r="J64" s="185">
        <v>56.86</v>
      </c>
      <c r="K64" s="185">
        <v>282.10000000000002</v>
      </c>
      <c r="L64" s="185">
        <v>423.7</v>
      </c>
      <c r="M64" s="185">
        <f t="shared" si="1"/>
        <v>338.96000000000004</v>
      </c>
    </row>
    <row r="65" spans="1:13" x14ac:dyDescent="0.25">
      <c r="A65" s="178" t="s">
        <v>520</v>
      </c>
      <c r="B65" s="179" t="s">
        <v>521</v>
      </c>
      <c r="C65" s="173" t="s">
        <v>164</v>
      </c>
      <c r="D65" s="174" t="s">
        <v>163</v>
      </c>
      <c r="E65" s="175">
        <v>354.12</v>
      </c>
      <c r="G65" s="182">
        <v>42585</v>
      </c>
      <c r="H65" s="183" t="s">
        <v>407</v>
      </c>
      <c r="I65" s="182" t="s">
        <v>151</v>
      </c>
      <c r="J65" s="185">
        <v>22.65</v>
      </c>
      <c r="K65" s="185">
        <v>30.19</v>
      </c>
      <c r="L65" s="185">
        <v>66.05</v>
      </c>
      <c r="M65" s="185">
        <f t="shared" si="1"/>
        <v>52.84</v>
      </c>
    </row>
    <row r="66" spans="1:13" x14ac:dyDescent="0.25">
      <c r="A66" s="216" t="s">
        <v>556</v>
      </c>
      <c r="B66" s="217" t="s">
        <v>557</v>
      </c>
      <c r="C66" s="1" t="s">
        <v>164</v>
      </c>
      <c r="D66" s="218" t="s">
        <v>163</v>
      </c>
      <c r="E66" s="219">
        <v>179.4</v>
      </c>
      <c r="G66" s="182">
        <v>40211</v>
      </c>
      <c r="H66" s="183" t="s">
        <v>413</v>
      </c>
      <c r="I66" s="182" t="s">
        <v>257</v>
      </c>
      <c r="J66" s="185">
        <v>6.04</v>
      </c>
      <c r="K66" s="185">
        <v>0</v>
      </c>
      <c r="L66" s="185">
        <v>7.55</v>
      </c>
      <c r="M66" s="185">
        <f t="shared" si="1"/>
        <v>6.04</v>
      </c>
    </row>
    <row r="67" spans="1:13" x14ac:dyDescent="0.25">
      <c r="A67" s="178" t="s">
        <v>566</v>
      </c>
      <c r="B67" s="179" t="s">
        <v>567</v>
      </c>
      <c r="C67" s="173" t="s">
        <v>164</v>
      </c>
      <c r="D67" s="174" t="s">
        <v>163</v>
      </c>
      <c r="E67" s="175">
        <v>432.81</v>
      </c>
      <c r="G67" s="182">
        <v>42526</v>
      </c>
      <c r="H67" s="183" t="s">
        <v>418</v>
      </c>
      <c r="I67" s="182" t="s">
        <v>145</v>
      </c>
      <c r="J67" s="185">
        <v>21.14</v>
      </c>
      <c r="K67" s="185">
        <v>0</v>
      </c>
      <c r="L67" s="185">
        <v>26.42</v>
      </c>
      <c r="M67" s="185">
        <f t="shared" si="1"/>
        <v>21.14</v>
      </c>
    </row>
    <row r="68" spans="1:13" s="165" customFormat="1" ht="30" x14ac:dyDescent="0.25">
      <c r="A68" s="14" t="s">
        <v>244</v>
      </c>
      <c r="B68" s="228" t="s">
        <v>245</v>
      </c>
      <c r="C68" s="1" t="s">
        <v>162</v>
      </c>
      <c r="D68" s="229" t="s">
        <v>163</v>
      </c>
      <c r="E68" s="230">
        <v>54.87</v>
      </c>
      <c r="G68" s="177">
        <v>47980</v>
      </c>
      <c r="H68" s="181" t="s">
        <v>420</v>
      </c>
      <c r="I68" s="177" t="s">
        <v>419</v>
      </c>
      <c r="J68" s="185">
        <v>18.95</v>
      </c>
      <c r="K68" s="185">
        <v>456.72</v>
      </c>
      <c r="L68" s="185">
        <v>594.58000000000004</v>
      </c>
      <c r="M68" s="185">
        <f t="shared" si="1"/>
        <v>475.67</v>
      </c>
    </row>
    <row r="69" spans="1:13" x14ac:dyDescent="0.25">
      <c r="A69" s="178" t="s">
        <v>584</v>
      </c>
      <c r="B69" s="179" t="s">
        <v>585</v>
      </c>
      <c r="C69" s="173" t="s">
        <v>145</v>
      </c>
      <c r="D69" s="174" t="s">
        <v>163</v>
      </c>
      <c r="E69" s="175">
        <v>66.87</v>
      </c>
      <c r="G69" s="182">
        <v>40064</v>
      </c>
      <c r="H69" s="183" t="s">
        <v>422</v>
      </c>
      <c r="I69" s="182" t="s">
        <v>423</v>
      </c>
      <c r="J69" s="185">
        <v>18.739999999999998</v>
      </c>
      <c r="K69" s="185">
        <v>24.83</v>
      </c>
      <c r="L69" s="185">
        <v>54.46</v>
      </c>
      <c r="M69" s="185">
        <f t="shared" si="1"/>
        <v>43.569999999999993</v>
      </c>
    </row>
    <row r="70" spans="1:13" x14ac:dyDescent="0.25">
      <c r="A70" s="216"/>
      <c r="B70" s="217"/>
      <c r="C70" s="1"/>
      <c r="D70" s="218"/>
      <c r="E70" s="219"/>
      <c r="G70" s="182">
        <v>43382</v>
      </c>
      <c r="H70" s="183" t="s">
        <v>446</v>
      </c>
      <c r="I70" s="182" t="s">
        <v>22</v>
      </c>
      <c r="J70" s="185">
        <v>3.14</v>
      </c>
      <c r="K70" s="185">
        <v>8.34</v>
      </c>
      <c r="L70" s="185">
        <v>14.35</v>
      </c>
      <c r="M70" s="185">
        <f t="shared" si="1"/>
        <v>11.48</v>
      </c>
    </row>
    <row r="71" spans="1:13" x14ac:dyDescent="0.25">
      <c r="G71" s="182">
        <v>43384</v>
      </c>
      <c r="H71" s="183" t="s">
        <v>447</v>
      </c>
      <c r="I71" s="182" t="s">
        <v>22</v>
      </c>
      <c r="J71" s="185">
        <v>9.85</v>
      </c>
      <c r="K71" s="185">
        <v>8.34</v>
      </c>
      <c r="L71" s="185">
        <v>22.73</v>
      </c>
      <c r="M71" s="185">
        <f t="shared" si="1"/>
        <v>18.189999999999998</v>
      </c>
    </row>
    <row r="72" spans="1:13" x14ac:dyDescent="0.25">
      <c r="G72" s="182">
        <v>43385</v>
      </c>
      <c r="H72" s="183" t="s">
        <v>448</v>
      </c>
      <c r="I72" s="182" t="s">
        <v>22</v>
      </c>
      <c r="J72" s="185">
        <v>9.85</v>
      </c>
      <c r="K72" s="185">
        <v>11.83</v>
      </c>
      <c r="L72" s="185">
        <v>27.1</v>
      </c>
      <c r="M72" s="185">
        <f t="shared" si="1"/>
        <v>21.68</v>
      </c>
    </row>
    <row r="73" spans="1:13" s="165" customFormat="1" ht="30" x14ac:dyDescent="0.25">
      <c r="C73" s="223"/>
      <c r="D73" s="224" t="s">
        <v>524</v>
      </c>
      <c r="E73" s="166"/>
      <c r="G73" s="177">
        <v>40165</v>
      </c>
      <c r="H73" s="181" t="s">
        <v>458</v>
      </c>
      <c r="I73" s="177" t="s">
        <v>22</v>
      </c>
      <c r="J73" s="185">
        <v>15.76</v>
      </c>
      <c r="K73" s="185">
        <v>160.15</v>
      </c>
      <c r="L73" s="185">
        <v>219.88</v>
      </c>
      <c r="M73" s="185">
        <f t="shared" si="1"/>
        <v>175.91</v>
      </c>
    </row>
    <row r="74" spans="1:13" x14ac:dyDescent="0.25">
      <c r="G74" s="182">
        <v>42932</v>
      </c>
      <c r="H74" s="183" t="s">
        <v>493</v>
      </c>
      <c r="I74" s="182" t="s">
        <v>22</v>
      </c>
      <c r="J74" s="185">
        <v>11.37</v>
      </c>
      <c r="K74" s="185">
        <v>62.45</v>
      </c>
      <c r="L74" s="185">
        <v>92.27</v>
      </c>
      <c r="M74" s="185">
        <f t="shared" si="1"/>
        <v>73.820000000000007</v>
      </c>
    </row>
    <row r="75" spans="1:13" x14ac:dyDescent="0.25">
      <c r="G75" s="182">
        <v>43029</v>
      </c>
      <c r="H75" s="183" t="s">
        <v>494</v>
      </c>
      <c r="I75" s="182" t="s">
        <v>22</v>
      </c>
      <c r="J75" s="185">
        <v>151.63999999999999</v>
      </c>
      <c r="K75" s="185">
        <v>72.87</v>
      </c>
      <c r="L75" s="185">
        <v>280.63</v>
      </c>
      <c r="M75" s="185">
        <f t="shared" si="1"/>
        <v>224.51</v>
      </c>
    </row>
    <row r="76" spans="1:13" x14ac:dyDescent="0.25">
      <c r="G76" s="182">
        <v>43030</v>
      </c>
      <c r="H76" s="183" t="s">
        <v>495</v>
      </c>
      <c r="I76" s="182" t="s">
        <v>22</v>
      </c>
      <c r="J76" s="185">
        <v>227.46</v>
      </c>
      <c r="K76" s="185">
        <v>147.69</v>
      </c>
      <c r="L76" s="185">
        <v>468.93</v>
      </c>
      <c r="M76" s="185">
        <f t="shared" si="1"/>
        <v>375.15</v>
      </c>
    </row>
    <row r="77" spans="1:13" x14ac:dyDescent="0.25">
      <c r="A77" s="277" t="s">
        <v>43</v>
      </c>
      <c r="B77" s="278"/>
      <c r="C77" s="278"/>
      <c r="D77" s="279"/>
      <c r="G77" s="182">
        <v>40124</v>
      </c>
      <c r="H77" s="183" t="s">
        <v>502</v>
      </c>
      <c r="I77" s="182" t="s">
        <v>423</v>
      </c>
      <c r="J77" s="185">
        <v>3.79</v>
      </c>
      <c r="K77" s="185">
        <v>32.51</v>
      </c>
      <c r="L77" s="185">
        <v>45.37</v>
      </c>
      <c r="M77" s="185">
        <f t="shared" si="1"/>
        <v>36.299999999999997</v>
      </c>
    </row>
    <row r="78" spans="1:13" x14ac:dyDescent="0.25">
      <c r="A78" s="178" t="s">
        <v>525</v>
      </c>
      <c r="B78" s="179" t="s">
        <v>526</v>
      </c>
      <c r="C78" s="28" t="s">
        <v>205</v>
      </c>
      <c r="D78" s="176">
        <v>159.5</v>
      </c>
      <c r="G78" s="182">
        <v>43132</v>
      </c>
      <c r="H78" s="183" t="s">
        <v>510</v>
      </c>
      <c r="I78" s="182" t="s">
        <v>212</v>
      </c>
      <c r="J78" s="185">
        <v>19.7</v>
      </c>
      <c r="K78" s="185">
        <v>35.81</v>
      </c>
      <c r="L78" s="185">
        <v>69.38</v>
      </c>
      <c r="M78" s="185">
        <f t="shared" si="1"/>
        <v>55.510000000000005</v>
      </c>
    </row>
    <row r="79" spans="1:13" x14ac:dyDescent="0.25">
      <c r="A79" s="28"/>
      <c r="B79" s="180"/>
      <c r="C79" s="28"/>
      <c r="D79" s="176"/>
      <c r="G79" s="182">
        <v>43191</v>
      </c>
      <c r="H79" s="183" t="s">
        <v>512</v>
      </c>
      <c r="I79" s="182" t="s">
        <v>212</v>
      </c>
      <c r="J79" s="185">
        <v>11.37</v>
      </c>
      <c r="K79" s="185">
        <v>12.09</v>
      </c>
      <c r="L79" s="185">
        <v>29.32</v>
      </c>
      <c r="M79" s="185">
        <f t="shared" ref="M79:M89" si="2">J79+K79</f>
        <v>23.46</v>
      </c>
    </row>
    <row r="80" spans="1:13" s="165" customFormat="1" ht="30" x14ac:dyDescent="0.2">
      <c r="A80" s="28"/>
      <c r="B80" s="180"/>
      <c r="C80" s="28"/>
      <c r="D80" s="176"/>
      <c r="E80" s="166"/>
      <c r="G80" s="177">
        <v>43921</v>
      </c>
      <c r="H80" s="181" t="s">
        <v>519</v>
      </c>
      <c r="I80" s="177" t="s">
        <v>212</v>
      </c>
      <c r="J80" s="185">
        <v>94.77</v>
      </c>
      <c r="K80" s="185">
        <v>326.39</v>
      </c>
      <c r="L80" s="185">
        <v>526.45000000000005</v>
      </c>
      <c r="M80" s="185">
        <f t="shared" si="2"/>
        <v>421.15999999999997</v>
      </c>
    </row>
    <row r="81" spans="1:18" x14ac:dyDescent="0.25">
      <c r="A81" s="177"/>
      <c r="B81" s="181"/>
      <c r="C81" s="177"/>
      <c r="D81" s="176"/>
      <c r="G81" s="182">
        <v>43920</v>
      </c>
      <c r="H81" s="183" t="s">
        <v>522</v>
      </c>
      <c r="I81" s="182" t="s">
        <v>212</v>
      </c>
      <c r="J81" s="185">
        <v>24.63</v>
      </c>
      <c r="K81" s="185">
        <v>173.43</v>
      </c>
      <c r="L81" s="185">
        <v>247.57</v>
      </c>
      <c r="M81" s="185">
        <f t="shared" si="2"/>
        <v>198.06</v>
      </c>
      <c r="N81" s="160"/>
      <c r="R81" s="185"/>
    </row>
    <row r="82" spans="1:18" x14ac:dyDescent="0.25">
      <c r="A82" s="182"/>
      <c r="B82" s="183"/>
      <c r="C82" s="177"/>
      <c r="D82" s="176"/>
      <c r="G82" s="182">
        <v>42949</v>
      </c>
      <c r="H82" s="183" t="s">
        <v>523</v>
      </c>
      <c r="I82" s="182" t="s">
        <v>212</v>
      </c>
      <c r="J82" s="185">
        <v>26.53</v>
      </c>
      <c r="K82" s="185">
        <v>209.28</v>
      </c>
      <c r="L82" s="185">
        <v>294.76</v>
      </c>
      <c r="M82" s="185">
        <f t="shared" si="2"/>
        <v>235.81</v>
      </c>
      <c r="N82" s="160"/>
      <c r="R82" s="185"/>
    </row>
    <row r="83" spans="1:18" x14ac:dyDescent="0.25">
      <c r="G83" s="182">
        <v>42768</v>
      </c>
      <c r="H83" s="183" t="s">
        <v>373</v>
      </c>
      <c r="I83" s="182" t="s">
        <v>167</v>
      </c>
      <c r="J83" s="185">
        <v>56.86</v>
      </c>
      <c r="K83" s="185">
        <v>282.10000000000002</v>
      </c>
      <c r="L83" s="185">
        <v>423.7</v>
      </c>
      <c r="M83" s="185">
        <f t="shared" si="2"/>
        <v>338.96000000000004</v>
      </c>
      <c r="N83" s="160"/>
      <c r="R83" s="161"/>
    </row>
    <row r="84" spans="1:18" x14ac:dyDescent="0.25">
      <c r="G84" s="182"/>
      <c r="H84" s="183"/>
      <c r="I84" s="182"/>
      <c r="J84" s="185"/>
      <c r="K84" s="185"/>
      <c r="L84" s="185"/>
      <c r="M84" s="185">
        <f t="shared" si="2"/>
        <v>0</v>
      </c>
      <c r="N84" s="160"/>
      <c r="R84" s="161"/>
    </row>
    <row r="85" spans="1:18" x14ac:dyDescent="0.25">
      <c r="G85" s="182"/>
      <c r="H85" s="183"/>
      <c r="I85" s="182"/>
      <c r="J85" s="185"/>
      <c r="K85" s="185"/>
      <c r="L85" s="185"/>
      <c r="M85" s="185">
        <f t="shared" si="2"/>
        <v>0</v>
      </c>
      <c r="N85" s="160"/>
      <c r="R85" s="161"/>
    </row>
    <row r="86" spans="1:18" x14ac:dyDescent="0.25">
      <c r="G86" s="182"/>
      <c r="H86" s="183"/>
      <c r="I86" s="182"/>
      <c r="J86" s="185"/>
      <c r="K86" s="185"/>
      <c r="L86" s="185"/>
      <c r="M86" s="185">
        <f t="shared" si="2"/>
        <v>0</v>
      </c>
      <c r="N86" s="160"/>
      <c r="R86" s="161"/>
    </row>
    <row r="87" spans="1:18" x14ac:dyDescent="0.25">
      <c r="G87" s="182"/>
      <c r="H87" s="183"/>
      <c r="I87" s="182"/>
      <c r="J87" s="185"/>
      <c r="K87" s="185"/>
      <c r="L87" s="185"/>
      <c r="M87" s="185">
        <f t="shared" si="2"/>
        <v>0</v>
      </c>
      <c r="N87" s="160"/>
      <c r="R87" s="161"/>
    </row>
    <row r="88" spans="1:18" x14ac:dyDescent="0.25">
      <c r="G88" s="182"/>
      <c r="H88" s="183"/>
      <c r="I88" s="182"/>
      <c r="J88" s="185"/>
      <c r="K88" s="185"/>
      <c r="L88" s="185"/>
      <c r="M88" s="185">
        <f t="shared" si="2"/>
        <v>0</v>
      </c>
      <c r="N88" s="160"/>
      <c r="R88" s="161"/>
    </row>
    <row r="89" spans="1:18" x14ac:dyDescent="0.25">
      <c r="G89" s="182"/>
      <c r="H89" s="183"/>
      <c r="I89" s="182"/>
      <c r="J89" s="185"/>
      <c r="K89" s="185"/>
      <c r="L89" s="185"/>
      <c r="M89" s="185">
        <f t="shared" si="2"/>
        <v>0</v>
      </c>
      <c r="N89" s="160"/>
      <c r="R89" s="161"/>
    </row>
    <row r="90" spans="1:18" x14ac:dyDescent="0.25">
      <c r="L90" s="160"/>
      <c r="M90"/>
      <c r="N90" s="160"/>
      <c r="R90" s="161"/>
    </row>
    <row r="91" spans="1:18" x14ac:dyDescent="0.25">
      <c r="L91" s="160"/>
      <c r="M91"/>
      <c r="N91" s="160"/>
      <c r="R91" s="161"/>
    </row>
    <row r="92" spans="1:18" x14ac:dyDescent="0.25">
      <c r="L92" s="160"/>
      <c r="M92"/>
      <c r="N92" s="160"/>
      <c r="R92" s="161"/>
    </row>
  </sheetData>
  <mergeCells count="3">
    <mergeCell ref="A77:D77"/>
    <mergeCell ref="A1:E1"/>
    <mergeCell ref="G1:M1"/>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53"/>
  <sheetViews>
    <sheetView view="pageLayout" zoomScaleNormal="100" workbookViewId="0">
      <selection activeCell="J3" sqref="J3:K4"/>
    </sheetView>
  </sheetViews>
  <sheetFormatPr defaultColWidth="9.140625" defaultRowHeight="11.25" x14ac:dyDescent="0.2"/>
  <cols>
    <col min="1" max="1" width="3.85546875" style="8" customWidth="1"/>
    <col min="2" max="2" width="60.5703125" style="9" customWidth="1"/>
    <col min="3" max="3" width="14.28515625" style="10" customWidth="1"/>
    <col min="4" max="4" width="6.5703125" style="8" customWidth="1"/>
    <col min="5" max="5" width="13.7109375" style="11" customWidth="1"/>
    <col min="6" max="6" width="7.140625" style="11" customWidth="1"/>
    <col min="7" max="7" width="12.7109375" style="2" customWidth="1"/>
    <col min="8" max="8" width="9.7109375" style="2" customWidth="1"/>
    <col min="9" max="9" width="13.28515625" style="2" customWidth="1"/>
    <col min="10" max="10" width="7" style="2" customWidth="1"/>
    <col min="11" max="11" width="13.85546875" style="2" customWidth="1"/>
    <col min="12" max="12" width="7" style="2" customWidth="1"/>
    <col min="13" max="13" width="13.85546875" style="2" customWidth="1"/>
    <col min="14" max="14" width="7" style="2" customWidth="1"/>
    <col min="15" max="15" width="14.42578125" style="2" customWidth="1"/>
    <col min="16" max="16" width="10" style="2" bestFit="1" customWidth="1"/>
    <col min="17" max="18" width="9.140625" style="2"/>
    <col min="19" max="19" width="21" style="2" customWidth="1"/>
    <col min="20" max="16384" width="9.140625" style="2"/>
  </cols>
  <sheetData>
    <row r="1" spans="1:16" ht="20.25" x14ac:dyDescent="0.2">
      <c r="A1" s="249" t="s">
        <v>5</v>
      </c>
      <c r="B1" s="249"/>
      <c r="C1" s="249"/>
      <c r="D1" s="249"/>
      <c r="E1" s="249"/>
      <c r="F1" s="249"/>
      <c r="G1" s="249"/>
      <c r="H1" s="249"/>
      <c r="I1" s="249"/>
      <c r="J1" s="249"/>
      <c r="K1" s="249"/>
      <c r="L1" s="249"/>
      <c r="M1" s="249"/>
      <c r="N1" s="249"/>
      <c r="O1" s="249"/>
    </row>
    <row r="2" spans="1:16" ht="15" customHeight="1" x14ac:dyDescent="0.2">
      <c r="A2" s="304" t="s">
        <v>178</v>
      </c>
      <c r="B2" s="304"/>
      <c r="C2" s="304"/>
      <c r="D2" s="304"/>
      <c r="E2" s="304"/>
      <c r="F2" s="304"/>
      <c r="G2" s="304"/>
      <c r="H2" s="287" t="s">
        <v>16</v>
      </c>
      <c r="I2" s="288"/>
      <c r="J2" s="287" t="s">
        <v>17</v>
      </c>
      <c r="K2" s="288"/>
      <c r="L2" s="253" t="s">
        <v>18</v>
      </c>
      <c r="M2" s="289"/>
      <c r="N2" s="289"/>
      <c r="O2" s="254"/>
    </row>
    <row r="3" spans="1:16" ht="15" customHeight="1" x14ac:dyDescent="0.2">
      <c r="A3" s="304" t="s">
        <v>528</v>
      </c>
      <c r="B3" s="304"/>
      <c r="C3" s="304"/>
      <c r="D3" s="304"/>
      <c r="E3" s="304"/>
      <c r="F3" s="304"/>
      <c r="G3" s="304"/>
      <c r="H3" s="302">
        <f>'ORÇAMENTO '!E3</f>
        <v>0.26500000000000001</v>
      </c>
      <c r="I3" s="303"/>
      <c r="J3" s="298">
        <f>'ORÇAMENTO '!G3:G4</f>
        <v>44741</v>
      </c>
      <c r="K3" s="299"/>
      <c r="L3" s="290">
        <f>'ORÇAMENTO '!H3</f>
        <v>133762.62372356196</v>
      </c>
      <c r="M3" s="291"/>
      <c r="N3" s="291"/>
      <c r="O3" s="292"/>
    </row>
    <row r="4" spans="1:16" ht="15" customHeight="1" x14ac:dyDescent="0.2">
      <c r="A4" s="304" t="s">
        <v>411</v>
      </c>
      <c r="B4" s="304"/>
      <c r="C4" s="304"/>
      <c r="D4" s="304"/>
      <c r="E4" s="304"/>
      <c r="F4" s="304"/>
      <c r="G4" s="304"/>
      <c r="H4" s="253">
        <v>1.2649999999999999</v>
      </c>
      <c r="I4" s="254"/>
      <c r="J4" s="300"/>
      <c r="K4" s="301"/>
      <c r="L4" s="293"/>
      <c r="M4" s="294"/>
      <c r="N4" s="294"/>
      <c r="O4" s="295"/>
    </row>
    <row r="5" spans="1:16" ht="15" customHeight="1" x14ac:dyDescent="0.2">
      <c r="A5" s="199"/>
      <c r="B5" s="200"/>
      <c r="C5" s="200"/>
      <c r="D5" s="200"/>
      <c r="E5" s="200"/>
      <c r="F5" s="201"/>
      <c r="G5" s="201"/>
      <c r="H5" s="202"/>
      <c r="I5" s="202"/>
      <c r="J5" s="203"/>
      <c r="K5" s="203"/>
      <c r="L5" s="203"/>
      <c r="M5" s="203"/>
      <c r="N5" s="203"/>
      <c r="O5" s="203"/>
    </row>
    <row r="6" spans="1:16" ht="12" x14ac:dyDescent="0.2">
      <c r="A6" s="296" t="s">
        <v>0</v>
      </c>
      <c r="B6" s="296"/>
      <c r="C6" s="297" t="s">
        <v>6</v>
      </c>
      <c r="D6" s="286" t="s">
        <v>7</v>
      </c>
      <c r="E6" s="286"/>
      <c r="F6" s="286" t="s">
        <v>8</v>
      </c>
      <c r="G6" s="286"/>
      <c r="H6" s="286" t="s">
        <v>9</v>
      </c>
      <c r="I6" s="286"/>
      <c r="J6" s="286" t="s">
        <v>143</v>
      </c>
      <c r="K6" s="286"/>
      <c r="L6" s="286" t="s">
        <v>144</v>
      </c>
      <c r="M6" s="286"/>
      <c r="N6" s="286" t="s">
        <v>408</v>
      </c>
      <c r="O6" s="286"/>
    </row>
    <row r="7" spans="1:16" ht="12" x14ac:dyDescent="0.2">
      <c r="A7" s="296"/>
      <c r="B7" s="296"/>
      <c r="C7" s="297"/>
      <c r="D7" s="4" t="s">
        <v>10</v>
      </c>
      <c r="E7" s="4" t="s">
        <v>11</v>
      </c>
      <c r="F7" s="4"/>
      <c r="G7" s="4" t="s">
        <v>11</v>
      </c>
      <c r="H7" s="4" t="s">
        <v>10</v>
      </c>
      <c r="I7" s="4" t="s">
        <v>11</v>
      </c>
      <c r="J7" s="4" t="s">
        <v>10</v>
      </c>
      <c r="K7" s="4" t="s">
        <v>11</v>
      </c>
      <c r="L7" s="221" t="s">
        <v>10</v>
      </c>
      <c r="M7" s="221" t="s">
        <v>11</v>
      </c>
      <c r="N7" s="4" t="s">
        <v>10</v>
      </c>
      <c r="O7" s="4" t="s">
        <v>11</v>
      </c>
    </row>
    <row r="8" spans="1:16" ht="12" x14ac:dyDescent="0.2">
      <c r="A8" s="4">
        <v>1</v>
      </c>
      <c r="B8" s="18" t="str">
        <f>'ORÇAMENTO '!D7</f>
        <v>SERVIÇOS PRELIMINARES</v>
      </c>
      <c r="C8" s="15">
        <f>'ORÇAMENTO '!I16</f>
        <v>10201.448416499999</v>
      </c>
      <c r="D8" s="16">
        <v>1</v>
      </c>
      <c r="E8" s="17">
        <f t="shared" ref="E8:E20" si="0">D8*C8</f>
        <v>10201.448416499999</v>
      </c>
      <c r="F8" s="16">
        <v>0</v>
      </c>
      <c r="G8" s="17">
        <f>F8*C8</f>
        <v>0</v>
      </c>
      <c r="H8" s="16">
        <v>0</v>
      </c>
      <c r="I8" s="17">
        <f>H8*C8</f>
        <v>0</v>
      </c>
      <c r="J8" s="16">
        <v>0</v>
      </c>
      <c r="K8" s="17">
        <f>J8*C8</f>
        <v>0</v>
      </c>
      <c r="L8" s="16">
        <v>0</v>
      </c>
      <c r="M8" s="17">
        <f>L8*C8</f>
        <v>0</v>
      </c>
      <c r="N8" s="16">
        <v>0</v>
      </c>
      <c r="O8" s="17">
        <f>N8*C8</f>
        <v>0</v>
      </c>
      <c r="P8" s="225"/>
    </row>
    <row r="9" spans="1:16" ht="12" x14ac:dyDescent="0.2">
      <c r="A9" s="4">
        <v>2</v>
      </c>
      <c r="B9" s="158" t="str">
        <f>'ORÇAMENTO '!D18</f>
        <v>MOVIMENTAÇÃO DE TERRAS E TRANSPORTE</v>
      </c>
      <c r="C9" s="15">
        <f>'ORÇAMENTO '!I21</f>
        <v>1890.4434322269535</v>
      </c>
      <c r="D9" s="16">
        <v>0.5</v>
      </c>
      <c r="E9" s="17">
        <f t="shared" si="0"/>
        <v>945.22171611347676</v>
      </c>
      <c r="F9" s="16">
        <v>0.5</v>
      </c>
      <c r="G9" s="17">
        <f t="shared" ref="G9:G20" si="1">F9*C9</f>
        <v>945.22171611347676</v>
      </c>
      <c r="H9" s="16">
        <v>0</v>
      </c>
      <c r="I9" s="17">
        <f t="shared" ref="I9:I20" si="2">H9*C9</f>
        <v>0</v>
      </c>
      <c r="J9" s="16">
        <v>0</v>
      </c>
      <c r="K9" s="17">
        <f t="shared" ref="K9:K20" si="3">J9*C9</f>
        <v>0</v>
      </c>
      <c r="L9" s="16">
        <v>0</v>
      </c>
      <c r="M9" s="17">
        <f t="shared" ref="M9:M20" si="4">L9*C9</f>
        <v>0</v>
      </c>
      <c r="N9" s="16">
        <v>0</v>
      </c>
      <c r="O9" s="17">
        <f t="shared" ref="O9:O20" si="5">N9*C9</f>
        <v>0</v>
      </c>
      <c r="P9" s="225"/>
    </row>
    <row r="10" spans="1:16" ht="13.5" customHeight="1" x14ac:dyDescent="0.2">
      <c r="A10" s="4">
        <v>3</v>
      </c>
      <c r="B10" s="158" t="str">
        <f>'ORÇAMENTO '!D23</f>
        <v>DEMOLIÇÃO</v>
      </c>
      <c r="C10" s="15">
        <f>'ORÇAMENTO '!I26</f>
        <v>7558.3749999999991</v>
      </c>
      <c r="D10" s="16">
        <v>0</v>
      </c>
      <c r="E10" s="17">
        <f t="shared" si="0"/>
        <v>0</v>
      </c>
      <c r="F10" s="16">
        <v>0</v>
      </c>
      <c r="G10" s="17">
        <f t="shared" si="1"/>
        <v>0</v>
      </c>
      <c r="H10" s="16">
        <v>0</v>
      </c>
      <c r="I10" s="17">
        <f t="shared" si="2"/>
        <v>0</v>
      </c>
      <c r="J10" s="16">
        <v>0</v>
      </c>
      <c r="K10" s="17">
        <f t="shared" si="3"/>
        <v>0</v>
      </c>
      <c r="L10" s="16">
        <v>0</v>
      </c>
      <c r="M10" s="17">
        <f t="shared" si="4"/>
        <v>0</v>
      </c>
      <c r="N10" s="16">
        <v>1</v>
      </c>
      <c r="O10" s="17">
        <f t="shared" si="5"/>
        <v>7558.3749999999991</v>
      </c>
      <c r="P10" s="225"/>
    </row>
    <row r="11" spans="1:16" ht="12" x14ac:dyDescent="0.2">
      <c r="A11" s="4">
        <v>4</v>
      </c>
      <c r="B11" s="158" t="str">
        <f>'ORÇAMENTO '!D28</f>
        <v xml:space="preserve">SERVIÇOS EM CONCRETO </v>
      </c>
      <c r="C11" s="15">
        <f>'ORÇAMENTO '!I38</f>
        <v>27593.071146959996</v>
      </c>
      <c r="D11" s="16">
        <v>0</v>
      </c>
      <c r="E11" s="17">
        <f t="shared" si="0"/>
        <v>0</v>
      </c>
      <c r="F11" s="16">
        <v>0.5</v>
      </c>
      <c r="G11" s="17">
        <f t="shared" si="1"/>
        <v>13796.535573479998</v>
      </c>
      <c r="H11" s="16">
        <v>0.5</v>
      </c>
      <c r="I11" s="17">
        <f t="shared" si="2"/>
        <v>13796.535573479998</v>
      </c>
      <c r="J11" s="16">
        <v>0</v>
      </c>
      <c r="K11" s="17">
        <f t="shared" si="3"/>
        <v>0</v>
      </c>
      <c r="L11" s="16">
        <v>0</v>
      </c>
      <c r="M11" s="17">
        <f t="shared" si="4"/>
        <v>0</v>
      </c>
      <c r="N11" s="16">
        <v>0</v>
      </c>
      <c r="O11" s="17">
        <f t="shared" si="5"/>
        <v>0</v>
      </c>
      <c r="P11" s="225"/>
    </row>
    <row r="12" spans="1:16" ht="14.25" customHeight="1" x14ac:dyDescent="0.2">
      <c r="A12" s="4">
        <v>5</v>
      </c>
      <c r="B12" s="5" t="str">
        <f>'ORÇAMENTO '!D40</f>
        <v>IMPERMEABILIZAÇÃO</v>
      </c>
      <c r="C12" s="15">
        <f>'ORÇAMENTO '!I44</f>
        <v>6174.1965353750002</v>
      </c>
      <c r="D12" s="16">
        <v>0</v>
      </c>
      <c r="E12" s="17">
        <f t="shared" si="0"/>
        <v>0</v>
      </c>
      <c r="F12" s="16">
        <v>0.5</v>
      </c>
      <c r="G12" s="17">
        <f t="shared" si="1"/>
        <v>3087.0982676875001</v>
      </c>
      <c r="H12" s="16">
        <v>0.5</v>
      </c>
      <c r="I12" s="17">
        <f t="shared" si="2"/>
        <v>3087.0982676875001</v>
      </c>
      <c r="J12" s="16">
        <v>0</v>
      </c>
      <c r="K12" s="17">
        <f t="shared" si="3"/>
        <v>0</v>
      </c>
      <c r="L12" s="16">
        <v>0</v>
      </c>
      <c r="M12" s="17">
        <f t="shared" si="4"/>
        <v>0</v>
      </c>
      <c r="N12" s="16">
        <v>0</v>
      </c>
      <c r="O12" s="17">
        <f t="shared" si="5"/>
        <v>0</v>
      </c>
      <c r="P12" s="225"/>
    </row>
    <row r="13" spans="1:16" ht="14.25" customHeight="1" x14ac:dyDescent="0.2">
      <c r="A13" s="207">
        <v>6</v>
      </c>
      <c r="B13" s="5" t="str">
        <f>'ORÇAMENTO '!D46</f>
        <v>SISTEMA DE VEDAÇÃO E REVESTIMENTOS</v>
      </c>
      <c r="C13" s="15">
        <f>'ORÇAMENTO '!I54</f>
        <v>24841.198667999994</v>
      </c>
      <c r="D13" s="16">
        <v>0</v>
      </c>
      <c r="E13" s="17">
        <f t="shared" si="0"/>
        <v>0</v>
      </c>
      <c r="F13" s="16">
        <v>0</v>
      </c>
      <c r="G13" s="17">
        <f t="shared" si="1"/>
        <v>0</v>
      </c>
      <c r="H13" s="16">
        <v>0</v>
      </c>
      <c r="I13" s="17">
        <f t="shared" si="2"/>
        <v>0</v>
      </c>
      <c r="J13" s="16">
        <v>1</v>
      </c>
      <c r="K13" s="17">
        <f t="shared" si="3"/>
        <v>24841.198667999994</v>
      </c>
      <c r="L13" s="16">
        <v>0</v>
      </c>
      <c r="M13" s="17">
        <f t="shared" si="4"/>
        <v>0</v>
      </c>
      <c r="N13" s="16">
        <v>0</v>
      </c>
      <c r="O13" s="17">
        <f t="shared" si="5"/>
        <v>0</v>
      </c>
      <c r="P13" s="225"/>
    </row>
    <row r="14" spans="1:16" ht="14.25" customHeight="1" x14ac:dyDescent="0.2">
      <c r="A14" s="207">
        <v>7</v>
      </c>
      <c r="B14" s="5" t="str">
        <f>'ORÇAMENTO '!D56</f>
        <v>ESQUADRIAS</v>
      </c>
      <c r="C14" s="15">
        <f>'ORÇAMENTO '!I62</f>
        <v>7922.8134040000004</v>
      </c>
      <c r="D14" s="16">
        <v>0</v>
      </c>
      <c r="E14" s="17">
        <f t="shared" si="0"/>
        <v>0</v>
      </c>
      <c r="F14" s="16">
        <v>0</v>
      </c>
      <c r="G14" s="17">
        <f t="shared" si="1"/>
        <v>0</v>
      </c>
      <c r="H14" s="16">
        <v>0</v>
      </c>
      <c r="I14" s="17">
        <f t="shared" si="2"/>
        <v>0</v>
      </c>
      <c r="J14" s="16">
        <v>0</v>
      </c>
      <c r="K14" s="17">
        <f t="shared" si="3"/>
        <v>0</v>
      </c>
      <c r="L14" s="16">
        <v>1</v>
      </c>
      <c r="M14" s="17">
        <f t="shared" si="4"/>
        <v>7922.8134040000004</v>
      </c>
      <c r="N14" s="16">
        <v>0</v>
      </c>
      <c r="O14" s="17">
        <f t="shared" si="5"/>
        <v>0</v>
      </c>
      <c r="P14" s="225"/>
    </row>
    <row r="15" spans="1:16" ht="14.25" customHeight="1" x14ac:dyDescent="0.2">
      <c r="A15" s="207">
        <v>8</v>
      </c>
      <c r="B15" s="5" t="str">
        <f>'ORÇAMENTO '!D64</f>
        <v>COBERTURA</v>
      </c>
      <c r="C15" s="15">
        <f>'ORÇAMENTO '!I72</f>
        <v>18851.201913500001</v>
      </c>
      <c r="D15" s="16">
        <v>0</v>
      </c>
      <c r="E15" s="17">
        <f t="shared" si="0"/>
        <v>0</v>
      </c>
      <c r="F15" s="16">
        <v>0</v>
      </c>
      <c r="G15" s="17">
        <f t="shared" si="1"/>
        <v>0</v>
      </c>
      <c r="H15" s="16">
        <v>0</v>
      </c>
      <c r="I15" s="17">
        <f t="shared" si="2"/>
        <v>0</v>
      </c>
      <c r="J15" s="16">
        <v>0.5</v>
      </c>
      <c r="K15" s="17">
        <f t="shared" si="3"/>
        <v>9425.6009567500005</v>
      </c>
      <c r="L15" s="16">
        <v>0.5</v>
      </c>
      <c r="M15" s="17">
        <f t="shared" si="4"/>
        <v>9425.6009567500005</v>
      </c>
      <c r="N15" s="16">
        <v>0</v>
      </c>
      <c r="O15" s="17">
        <f t="shared" si="5"/>
        <v>0</v>
      </c>
      <c r="P15" s="225"/>
    </row>
    <row r="16" spans="1:16" ht="14.25" customHeight="1" x14ac:dyDescent="0.2">
      <c r="A16" s="207">
        <v>9</v>
      </c>
      <c r="B16" s="5" t="str">
        <f>'ORÇAMENTO '!D74</f>
        <v>ELÉTRICA</v>
      </c>
      <c r="C16" s="15">
        <f>'ORÇAMENTO '!I83</f>
        <v>4098.4608500000004</v>
      </c>
      <c r="D16" s="16">
        <v>0</v>
      </c>
      <c r="E16" s="17">
        <f t="shared" si="0"/>
        <v>0</v>
      </c>
      <c r="F16" s="16">
        <v>0</v>
      </c>
      <c r="G16" s="17">
        <f t="shared" si="1"/>
        <v>0</v>
      </c>
      <c r="H16" s="16">
        <v>0</v>
      </c>
      <c r="I16" s="17">
        <f t="shared" si="2"/>
        <v>0</v>
      </c>
      <c r="J16" s="16">
        <v>0</v>
      </c>
      <c r="K16" s="17">
        <f t="shared" si="3"/>
        <v>0</v>
      </c>
      <c r="L16" s="16">
        <v>1</v>
      </c>
      <c r="M16" s="17">
        <f t="shared" si="4"/>
        <v>4098.4608500000004</v>
      </c>
      <c r="N16" s="16">
        <v>0</v>
      </c>
      <c r="O16" s="17">
        <f t="shared" si="5"/>
        <v>0</v>
      </c>
      <c r="P16" s="225"/>
    </row>
    <row r="17" spans="1:22" ht="12" x14ac:dyDescent="0.2">
      <c r="A17" s="207">
        <v>10</v>
      </c>
      <c r="B17" s="158" t="str">
        <f>'ORÇAMENTO '!D85</f>
        <v>INSTALAÇÕES HIDROSSANITÁRIAS</v>
      </c>
      <c r="C17" s="15">
        <f>'ORÇAMENTO '!I97</f>
        <v>10219.515905499999</v>
      </c>
      <c r="D17" s="16">
        <v>0</v>
      </c>
      <c r="E17" s="17">
        <f t="shared" si="0"/>
        <v>0</v>
      </c>
      <c r="F17" s="16">
        <v>0.7</v>
      </c>
      <c r="G17" s="17">
        <f t="shared" si="1"/>
        <v>7153.6611338499988</v>
      </c>
      <c r="H17" s="16">
        <v>0</v>
      </c>
      <c r="I17" s="17">
        <f t="shared" si="2"/>
        <v>0</v>
      </c>
      <c r="J17" s="16">
        <v>0.3</v>
      </c>
      <c r="K17" s="17">
        <f t="shared" si="3"/>
        <v>3065.8547716499993</v>
      </c>
      <c r="L17" s="16">
        <v>0</v>
      </c>
      <c r="M17" s="17">
        <f t="shared" si="4"/>
        <v>0</v>
      </c>
      <c r="N17" s="16">
        <v>0</v>
      </c>
      <c r="O17" s="17">
        <f t="shared" si="5"/>
        <v>0</v>
      </c>
      <c r="P17" s="225"/>
    </row>
    <row r="18" spans="1:22" ht="12" x14ac:dyDescent="0.2">
      <c r="A18" s="221">
        <v>11</v>
      </c>
      <c r="B18" s="158" t="s">
        <v>527</v>
      </c>
      <c r="C18" s="15">
        <f>'ORÇAMENTO '!I106</f>
        <v>1750.6714499999998</v>
      </c>
      <c r="D18" s="16">
        <v>0</v>
      </c>
      <c r="E18" s="17">
        <f t="shared" si="0"/>
        <v>0</v>
      </c>
      <c r="F18" s="16">
        <v>0</v>
      </c>
      <c r="G18" s="17">
        <f t="shared" si="1"/>
        <v>0</v>
      </c>
      <c r="H18" s="16">
        <v>0</v>
      </c>
      <c r="I18" s="17">
        <f t="shared" si="2"/>
        <v>0</v>
      </c>
      <c r="J18" s="16">
        <v>0</v>
      </c>
      <c r="K18" s="17">
        <f t="shared" si="3"/>
        <v>0</v>
      </c>
      <c r="L18" s="16">
        <v>1</v>
      </c>
      <c r="M18" s="17">
        <f t="shared" si="4"/>
        <v>1750.6714499999998</v>
      </c>
      <c r="N18" s="16">
        <v>0</v>
      </c>
      <c r="O18" s="17">
        <f t="shared" si="5"/>
        <v>0</v>
      </c>
      <c r="P18" s="225"/>
    </row>
    <row r="19" spans="1:22" ht="12" x14ac:dyDescent="0.2">
      <c r="A19" s="207">
        <v>12</v>
      </c>
      <c r="B19" s="158" t="str">
        <f>'ORÇAMENTO '!D108</f>
        <v>PINTURA E ACABAMENTOS</v>
      </c>
      <c r="C19" s="15">
        <f>'ORÇAMENTO '!I112</f>
        <v>1901.9629199999999</v>
      </c>
      <c r="D19" s="16">
        <v>0</v>
      </c>
      <c r="E19" s="17">
        <f t="shared" si="0"/>
        <v>0</v>
      </c>
      <c r="F19" s="16">
        <v>0</v>
      </c>
      <c r="G19" s="17">
        <f t="shared" si="1"/>
        <v>0</v>
      </c>
      <c r="H19" s="16">
        <v>0</v>
      </c>
      <c r="I19" s="17">
        <f t="shared" si="2"/>
        <v>0</v>
      </c>
      <c r="J19" s="16">
        <v>0</v>
      </c>
      <c r="K19" s="17">
        <f t="shared" si="3"/>
        <v>0</v>
      </c>
      <c r="L19" s="16">
        <v>0</v>
      </c>
      <c r="M19" s="17">
        <f t="shared" si="4"/>
        <v>0</v>
      </c>
      <c r="N19" s="16">
        <v>1</v>
      </c>
      <c r="O19" s="17">
        <f t="shared" si="5"/>
        <v>1901.9629199999999</v>
      </c>
      <c r="P19" s="225"/>
    </row>
    <row r="20" spans="1:22" ht="12" customHeight="1" x14ac:dyDescent="0.2">
      <c r="A20" s="207">
        <v>13</v>
      </c>
      <c r="B20" s="5" t="str">
        <f>'ORÇAMENTO '!D114</f>
        <v>SERVIÇOS DIVERSOS</v>
      </c>
      <c r="C20" s="15">
        <f>'ORÇAMENTO '!I120</f>
        <v>10759.264081500001</v>
      </c>
      <c r="D20" s="16">
        <v>0</v>
      </c>
      <c r="E20" s="17">
        <f t="shared" si="0"/>
        <v>0</v>
      </c>
      <c r="F20" s="16">
        <v>0</v>
      </c>
      <c r="G20" s="17">
        <f t="shared" si="1"/>
        <v>0</v>
      </c>
      <c r="H20" s="16">
        <v>0</v>
      </c>
      <c r="I20" s="17">
        <f t="shared" si="2"/>
        <v>0</v>
      </c>
      <c r="J20" s="16">
        <v>0</v>
      </c>
      <c r="K20" s="17">
        <f t="shared" si="3"/>
        <v>0</v>
      </c>
      <c r="L20" s="16">
        <v>0.5</v>
      </c>
      <c r="M20" s="17">
        <f t="shared" si="4"/>
        <v>5379.6320407500007</v>
      </c>
      <c r="N20" s="16">
        <v>0.5</v>
      </c>
      <c r="O20" s="17">
        <f t="shared" si="5"/>
        <v>5379.6320407500007</v>
      </c>
      <c r="P20" s="225"/>
    </row>
    <row r="21" spans="1:22" ht="12" x14ac:dyDescent="0.2">
      <c r="A21" s="282" t="s">
        <v>593</v>
      </c>
      <c r="B21" s="283"/>
      <c r="C21" s="157">
        <f>SUM(C8:C20)</f>
        <v>133762.62372356193</v>
      </c>
      <c r="D21" s="155">
        <f>E21/$C$21</f>
        <v>8.3331724680053648E-2</v>
      </c>
      <c r="E21" s="154">
        <f>SUM(E8:E20)</f>
        <v>11146.670132613475</v>
      </c>
      <c r="F21" s="155">
        <f>G21/$C$21</f>
        <v>0.18676754384513741</v>
      </c>
      <c r="G21" s="154">
        <f>SUM(G8:G20)</f>
        <v>24982.516691130972</v>
      </c>
      <c r="H21" s="155">
        <f>I21/$C$21</f>
        <v>0.1262208632813584</v>
      </c>
      <c r="I21" s="154">
        <f>SUM(I8:I20)</f>
        <v>16883.633841167499</v>
      </c>
      <c r="J21" s="155">
        <f>K21/$C$21</f>
        <v>0.2790963077515049</v>
      </c>
      <c r="K21" s="154">
        <f>SUM(K8:K20)</f>
        <v>37332.654396399994</v>
      </c>
      <c r="L21" s="155">
        <f>M21/$C$21</f>
        <v>0.21364098509729071</v>
      </c>
      <c r="M21" s="154">
        <f>SUM(M8:M20)</f>
        <v>28577.178701500001</v>
      </c>
      <c r="N21" s="155">
        <f>O21/$C$21</f>
        <v>0.11094257534465495</v>
      </c>
      <c r="O21" s="154">
        <f>SUM(O8:O20)</f>
        <v>14839.969960749999</v>
      </c>
    </row>
    <row r="22" spans="1:22" ht="12" x14ac:dyDescent="0.2">
      <c r="A22" s="284"/>
      <c r="B22" s="285"/>
      <c r="C22" s="154" t="s">
        <v>12</v>
      </c>
      <c r="D22" s="155">
        <f>D21</f>
        <v>8.3331724680053648E-2</v>
      </c>
      <c r="E22" s="154">
        <f>E21</f>
        <v>11146.670132613475</v>
      </c>
      <c r="F22" s="155">
        <f>F21+D22</f>
        <v>0.27009926852519106</v>
      </c>
      <c r="G22" s="154">
        <f>E22+G21</f>
        <v>36129.186823744443</v>
      </c>
      <c r="H22" s="155">
        <f t="shared" ref="H22:M22" si="6">H21+F22</f>
        <v>0.39632013180654946</v>
      </c>
      <c r="I22" s="154">
        <f t="shared" si="6"/>
        <v>53012.820664911938</v>
      </c>
      <c r="J22" s="155">
        <f t="shared" si="6"/>
        <v>0.67541643955805442</v>
      </c>
      <c r="K22" s="154">
        <f t="shared" si="6"/>
        <v>90345.475061311939</v>
      </c>
      <c r="L22" s="155">
        <f t="shared" si="6"/>
        <v>0.8890574246553451</v>
      </c>
      <c r="M22" s="154">
        <f t="shared" si="6"/>
        <v>118922.65376281194</v>
      </c>
      <c r="N22" s="155">
        <f>N21+L22</f>
        <v>1</v>
      </c>
      <c r="O22" s="154">
        <f>O21+M22</f>
        <v>133762.62372356193</v>
      </c>
    </row>
    <row r="23" spans="1:22" x14ac:dyDescent="0.2">
      <c r="A23" s="2"/>
      <c r="B23" s="2"/>
      <c r="C23" s="2"/>
      <c r="D23" s="2"/>
      <c r="E23" s="2"/>
      <c r="F23" s="2"/>
    </row>
    <row r="24" spans="1:22" x14ac:dyDescent="0.2">
      <c r="A24" s="2"/>
      <c r="B24" s="2"/>
      <c r="C24" s="2"/>
      <c r="D24" s="2"/>
      <c r="E24" s="2"/>
      <c r="F24" s="2"/>
    </row>
    <row r="25" spans="1:22" ht="15" customHeight="1" x14ac:dyDescent="0.2">
      <c r="A25" s="2"/>
      <c r="B25" s="2"/>
      <c r="C25" s="2"/>
      <c r="D25" s="2"/>
      <c r="E25" s="2"/>
      <c r="F25" s="2"/>
    </row>
    <row r="26" spans="1:22" s="3" customFormat="1" x14ac:dyDescent="0.2">
      <c r="A26" s="2"/>
      <c r="B26" s="2"/>
      <c r="C26" s="2"/>
      <c r="D26" s="2"/>
      <c r="E26" s="2"/>
      <c r="F26" s="2"/>
      <c r="G26" s="2"/>
      <c r="H26" s="2"/>
      <c r="I26" s="2"/>
      <c r="J26" s="2"/>
      <c r="K26" s="2"/>
      <c r="L26" s="2"/>
      <c r="M26" s="2"/>
      <c r="N26" s="2"/>
      <c r="O26" s="2"/>
      <c r="P26" s="2"/>
      <c r="Q26" s="2"/>
      <c r="R26" s="2"/>
      <c r="S26" s="2"/>
      <c r="T26" s="2"/>
      <c r="U26" s="2"/>
      <c r="V26" s="2"/>
    </row>
    <row r="27" spans="1:22" x14ac:dyDescent="0.2">
      <c r="A27" s="2"/>
      <c r="B27" s="2"/>
      <c r="C27" s="2"/>
      <c r="D27" s="2"/>
      <c r="E27" s="2"/>
      <c r="F27" s="2"/>
    </row>
    <row r="28" spans="1:22" x14ac:dyDescent="0.2">
      <c r="A28" s="2"/>
      <c r="B28" s="2"/>
      <c r="C28" s="2"/>
      <c r="D28" s="2"/>
      <c r="E28" s="2"/>
      <c r="F28" s="2"/>
    </row>
    <row r="29" spans="1:22" x14ac:dyDescent="0.2">
      <c r="A29" s="2"/>
      <c r="B29" s="2"/>
      <c r="C29" s="2"/>
      <c r="D29" s="2"/>
      <c r="E29" s="2"/>
      <c r="F29" s="2"/>
    </row>
    <row r="30" spans="1:22" ht="11.25" customHeight="1" x14ac:dyDescent="0.2">
      <c r="A30" s="2"/>
      <c r="B30" s="2"/>
      <c r="C30" s="2"/>
      <c r="D30" s="2"/>
      <c r="E30" s="2"/>
      <c r="F30" s="2"/>
    </row>
    <row r="31" spans="1:22" x14ac:dyDescent="0.2">
      <c r="A31" s="2"/>
      <c r="B31" s="6"/>
      <c r="C31" s="7"/>
      <c r="D31" s="2"/>
      <c r="E31" s="2"/>
      <c r="F31" s="2"/>
    </row>
    <row r="32" spans="1:22" x14ac:dyDescent="0.2">
      <c r="A32" s="2"/>
      <c r="B32" s="2"/>
      <c r="C32" s="2"/>
      <c r="D32" s="2"/>
      <c r="E32" s="2"/>
      <c r="F32" s="2"/>
    </row>
    <row r="33" spans="1:22" x14ac:dyDescent="0.2">
      <c r="A33" s="2"/>
      <c r="B33" s="2"/>
      <c r="C33" s="2"/>
      <c r="D33" s="2"/>
      <c r="E33" s="2"/>
      <c r="F33" s="2"/>
    </row>
    <row r="34" spans="1:22" x14ac:dyDescent="0.2">
      <c r="A34" s="2"/>
      <c r="B34" s="2"/>
      <c r="C34" s="2"/>
      <c r="D34" s="2"/>
      <c r="E34" s="2"/>
      <c r="F34" s="2"/>
    </row>
    <row r="35" spans="1:22" ht="15" customHeight="1" x14ac:dyDescent="0.2">
      <c r="A35" s="2"/>
      <c r="B35" s="2"/>
      <c r="C35" s="2"/>
      <c r="D35" s="2"/>
      <c r="E35" s="2"/>
      <c r="F35" s="2"/>
    </row>
    <row r="36" spans="1:22" s="3" customFormat="1" x14ac:dyDescent="0.2">
      <c r="A36" s="2"/>
      <c r="B36" s="2"/>
      <c r="C36" s="2"/>
      <c r="D36" s="2"/>
      <c r="E36" s="2"/>
      <c r="F36" s="2"/>
      <c r="G36" s="2"/>
      <c r="H36" s="2"/>
      <c r="I36" s="2"/>
      <c r="J36" s="2"/>
      <c r="K36" s="2"/>
      <c r="L36" s="2"/>
      <c r="M36" s="2"/>
      <c r="N36" s="2"/>
      <c r="O36" s="2"/>
      <c r="P36" s="2"/>
      <c r="Q36" s="2"/>
      <c r="R36" s="2"/>
      <c r="S36" s="2"/>
      <c r="T36" s="2"/>
      <c r="U36" s="2"/>
      <c r="V36" s="2"/>
    </row>
    <row r="37" spans="1:22" x14ac:dyDescent="0.2">
      <c r="A37" s="2"/>
      <c r="B37" s="2"/>
      <c r="C37" s="2"/>
      <c r="D37" s="2"/>
      <c r="E37" s="2"/>
      <c r="F37" s="2"/>
    </row>
    <row r="38" spans="1:22" x14ac:dyDescent="0.2">
      <c r="A38" s="2"/>
      <c r="B38" s="2"/>
      <c r="C38" s="2"/>
      <c r="D38" s="2"/>
      <c r="E38" s="2"/>
      <c r="F38" s="2"/>
    </row>
    <row r="39" spans="1:22" x14ac:dyDescent="0.2">
      <c r="A39" s="2"/>
      <c r="B39" s="2"/>
      <c r="C39" s="2"/>
      <c r="D39" s="2"/>
      <c r="E39" s="2"/>
      <c r="F39" s="2"/>
    </row>
    <row r="40" spans="1:22" ht="11.25" customHeight="1" x14ac:dyDescent="0.2">
      <c r="A40" s="2"/>
      <c r="B40" s="2"/>
      <c r="C40" s="2"/>
      <c r="D40" s="2"/>
      <c r="E40" s="2"/>
      <c r="F40" s="2"/>
    </row>
    <row r="41" spans="1:22" x14ac:dyDescent="0.2">
      <c r="A41" s="2"/>
      <c r="B41" s="2"/>
      <c r="C41" s="2"/>
      <c r="D41" s="2"/>
      <c r="E41" s="2"/>
      <c r="F41" s="2"/>
    </row>
    <row r="42" spans="1:22" ht="13.5" customHeight="1" x14ac:dyDescent="0.2">
      <c r="A42" s="2"/>
      <c r="B42" s="2"/>
      <c r="C42" s="2"/>
      <c r="D42" s="2"/>
      <c r="E42" s="2"/>
      <c r="F42" s="2"/>
    </row>
    <row r="43" spans="1:22" x14ac:dyDescent="0.2">
      <c r="A43" s="2"/>
      <c r="B43" s="2"/>
      <c r="C43" s="2"/>
      <c r="D43" s="2"/>
      <c r="E43" s="2"/>
      <c r="F43" s="2"/>
    </row>
    <row r="44" spans="1:22" s="3" customFormat="1" x14ac:dyDescent="0.2">
      <c r="A44" s="2"/>
      <c r="B44" s="2"/>
      <c r="C44" s="2"/>
      <c r="D44" s="2"/>
      <c r="E44" s="2"/>
      <c r="F44" s="2"/>
      <c r="G44" s="2"/>
      <c r="H44" s="2"/>
      <c r="I44" s="2"/>
      <c r="J44" s="2"/>
      <c r="K44" s="2"/>
      <c r="L44" s="2"/>
      <c r="M44" s="2"/>
      <c r="N44" s="2"/>
      <c r="O44" s="2"/>
      <c r="P44" s="2"/>
      <c r="Q44" s="2"/>
      <c r="R44" s="2"/>
      <c r="S44" s="2"/>
      <c r="T44" s="2"/>
      <c r="U44" s="2"/>
      <c r="V44" s="2"/>
    </row>
    <row r="45" spans="1:22" x14ac:dyDescent="0.2">
      <c r="A45" s="2"/>
      <c r="B45" s="2"/>
      <c r="C45" s="2"/>
      <c r="D45" s="2"/>
      <c r="E45" s="2"/>
      <c r="F45" s="2"/>
    </row>
    <row r="46" spans="1:22" x14ac:dyDescent="0.2">
      <c r="A46" s="2"/>
      <c r="B46" s="2"/>
      <c r="C46" s="2"/>
      <c r="D46" s="2"/>
      <c r="E46" s="2"/>
      <c r="F46" s="2"/>
    </row>
    <row r="47" spans="1:22" x14ac:dyDescent="0.2">
      <c r="A47" s="2"/>
      <c r="B47" s="2"/>
      <c r="C47" s="2"/>
      <c r="D47" s="2"/>
      <c r="E47" s="2"/>
      <c r="F47" s="2"/>
    </row>
    <row r="48" spans="1:22" x14ac:dyDescent="0.2">
      <c r="A48" s="2"/>
      <c r="B48" s="2"/>
      <c r="C48" s="2"/>
      <c r="D48" s="2"/>
      <c r="E48" s="2"/>
      <c r="F48" s="2"/>
    </row>
    <row r="49" spans="1:22" x14ac:dyDescent="0.2">
      <c r="A49" s="2"/>
      <c r="B49" s="2"/>
      <c r="C49" s="2"/>
      <c r="D49" s="2"/>
      <c r="E49" s="2"/>
      <c r="F49" s="2"/>
    </row>
    <row r="50" spans="1:22" s="3" customFormat="1" x14ac:dyDescent="0.2">
      <c r="A50" s="2"/>
      <c r="B50" s="2"/>
      <c r="C50" s="2"/>
      <c r="D50" s="2"/>
      <c r="E50" s="2"/>
      <c r="F50" s="2"/>
      <c r="G50" s="2"/>
      <c r="H50" s="2"/>
      <c r="I50" s="2"/>
      <c r="J50" s="2"/>
      <c r="K50" s="2"/>
      <c r="L50" s="2"/>
      <c r="M50" s="2"/>
      <c r="N50" s="2"/>
      <c r="O50" s="2"/>
      <c r="P50" s="2"/>
      <c r="Q50" s="2"/>
      <c r="R50" s="2"/>
      <c r="S50" s="2"/>
      <c r="T50" s="2"/>
      <c r="U50" s="2"/>
      <c r="V50" s="2"/>
    </row>
    <row r="51" spans="1:22" x14ac:dyDescent="0.2">
      <c r="A51" s="2"/>
      <c r="B51" s="2"/>
      <c r="C51" s="2"/>
      <c r="D51" s="2"/>
      <c r="E51" s="2"/>
      <c r="F51" s="2"/>
    </row>
    <row r="52" spans="1:22" x14ac:dyDescent="0.2">
      <c r="A52" s="2"/>
      <c r="B52" s="2"/>
      <c r="C52" s="2"/>
      <c r="D52" s="2"/>
      <c r="E52" s="2"/>
      <c r="F52" s="2"/>
    </row>
    <row r="53" spans="1:22" x14ac:dyDescent="0.2">
      <c r="A53" s="2"/>
      <c r="B53" s="2"/>
      <c r="C53" s="2"/>
      <c r="D53" s="2"/>
      <c r="E53" s="2"/>
      <c r="F53" s="2"/>
    </row>
    <row r="54" spans="1:22" x14ac:dyDescent="0.2">
      <c r="A54" s="2"/>
      <c r="B54" s="2"/>
      <c r="C54" s="2"/>
      <c r="D54" s="2"/>
      <c r="E54" s="2"/>
      <c r="F54" s="2"/>
    </row>
    <row r="55" spans="1:22" x14ac:dyDescent="0.2">
      <c r="A55" s="2"/>
      <c r="B55" s="2"/>
      <c r="C55" s="2"/>
      <c r="D55" s="2"/>
      <c r="E55" s="2"/>
      <c r="F55" s="2"/>
    </row>
    <row r="56" spans="1:22" x14ac:dyDescent="0.2">
      <c r="A56" s="2"/>
      <c r="B56" s="2"/>
      <c r="C56" s="2"/>
      <c r="D56" s="2"/>
      <c r="E56" s="2"/>
      <c r="F56" s="2"/>
    </row>
    <row r="57" spans="1:22" x14ac:dyDescent="0.2">
      <c r="A57" s="2"/>
      <c r="B57" s="2"/>
      <c r="C57" s="2"/>
      <c r="D57" s="2"/>
      <c r="E57" s="2"/>
      <c r="F57" s="2"/>
    </row>
    <row r="58" spans="1:22" x14ac:dyDescent="0.2">
      <c r="A58" s="2"/>
      <c r="B58" s="2"/>
      <c r="C58" s="2"/>
      <c r="D58" s="2"/>
      <c r="E58" s="2"/>
      <c r="F58" s="2"/>
    </row>
    <row r="59" spans="1:22" x14ac:dyDescent="0.2">
      <c r="A59" s="2"/>
      <c r="B59" s="2"/>
      <c r="C59" s="2"/>
      <c r="D59" s="2"/>
      <c r="E59" s="2"/>
      <c r="F59" s="2"/>
    </row>
    <row r="60" spans="1:22" x14ac:dyDescent="0.2">
      <c r="A60" s="2"/>
      <c r="B60" s="2"/>
      <c r="C60" s="2"/>
      <c r="D60" s="2"/>
      <c r="E60" s="2"/>
      <c r="F60" s="2"/>
    </row>
    <row r="61" spans="1:22" ht="14.25" customHeight="1" x14ac:dyDescent="0.2"/>
    <row r="63" spans="1:22" ht="13.5" customHeight="1" x14ac:dyDescent="0.2"/>
    <row r="68" spans="1:28" ht="14.25" customHeight="1" x14ac:dyDescent="0.2">
      <c r="A68" s="2"/>
    </row>
    <row r="74" spans="1:28" s="8" customFormat="1" ht="36.75" customHeight="1" x14ac:dyDescent="0.2">
      <c r="B74" s="9"/>
      <c r="C74" s="10"/>
      <c r="E74" s="11"/>
      <c r="F74" s="11"/>
      <c r="G74" s="2"/>
      <c r="H74" s="2"/>
      <c r="I74" s="2"/>
      <c r="J74" s="2"/>
      <c r="K74" s="2"/>
      <c r="L74" s="2"/>
      <c r="M74" s="2"/>
      <c r="N74" s="2"/>
      <c r="O74" s="2"/>
      <c r="P74" s="2"/>
      <c r="Q74" s="2"/>
      <c r="R74" s="2"/>
      <c r="S74" s="2"/>
      <c r="T74" s="2"/>
      <c r="U74" s="2"/>
      <c r="V74" s="2"/>
      <c r="W74" s="2"/>
      <c r="X74" s="2"/>
      <c r="Y74" s="2"/>
      <c r="Z74" s="2"/>
      <c r="AA74" s="2"/>
      <c r="AB74" s="2"/>
    </row>
    <row r="75" spans="1:28" s="8" customFormat="1" ht="27" customHeight="1" x14ac:dyDescent="0.2">
      <c r="B75" s="9"/>
      <c r="C75" s="10"/>
      <c r="E75" s="11"/>
      <c r="F75" s="11"/>
      <c r="G75" s="2"/>
      <c r="H75" s="2"/>
      <c r="I75" s="2"/>
      <c r="J75" s="2"/>
      <c r="K75" s="2"/>
      <c r="L75" s="2"/>
      <c r="M75" s="2"/>
      <c r="N75" s="2"/>
      <c r="O75" s="2"/>
      <c r="P75" s="2"/>
      <c r="Q75" s="2"/>
      <c r="R75" s="2"/>
      <c r="S75" s="2"/>
      <c r="T75" s="2"/>
      <c r="U75" s="2"/>
      <c r="V75" s="2"/>
      <c r="W75" s="2"/>
      <c r="X75" s="2"/>
      <c r="Y75" s="2"/>
      <c r="Z75" s="2"/>
      <c r="AA75" s="2"/>
      <c r="AB75" s="2"/>
    </row>
    <row r="90" spans="1:28" ht="24.75" customHeight="1" x14ac:dyDescent="0.2">
      <c r="A90" s="2"/>
    </row>
    <row r="91" spans="1:28" ht="27.75" customHeight="1" x14ac:dyDescent="0.2"/>
    <row r="94" spans="1:28" ht="15.75" customHeight="1" x14ac:dyDescent="0.2"/>
    <row r="96" spans="1:28" s="3" customFormat="1" x14ac:dyDescent="0.2">
      <c r="A96" s="8"/>
      <c r="B96" s="9"/>
      <c r="C96" s="10"/>
      <c r="D96" s="8"/>
      <c r="E96" s="11"/>
      <c r="F96" s="11"/>
      <c r="G96" s="2"/>
      <c r="H96" s="2"/>
      <c r="I96" s="2"/>
      <c r="J96" s="2"/>
      <c r="K96" s="2"/>
      <c r="L96" s="2"/>
      <c r="M96" s="2"/>
      <c r="N96" s="2"/>
      <c r="O96" s="2"/>
      <c r="P96" s="2"/>
      <c r="Q96" s="2"/>
      <c r="R96" s="2"/>
      <c r="S96" s="2"/>
      <c r="T96" s="2"/>
      <c r="U96" s="2"/>
      <c r="V96" s="2"/>
      <c r="W96" s="2"/>
      <c r="X96" s="2"/>
      <c r="Y96" s="2"/>
      <c r="Z96" s="2"/>
      <c r="AA96" s="2"/>
      <c r="AB96" s="2"/>
    </row>
    <row r="97" spans="1:28" s="12" customFormat="1" x14ac:dyDescent="0.2">
      <c r="A97" s="8"/>
      <c r="B97" s="9"/>
      <c r="C97" s="10"/>
      <c r="D97" s="8"/>
      <c r="E97" s="11"/>
      <c r="F97" s="11"/>
      <c r="G97" s="2"/>
      <c r="H97" s="2"/>
      <c r="I97" s="2"/>
      <c r="J97" s="2"/>
      <c r="K97" s="2"/>
      <c r="L97" s="2"/>
      <c r="M97" s="2"/>
      <c r="N97" s="2"/>
      <c r="O97" s="2"/>
      <c r="P97" s="2"/>
      <c r="Q97" s="2"/>
      <c r="R97" s="2"/>
      <c r="S97" s="2"/>
      <c r="T97" s="2"/>
      <c r="U97" s="2"/>
      <c r="V97" s="2"/>
      <c r="W97" s="2"/>
      <c r="X97" s="2"/>
      <c r="Y97" s="2"/>
      <c r="Z97" s="2"/>
      <c r="AA97" s="2"/>
      <c r="AB97" s="2"/>
    </row>
    <row r="98" spans="1:28" s="12" customFormat="1" ht="11.25" customHeight="1" x14ac:dyDescent="0.2">
      <c r="A98" s="8"/>
      <c r="B98" s="9"/>
      <c r="C98" s="10"/>
      <c r="D98" s="8"/>
      <c r="E98" s="11"/>
      <c r="F98" s="11"/>
      <c r="G98" s="2"/>
      <c r="H98" s="2"/>
      <c r="I98" s="2"/>
      <c r="J98" s="2"/>
      <c r="K98" s="2"/>
      <c r="L98" s="2"/>
      <c r="M98" s="2"/>
      <c r="N98" s="2"/>
      <c r="O98" s="2"/>
      <c r="P98" s="2"/>
      <c r="Q98" s="2"/>
      <c r="R98" s="2"/>
      <c r="S98" s="2"/>
      <c r="T98" s="2"/>
      <c r="U98" s="2"/>
      <c r="V98" s="2"/>
      <c r="W98" s="2"/>
      <c r="X98" s="2"/>
      <c r="Y98" s="2"/>
      <c r="Z98" s="2"/>
      <c r="AA98" s="2"/>
      <c r="AB98" s="2"/>
    </row>
    <row r="99" spans="1:28" s="12" customFormat="1" x14ac:dyDescent="0.2">
      <c r="A99" s="8"/>
      <c r="B99" s="9"/>
      <c r="C99" s="10"/>
      <c r="D99" s="8"/>
      <c r="E99" s="11"/>
      <c r="F99" s="11"/>
      <c r="G99" s="2"/>
      <c r="H99" s="2"/>
      <c r="I99" s="2"/>
      <c r="J99" s="2"/>
      <c r="K99" s="2"/>
      <c r="L99" s="2"/>
      <c r="M99" s="2"/>
      <c r="N99" s="2"/>
      <c r="O99" s="2"/>
      <c r="P99" s="2"/>
      <c r="Q99" s="2"/>
      <c r="R99" s="2"/>
      <c r="S99" s="2"/>
      <c r="T99" s="2"/>
      <c r="U99" s="2"/>
      <c r="V99" s="2"/>
      <c r="W99" s="2"/>
      <c r="X99" s="2"/>
      <c r="Y99" s="2"/>
      <c r="Z99" s="2"/>
      <c r="AA99" s="2"/>
      <c r="AB99" s="2"/>
    </row>
    <row r="100" spans="1:28" s="12" customFormat="1" ht="24.75" customHeight="1" x14ac:dyDescent="0.2">
      <c r="A100" s="8"/>
      <c r="B100" s="9"/>
      <c r="C100" s="10"/>
      <c r="D100" s="8"/>
      <c r="E100" s="11"/>
      <c r="F100" s="11"/>
      <c r="G100" s="2"/>
      <c r="H100" s="2"/>
      <c r="I100" s="2"/>
      <c r="J100" s="2"/>
      <c r="K100" s="2"/>
      <c r="L100" s="2"/>
      <c r="M100" s="2"/>
      <c r="N100" s="2"/>
      <c r="O100" s="2"/>
      <c r="P100" s="2"/>
      <c r="Q100" s="2"/>
      <c r="R100" s="2"/>
      <c r="S100" s="2"/>
      <c r="T100" s="2"/>
      <c r="U100" s="2"/>
      <c r="V100" s="2"/>
      <c r="W100" s="2"/>
      <c r="X100" s="2"/>
      <c r="Y100" s="2"/>
      <c r="Z100" s="2"/>
      <c r="AA100" s="2"/>
      <c r="AB100" s="2"/>
    </row>
    <row r="101" spans="1:28" s="12" customFormat="1" x14ac:dyDescent="0.2">
      <c r="A101" s="8"/>
      <c r="B101" s="9"/>
      <c r="C101" s="10"/>
      <c r="D101" s="8"/>
      <c r="E101" s="11"/>
      <c r="F101" s="11"/>
      <c r="G101" s="2"/>
      <c r="H101" s="2"/>
      <c r="I101" s="2"/>
      <c r="J101" s="2"/>
      <c r="K101" s="2"/>
      <c r="L101" s="2"/>
      <c r="M101" s="2"/>
      <c r="N101" s="2"/>
      <c r="O101" s="2"/>
      <c r="P101" s="2"/>
      <c r="Q101" s="2"/>
      <c r="R101" s="2"/>
      <c r="S101" s="2"/>
      <c r="T101" s="2"/>
      <c r="U101" s="2"/>
      <c r="V101" s="2"/>
      <c r="W101" s="2"/>
      <c r="X101" s="2"/>
      <c r="Y101" s="2"/>
      <c r="Z101" s="2"/>
      <c r="AA101" s="2"/>
      <c r="AB101" s="2"/>
    </row>
    <row r="102" spans="1:28" s="12" customFormat="1" x14ac:dyDescent="0.2">
      <c r="A102" s="8"/>
      <c r="B102" s="9"/>
      <c r="C102" s="10"/>
      <c r="D102" s="8"/>
      <c r="E102" s="11"/>
      <c r="F102" s="11"/>
      <c r="G102" s="2"/>
      <c r="H102" s="2"/>
      <c r="I102" s="2"/>
      <c r="J102" s="2"/>
      <c r="K102" s="2"/>
      <c r="L102" s="2"/>
      <c r="M102" s="2"/>
      <c r="N102" s="2"/>
      <c r="O102" s="2"/>
      <c r="P102" s="2"/>
      <c r="Q102" s="2"/>
      <c r="R102" s="2"/>
      <c r="S102" s="2"/>
      <c r="T102" s="2"/>
      <c r="U102" s="2"/>
      <c r="V102" s="2"/>
      <c r="W102" s="2"/>
      <c r="X102" s="2"/>
      <c r="Y102" s="2"/>
      <c r="Z102" s="2"/>
      <c r="AA102" s="2"/>
      <c r="AB102" s="2"/>
    </row>
    <row r="103" spans="1:28" s="12" customFormat="1" x14ac:dyDescent="0.2">
      <c r="A103" s="8"/>
      <c r="B103" s="9"/>
      <c r="C103" s="10"/>
      <c r="D103" s="8"/>
      <c r="E103" s="11"/>
      <c r="F103" s="11"/>
      <c r="G103" s="2"/>
      <c r="H103" s="2"/>
      <c r="I103" s="2"/>
      <c r="J103" s="2"/>
      <c r="K103" s="2"/>
      <c r="L103" s="2"/>
      <c r="M103" s="2"/>
      <c r="N103" s="2"/>
      <c r="O103" s="2"/>
      <c r="P103" s="2"/>
      <c r="Q103" s="2"/>
      <c r="R103" s="2"/>
      <c r="S103" s="2"/>
      <c r="T103" s="2"/>
      <c r="U103" s="2"/>
      <c r="V103" s="2"/>
      <c r="W103" s="2"/>
      <c r="X103" s="2"/>
      <c r="Y103" s="2"/>
      <c r="Z103" s="2"/>
      <c r="AA103" s="2"/>
      <c r="AB103" s="2"/>
    </row>
    <row r="104" spans="1:28" s="12" customFormat="1" x14ac:dyDescent="0.2">
      <c r="A104" s="8"/>
      <c r="B104" s="9"/>
      <c r="C104" s="10"/>
      <c r="D104" s="8"/>
      <c r="E104" s="11"/>
      <c r="F104" s="11"/>
      <c r="G104" s="2"/>
      <c r="H104" s="2"/>
      <c r="I104" s="2"/>
      <c r="J104" s="2"/>
      <c r="K104" s="2"/>
      <c r="L104" s="2"/>
      <c r="M104" s="2"/>
      <c r="N104" s="2"/>
      <c r="O104" s="2"/>
      <c r="P104" s="2"/>
      <c r="Q104" s="2"/>
      <c r="R104" s="2"/>
      <c r="S104" s="2"/>
      <c r="T104" s="2"/>
      <c r="U104" s="2"/>
      <c r="V104" s="2"/>
      <c r="W104" s="2"/>
      <c r="X104" s="2"/>
      <c r="Y104" s="2"/>
      <c r="Z104" s="2"/>
      <c r="AA104" s="2"/>
      <c r="AB104" s="2"/>
    </row>
    <row r="105" spans="1:28" s="12" customFormat="1" x14ac:dyDescent="0.2">
      <c r="A105" s="8"/>
      <c r="B105" s="9"/>
      <c r="C105" s="10"/>
      <c r="D105" s="8"/>
      <c r="E105" s="11"/>
      <c r="F105" s="11"/>
      <c r="G105" s="2"/>
      <c r="H105" s="2"/>
      <c r="I105" s="2"/>
      <c r="J105" s="2"/>
      <c r="K105" s="2"/>
      <c r="L105" s="2"/>
      <c r="M105" s="2"/>
      <c r="N105" s="2"/>
      <c r="O105" s="2"/>
      <c r="P105" s="2"/>
      <c r="Q105" s="2"/>
      <c r="R105" s="2"/>
      <c r="S105" s="2"/>
      <c r="T105" s="2"/>
      <c r="U105" s="2"/>
      <c r="V105" s="2"/>
      <c r="W105" s="2"/>
      <c r="X105" s="2"/>
      <c r="Y105" s="2"/>
      <c r="Z105" s="2"/>
      <c r="AA105" s="2"/>
      <c r="AB105" s="2"/>
    </row>
    <row r="106" spans="1:28" s="12" customFormat="1" x14ac:dyDescent="0.2">
      <c r="A106" s="8"/>
      <c r="B106" s="9"/>
      <c r="C106" s="10"/>
      <c r="D106" s="8"/>
      <c r="E106" s="11"/>
      <c r="F106" s="11"/>
      <c r="G106" s="2"/>
      <c r="H106" s="2"/>
      <c r="I106" s="2"/>
      <c r="J106" s="2"/>
      <c r="K106" s="2"/>
      <c r="L106" s="2"/>
      <c r="M106" s="2"/>
      <c r="N106" s="2"/>
      <c r="O106" s="2"/>
      <c r="P106" s="2"/>
      <c r="Q106" s="2"/>
      <c r="R106" s="2"/>
      <c r="S106" s="2"/>
      <c r="T106" s="2"/>
      <c r="U106" s="2"/>
      <c r="V106" s="2"/>
      <c r="W106" s="2"/>
      <c r="X106" s="2"/>
      <c r="Y106" s="2"/>
      <c r="Z106" s="2"/>
      <c r="AA106" s="2"/>
      <c r="AB106" s="2"/>
    </row>
    <row r="107" spans="1:28" s="12" customFormat="1" ht="13.5" customHeight="1" x14ac:dyDescent="0.2">
      <c r="A107" s="8"/>
      <c r="B107" s="9"/>
      <c r="C107" s="10"/>
      <c r="D107" s="8"/>
      <c r="E107" s="11"/>
      <c r="F107" s="11"/>
      <c r="G107" s="2"/>
      <c r="H107" s="2"/>
      <c r="I107" s="2"/>
      <c r="J107" s="2"/>
      <c r="K107" s="2"/>
      <c r="L107" s="2"/>
      <c r="M107" s="2"/>
      <c r="N107" s="2"/>
      <c r="O107" s="2"/>
      <c r="P107" s="2"/>
      <c r="Q107" s="2"/>
      <c r="R107" s="2"/>
      <c r="S107" s="2"/>
      <c r="T107" s="2"/>
      <c r="U107" s="2"/>
      <c r="V107" s="2"/>
      <c r="W107" s="2"/>
      <c r="X107" s="2"/>
      <c r="Y107" s="2"/>
      <c r="Z107" s="2"/>
      <c r="AA107" s="2"/>
      <c r="AB107" s="2"/>
    </row>
    <row r="108" spans="1:28" s="12" customFormat="1" x14ac:dyDescent="0.2">
      <c r="A108" s="8"/>
      <c r="B108" s="9"/>
      <c r="C108" s="10"/>
      <c r="D108" s="8"/>
      <c r="E108" s="11"/>
      <c r="F108" s="11"/>
      <c r="G108" s="2"/>
      <c r="H108" s="2"/>
      <c r="I108" s="2"/>
      <c r="J108" s="2"/>
      <c r="K108" s="2"/>
      <c r="L108" s="2"/>
      <c r="M108" s="2"/>
      <c r="N108" s="2"/>
      <c r="O108" s="2"/>
      <c r="P108" s="2"/>
      <c r="Q108" s="2"/>
      <c r="R108" s="2"/>
      <c r="S108" s="2"/>
      <c r="T108" s="2"/>
      <c r="U108" s="2"/>
      <c r="V108" s="2"/>
      <c r="W108" s="2"/>
      <c r="X108" s="2"/>
      <c r="Y108" s="2"/>
      <c r="Z108" s="2"/>
      <c r="AA108" s="2"/>
      <c r="AB108" s="2"/>
    </row>
    <row r="109" spans="1:28" s="12" customFormat="1" x14ac:dyDescent="0.2">
      <c r="A109" s="8"/>
      <c r="B109" s="9"/>
      <c r="C109" s="10"/>
      <c r="D109" s="8"/>
      <c r="E109" s="11"/>
      <c r="F109" s="11"/>
      <c r="G109" s="2"/>
      <c r="H109" s="2"/>
      <c r="I109" s="2"/>
      <c r="J109" s="2"/>
      <c r="K109" s="2"/>
      <c r="L109" s="2"/>
      <c r="M109" s="2"/>
      <c r="N109" s="2"/>
      <c r="O109" s="2"/>
      <c r="P109" s="2"/>
      <c r="Q109" s="2"/>
      <c r="R109" s="2"/>
      <c r="S109" s="2"/>
      <c r="T109" s="2"/>
      <c r="U109" s="2"/>
      <c r="V109" s="2"/>
      <c r="W109" s="2"/>
      <c r="X109" s="2"/>
      <c r="Y109" s="2"/>
      <c r="Z109" s="2"/>
      <c r="AA109" s="2"/>
      <c r="AB109" s="2"/>
    </row>
    <row r="110" spans="1:28" s="12" customFormat="1" x14ac:dyDescent="0.2">
      <c r="A110" s="8"/>
      <c r="B110" s="9"/>
      <c r="C110" s="10"/>
      <c r="D110" s="8"/>
      <c r="E110" s="11"/>
      <c r="F110" s="11"/>
      <c r="G110" s="2"/>
      <c r="H110" s="2"/>
      <c r="I110" s="2"/>
      <c r="J110" s="2"/>
      <c r="K110" s="2"/>
      <c r="L110" s="2"/>
      <c r="M110" s="2"/>
      <c r="N110" s="2"/>
      <c r="O110" s="2"/>
      <c r="P110" s="2"/>
      <c r="Q110" s="2"/>
      <c r="R110" s="2"/>
      <c r="S110" s="2"/>
      <c r="T110" s="2"/>
      <c r="U110" s="2"/>
      <c r="V110" s="2"/>
      <c r="W110" s="2"/>
      <c r="X110" s="2"/>
      <c r="Y110" s="2"/>
      <c r="Z110" s="2"/>
      <c r="AA110" s="2"/>
      <c r="AB110" s="2"/>
    </row>
    <row r="111" spans="1:28" s="12" customFormat="1" x14ac:dyDescent="0.2">
      <c r="A111" s="8"/>
      <c r="B111" s="9"/>
      <c r="C111" s="10"/>
      <c r="D111" s="8"/>
      <c r="E111" s="11"/>
      <c r="F111" s="11"/>
      <c r="G111" s="2"/>
      <c r="H111" s="2"/>
      <c r="I111" s="2"/>
      <c r="J111" s="2"/>
      <c r="K111" s="2"/>
      <c r="L111" s="2"/>
      <c r="M111" s="2"/>
      <c r="N111" s="2"/>
      <c r="O111" s="2"/>
      <c r="P111" s="2"/>
      <c r="Q111" s="2"/>
      <c r="R111" s="2"/>
      <c r="S111" s="2"/>
      <c r="T111" s="2"/>
      <c r="U111" s="2"/>
      <c r="V111" s="2"/>
      <c r="W111" s="2"/>
      <c r="X111" s="2"/>
      <c r="Y111" s="2"/>
      <c r="Z111" s="2"/>
      <c r="AA111" s="2"/>
      <c r="AB111" s="2"/>
    </row>
    <row r="112" spans="1:28" s="12" customFormat="1" x14ac:dyDescent="0.2">
      <c r="A112" s="8"/>
      <c r="B112" s="9"/>
      <c r="C112" s="10"/>
      <c r="D112" s="8"/>
      <c r="E112" s="11"/>
      <c r="F112" s="11"/>
      <c r="G112" s="2"/>
      <c r="H112" s="2"/>
      <c r="I112" s="2"/>
      <c r="J112" s="2"/>
      <c r="K112" s="2"/>
      <c r="L112" s="2"/>
      <c r="M112" s="2"/>
      <c r="N112" s="2"/>
      <c r="O112" s="2"/>
      <c r="P112" s="2"/>
      <c r="Q112" s="2"/>
      <c r="R112" s="2"/>
      <c r="S112" s="2"/>
      <c r="T112" s="2"/>
      <c r="U112" s="2"/>
      <c r="V112" s="2"/>
      <c r="W112" s="2"/>
      <c r="X112" s="2"/>
      <c r="Y112" s="2"/>
      <c r="Z112" s="2"/>
      <c r="AA112" s="2"/>
      <c r="AB112" s="2"/>
    </row>
    <row r="113" spans="1:28" s="12" customFormat="1" x14ac:dyDescent="0.2">
      <c r="A113" s="8"/>
      <c r="B113" s="9"/>
      <c r="C113" s="10"/>
      <c r="D113" s="8"/>
      <c r="E113" s="11"/>
      <c r="F113" s="11"/>
      <c r="G113" s="2"/>
      <c r="H113" s="2"/>
      <c r="I113" s="2"/>
      <c r="J113" s="2"/>
      <c r="K113" s="2"/>
      <c r="L113" s="2"/>
      <c r="M113" s="2"/>
      <c r="N113" s="2"/>
      <c r="O113" s="2"/>
      <c r="P113" s="2"/>
      <c r="Q113" s="2"/>
      <c r="R113" s="2"/>
      <c r="S113" s="2"/>
      <c r="T113" s="2"/>
      <c r="U113" s="2"/>
      <c r="V113" s="2"/>
      <c r="W113" s="2"/>
      <c r="X113" s="2"/>
      <c r="Y113" s="2"/>
      <c r="Z113" s="2"/>
      <c r="AA113" s="2"/>
      <c r="AB113" s="2"/>
    </row>
    <row r="114" spans="1:28" s="12" customFormat="1" x14ac:dyDescent="0.2">
      <c r="A114" s="8"/>
      <c r="B114" s="9"/>
      <c r="C114" s="10"/>
      <c r="D114" s="8"/>
      <c r="E114" s="11"/>
      <c r="F114" s="11"/>
      <c r="G114" s="2"/>
      <c r="H114" s="2"/>
      <c r="I114" s="2"/>
      <c r="J114" s="2"/>
      <c r="K114" s="2"/>
      <c r="L114" s="2"/>
      <c r="M114" s="2"/>
      <c r="N114" s="2"/>
      <c r="O114" s="2"/>
      <c r="P114" s="2"/>
      <c r="Q114" s="2"/>
      <c r="R114" s="2"/>
      <c r="S114" s="2"/>
      <c r="T114" s="2"/>
      <c r="U114" s="2"/>
      <c r="V114" s="2"/>
      <c r="W114" s="2"/>
      <c r="X114" s="2"/>
      <c r="Y114" s="2"/>
      <c r="Z114" s="2"/>
      <c r="AA114" s="2"/>
      <c r="AB114" s="2"/>
    </row>
    <row r="115" spans="1:28" s="12" customFormat="1" x14ac:dyDescent="0.2">
      <c r="A115" s="8"/>
      <c r="B115" s="9"/>
      <c r="C115" s="10"/>
      <c r="D115" s="8"/>
      <c r="E115" s="11"/>
      <c r="F115" s="11"/>
      <c r="G115" s="2"/>
      <c r="H115" s="2"/>
      <c r="I115" s="2"/>
      <c r="J115" s="2"/>
      <c r="K115" s="2"/>
      <c r="L115" s="2"/>
      <c r="M115" s="2"/>
      <c r="N115" s="2"/>
      <c r="O115" s="2"/>
      <c r="P115" s="2"/>
      <c r="Q115" s="2"/>
      <c r="R115" s="2"/>
      <c r="S115" s="2"/>
      <c r="T115" s="2"/>
      <c r="U115" s="2"/>
      <c r="V115" s="2"/>
      <c r="W115" s="2"/>
      <c r="X115" s="2"/>
      <c r="Y115" s="2"/>
      <c r="Z115" s="2"/>
      <c r="AA115" s="2"/>
      <c r="AB115" s="2"/>
    </row>
    <row r="116" spans="1:28" s="12" customFormat="1" x14ac:dyDescent="0.2">
      <c r="A116" s="8"/>
      <c r="B116" s="9"/>
      <c r="C116" s="10"/>
      <c r="D116" s="8"/>
      <c r="E116" s="11"/>
      <c r="F116" s="11"/>
      <c r="G116" s="2"/>
      <c r="H116" s="2"/>
      <c r="I116" s="2"/>
      <c r="J116" s="2"/>
      <c r="K116" s="2"/>
      <c r="L116" s="2"/>
      <c r="M116" s="2"/>
      <c r="N116" s="2"/>
      <c r="O116" s="2"/>
      <c r="P116" s="2"/>
      <c r="Q116" s="2"/>
      <c r="R116" s="2"/>
      <c r="S116" s="2"/>
      <c r="T116" s="2"/>
      <c r="U116" s="2"/>
      <c r="V116" s="2"/>
      <c r="W116" s="2"/>
      <c r="X116" s="2"/>
      <c r="Y116" s="2"/>
      <c r="Z116" s="2"/>
      <c r="AA116" s="2"/>
      <c r="AB116" s="2"/>
    </row>
    <row r="117" spans="1:28" s="12" customFormat="1" ht="13.5" customHeight="1" x14ac:dyDescent="0.2">
      <c r="A117" s="8"/>
      <c r="B117" s="9"/>
      <c r="C117" s="10"/>
      <c r="D117" s="8"/>
      <c r="E117" s="11"/>
      <c r="F117" s="11"/>
      <c r="G117" s="2"/>
      <c r="H117" s="2"/>
      <c r="I117" s="2"/>
      <c r="J117" s="2"/>
      <c r="K117" s="2"/>
      <c r="L117" s="2"/>
      <c r="M117" s="2"/>
      <c r="N117" s="2"/>
      <c r="O117" s="2"/>
      <c r="P117" s="2"/>
      <c r="Q117" s="2"/>
      <c r="R117" s="2"/>
      <c r="S117" s="2"/>
      <c r="T117" s="2"/>
      <c r="U117" s="2"/>
      <c r="V117" s="2"/>
      <c r="W117" s="2"/>
      <c r="X117" s="2"/>
      <c r="Y117" s="2"/>
      <c r="Z117" s="2"/>
      <c r="AA117" s="2"/>
      <c r="AB117" s="2"/>
    </row>
    <row r="118" spans="1:28" s="13" customFormat="1" x14ac:dyDescent="0.2">
      <c r="A118" s="8"/>
      <c r="B118" s="9"/>
      <c r="C118" s="10"/>
      <c r="D118" s="8"/>
      <c r="E118" s="11"/>
      <c r="F118" s="11"/>
      <c r="G118" s="2"/>
      <c r="H118" s="2"/>
      <c r="I118" s="2"/>
      <c r="J118" s="2"/>
      <c r="K118" s="2"/>
      <c r="L118" s="2"/>
      <c r="M118" s="2"/>
      <c r="N118" s="2"/>
      <c r="O118" s="2"/>
      <c r="P118" s="2"/>
      <c r="Q118" s="2"/>
      <c r="R118" s="2"/>
      <c r="S118" s="2"/>
      <c r="T118" s="2"/>
      <c r="U118" s="2"/>
      <c r="V118" s="2"/>
      <c r="W118" s="2"/>
      <c r="X118" s="2"/>
      <c r="Y118" s="2"/>
      <c r="Z118" s="2"/>
      <c r="AA118" s="2"/>
      <c r="AB118" s="2"/>
    </row>
    <row r="119" spans="1:28" s="12" customFormat="1" x14ac:dyDescent="0.2">
      <c r="A119" s="8"/>
      <c r="B119" s="9"/>
      <c r="C119" s="10"/>
      <c r="D119" s="8"/>
      <c r="E119" s="11"/>
      <c r="F119" s="11"/>
      <c r="G119" s="2"/>
      <c r="H119" s="2"/>
      <c r="I119" s="2"/>
      <c r="J119" s="2"/>
      <c r="K119" s="2"/>
      <c r="L119" s="2"/>
      <c r="M119" s="2"/>
      <c r="N119" s="2"/>
      <c r="O119" s="2"/>
      <c r="P119" s="2"/>
      <c r="Q119" s="2"/>
      <c r="R119" s="2"/>
      <c r="S119" s="2"/>
      <c r="T119" s="2"/>
      <c r="U119" s="2"/>
      <c r="V119" s="2"/>
      <c r="W119" s="2"/>
      <c r="X119" s="2"/>
      <c r="Y119" s="2"/>
      <c r="Z119" s="2"/>
      <c r="AA119" s="2"/>
      <c r="AB119" s="2"/>
    </row>
    <row r="120" spans="1:28" s="12" customFormat="1" x14ac:dyDescent="0.2">
      <c r="A120" s="8"/>
      <c r="B120" s="9"/>
      <c r="C120" s="10"/>
      <c r="D120" s="8"/>
      <c r="E120" s="11"/>
      <c r="F120" s="11"/>
      <c r="G120" s="2"/>
      <c r="H120" s="2"/>
      <c r="I120" s="2"/>
      <c r="J120" s="2"/>
      <c r="K120" s="2"/>
      <c r="L120" s="2"/>
      <c r="M120" s="2"/>
      <c r="N120" s="2"/>
      <c r="O120" s="2"/>
      <c r="P120" s="2"/>
      <c r="Q120" s="2"/>
      <c r="R120" s="2"/>
      <c r="S120" s="2"/>
      <c r="T120" s="2"/>
      <c r="U120" s="2"/>
      <c r="V120" s="2"/>
      <c r="W120" s="2"/>
      <c r="X120" s="2"/>
      <c r="Y120" s="2"/>
      <c r="Z120" s="2"/>
      <c r="AA120" s="2"/>
      <c r="AB120" s="2"/>
    </row>
    <row r="121" spans="1:28" s="12" customFormat="1" x14ac:dyDescent="0.2">
      <c r="A121" s="8"/>
      <c r="B121" s="9"/>
      <c r="C121" s="10"/>
      <c r="D121" s="8"/>
      <c r="E121" s="11"/>
      <c r="F121" s="11"/>
      <c r="G121" s="2"/>
      <c r="H121" s="2"/>
      <c r="I121" s="2"/>
      <c r="J121" s="2"/>
      <c r="K121" s="2"/>
      <c r="L121" s="2"/>
      <c r="M121" s="2"/>
      <c r="N121" s="2"/>
      <c r="O121" s="2"/>
      <c r="P121" s="2"/>
      <c r="Q121" s="2"/>
      <c r="R121" s="2"/>
      <c r="S121" s="2"/>
      <c r="T121" s="2"/>
      <c r="U121" s="2"/>
      <c r="V121" s="2"/>
      <c r="W121" s="2"/>
      <c r="X121" s="2"/>
      <c r="Y121" s="2"/>
      <c r="Z121" s="2"/>
      <c r="AA121" s="2"/>
      <c r="AB121" s="2"/>
    </row>
    <row r="122" spans="1:28" s="12" customFormat="1" x14ac:dyDescent="0.2">
      <c r="A122" s="8"/>
      <c r="B122" s="9"/>
      <c r="C122" s="10"/>
      <c r="D122" s="8"/>
      <c r="E122" s="11"/>
      <c r="F122" s="11"/>
      <c r="G122" s="2"/>
      <c r="H122" s="2"/>
      <c r="I122" s="2"/>
      <c r="J122" s="2"/>
      <c r="K122" s="2"/>
      <c r="L122" s="2"/>
      <c r="M122" s="2"/>
      <c r="N122" s="2"/>
      <c r="O122" s="2"/>
      <c r="P122" s="2"/>
      <c r="Q122" s="2"/>
      <c r="R122" s="2"/>
      <c r="S122" s="2"/>
      <c r="T122" s="2"/>
      <c r="U122" s="2"/>
      <c r="V122" s="2"/>
      <c r="W122" s="2"/>
      <c r="X122" s="2"/>
      <c r="Y122" s="2"/>
      <c r="Z122" s="2"/>
      <c r="AA122" s="2"/>
      <c r="AB122" s="2"/>
    </row>
    <row r="123" spans="1:28" s="12" customFormat="1" x14ac:dyDescent="0.2">
      <c r="A123" s="8"/>
      <c r="B123" s="9"/>
      <c r="C123" s="10"/>
      <c r="D123" s="8"/>
      <c r="E123" s="11"/>
      <c r="F123" s="11"/>
      <c r="G123" s="2"/>
      <c r="H123" s="2"/>
      <c r="I123" s="2"/>
      <c r="J123" s="2"/>
      <c r="K123" s="2"/>
      <c r="L123" s="2"/>
      <c r="M123" s="2"/>
      <c r="N123" s="2"/>
      <c r="O123" s="2"/>
      <c r="P123" s="2"/>
      <c r="Q123" s="2"/>
      <c r="R123" s="2"/>
      <c r="S123" s="2"/>
      <c r="T123" s="2"/>
      <c r="U123" s="2"/>
      <c r="V123" s="2"/>
      <c r="W123" s="2"/>
      <c r="X123" s="2"/>
      <c r="Y123" s="2"/>
      <c r="Z123" s="2"/>
      <c r="AA123" s="2"/>
      <c r="AB123" s="2"/>
    </row>
    <row r="124" spans="1:28" s="12" customFormat="1" x14ac:dyDescent="0.2">
      <c r="A124" s="8"/>
      <c r="B124" s="9"/>
      <c r="C124" s="10"/>
      <c r="D124" s="8"/>
      <c r="E124" s="11"/>
      <c r="F124" s="11"/>
      <c r="G124" s="2"/>
      <c r="H124" s="2"/>
      <c r="I124" s="2"/>
      <c r="J124" s="2"/>
      <c r="K124" s="2"/>
      <c r="L124" s="2"/>
      <c r="M124" s="2"/>
      <c r="N124" s="2"/>
      <c r="O124" s="2"/>
      <c r="P124" s="2"/>
      <c r="Q124" s="2"/>
      <c r="R124" s="2"/>
      <c r="S124" s="2"/>
      <c r="T124" s="2"/>
      <c r="U124" s="2"/>
      <c r="V124" s="2"/>
      <c r="W124" s="2"/>
      <c r="X124" s="2"/>
      <c r="Y124" s="2"/>
      <c r="Z124" s="2"/>
      <c r="AA124" s="2"/>
      <c r="AB124" s="2"/>
    </row>
    <row r="125" spans="1:28" s="12" customFormat="1" x14ac:dyDescent="0.2">
      <c r="A125" s="8"/>
      <c r="B125" s="9"/>
      <c r="C125" s="10"/>
      <c r="D125" s="8"/>
      <c r="E125" s="11"/>
      <c r="F125" s="11"/>
      <c r="G125" s="2"/>
      <c r="H125" s="2"/>
      <c r="I125" s="2"/>
      <c r="J125" s="2"/>
      <c r="K125" s="2"/>
      <c r="L125" s="2"/>
      <c r="M125" s="2"/>
      <c r="N125" s="2"/>
      <c r="O125" s="2"/>
      <c r="P125" s="2"/>
      <c r="Q125" s="2"/>
      <c r="R125" s="2"/>
      <c r="S125" s="2"/>
      <c r="T125" s="2"/>
      <c r="U125" s="2"/>
      <c r="V125" s="2"/>
      <c r="W125" s="2"/>
      <c r="X125" s="2"/>
      <c r="Y125" s="2"/>
      <c r="Z125" s="2"/>
      <c r="AA125" s="2"/>
      <c r="AB125" s="2"/>
    </row>
    <row r="126" spans="1:28" s="12" customFormat="1" x14ac:dyDescent="0.2">
      <c r="A126" s="8"/>
      <c r="B126" s="9"/>
      <c r="C126" s="10"/>
      <c r="D126" s="8"/>
      <c r="E126" s="11"/>
      <c r="F126" s="11"/>
      <c r="G126" s="2"/>
      <c r="H126" s="2"/>
      <c r="I126" s="2"/>
      <c r="J126" s="2"/>
      <c r="K126" s="2"/>
      <c r="L126" s="2"/>
      <c r="M126" s="2"/>
      <c r="N126" s="2"/>
      <c r="O126" s="2"/>
      <c r="P126" s="2"/>
      <c r="Q126" s="2"/>
      <c r="R126" s="2"/>
      <c r="S126" s="2"/>
      <c r="T126" s="2"/>
      <c r="U126" s="2"/>
      <c r="V126" s="2"/>
      <c r="W126" s="2"/>
      <c r="X126" s="2"/>
      <c r="Y126" s="2"/>
      <c r="Z126" s="2"/>
      <c r="AA126" s="2"/>
      <c r="AB126" s="2"/>
    </row>
    <row r="127" spans="1:28" s="12" customFormat="1" x14ac:dyDescent="0.2">
      <c r="A127" s="8"/>
      <c r="B127" s="9"/>
      <c r="C127" s="10"/>
      <c r="D127" s="8"/>
      <c r="E127" s="11"/>
      <c r="F127" s="11"/>
      <c r="G127" s="2"/>
      <c r="H127" s="2"/>
      <c r="I127" s="2"/>
      <c r="J127" s="2"/>
      <c r="K127" s="2"/>
      <c r="L127" s="2"/>
      <c r="M127" s="2"/>
      <c r="N127" s="2"/>
      <c r="O127" s="2"/>
      <c r="P127" s="2"/>
      <c r="Q127" s="2"/>
      <c r="R127" s="2"/>
      <c r="S127" s="2"/>
      <c r="T127" s="2"/>
      <c r="U127" s="2"/>
      <c r="V127" s="2"/>
      <c r="W127" s="2"/>
      <c r="X127" s="2"/>
      <c r="Y127" s="2"/>
      <c r="Z127" s="2"/>
      <c r="AA127" s="2"/>
      <c r="AB127" s="2"/>
    </row>
    <row r="128" spans="1:28" s="12" customFormat="1" x14ac:dyDescent="0.2">
      <c r="A128" s="8"/>
      <c r="B128" s="9"/>
      <c r="C128" s="10"/>
      <c r="D128" s="8"/>
      <c r="E128" s="11"/>
      <c r="F128" s="11"/>
      <c r="G128" s="2"/>
      <c r="H128" s="2"/>
      <c r="I128" s="2"/>
      <c r="J128" s="2"/>
      <c r="K128" s="2"/>
      <c r="L128" s="2"/>
      <c r="M128" s="2"/>
      <c r="N128" s="2"/>
      <c r="O128" s="2"/>
      <c r="P128" s="2"/>
      <c r="Q128" s="2"/>
      <c r="R128" s="2"/>
      <c r="S128" s="2"/>
      <c r="T128" s="2"/>
      <c r="U128" s="2"/>
      <c r="V128" s="2"/>
      <c r="W128" s="2"/>
      <c r="X128" s="2"/>
      <c r="Y128" s="2"/>
      <c r="Z128" s="2"/>
      <c r="AA128" s="2"/>
      <c r="AB128" s="2"/>
    </row>
    <row r="129" spans="1:28" s="12" customFormat="1" x14ac:dyDescent="0.2">
      <c r="A129" s="8"/>
      <c r="B129" s="9"/>
      <c r="C129" s="10"/>
      <c r="D129" s="8"/>
      <c r="E129" s="11"/>
      <c r="F129" s="11"/>
      <c r="G129" s="2"/>
      <c r="H129" s="2"/>
      <c r="I129" s="2"/>
      <c r="J129" s="2"/>
      <c r="K129" s="2"/>
      <c r="L129" s="2"/>
      <c r="M129" s="2"/>
      <c r="N129" s="2"/>
      <c r="O129" s="2"/>
      <c r="P129" s="2"/>
      <c r="Q129" s="2"/>
      <c r="R129" s="2"/>
      <c r="S129" s="2"/>
      <c r="T129" s="2"/>
      <c r="U129" s="2"/>
      <c r="V129" s="2"/>
      <c r="W129" s="2"/>
      <c r="X129" s="2"/>
      <c r="Y129" s="2"/>
      <c r="Z129" s="2"/>
      <c r="AA129" s="2"/>
      <c r="AB129" s="2"/>
    </row>
    <row r="130" spans="1:28" s="12" customFormat="1" x14ac:dyDescent="0.2">
      <c r="A130" s="8"/>
      <c r="B130" s="9"/>
      <c r="C130" s="10"/>
      <c r="D130" s="8"/>
      <c r="E130" s="11"/>
      <c r="F130" s="11"/>
      <c r="G130" s="2"/>
      <c r="H130" s="2"/>
      <c r="I130" s="2"/>
      <c r="J130" s="2"/>
      <c r="K130" s="2"/>
      <c r="L130" s="2"/>
      <c r="M130" s="2"/>
      <c r="N130" s="2"/>
      <c r="O130" s="2"/>
      <c r="P130" s="2"/>
      <c r="Q130" s="2"/>
      <c r="R130" s="2"/>
      <c r="S130" s="2"/>
      <c r="T130" s="2"/>
      <c r="U130" s="2"/>
      <c r="V130" s="2"/>
      <c r="W130" s="2"/>
      <c r="X130" s="2"/>
      <c r="Y130" s="2"/>
      <c r="Z130" s="2"/>
      <c r="AA130" s="2"/>
      <c r="AB130" s="2"/>
    </row>
    <row r="131" spans="1:28" s="12" customFormat="1" x14ac:dyDescent="0.2">
      <c r="A131" s="8"/>
      <c r="B131" s="9"/>
      <c r="C131" s="10"/>
      <c r="D131" s="8"/>
      <c r="E131" s="11"/>
      <c r="F131" s="11"/>
      <c r="G131" s="2"/>
      <c r="H131" s="2"/>
      <c r="I131" s="2"/>
      <c r="J131" s="2"/>
      <c r="K131" s="2"/>
      <c r="L131" s="2"/>
      <c r="M131" s="2"/>
      <c r="N131" s="2"/>
      <c r="O131" s="2"/>
      <c r="P131" s="2"/>
      <c r="Q131" s="2"/>
      <c r="R131" s="2"/>
      <c r="S131" s="2"/>
      <c r="T131" s="2"/>
      <c r="U131" s="2"/>
      <c r="V131" s="2"/>
      <c r="W131" s="2"/>
      <c r="X131" s="2"/>
      <c r="Y131" s="2"/>
      <c r="Z131" s="2"/>
      <c r="AA131" s="2"/>
      <c r="AB131" s="2"/>
    </row>
    <row r="132" spans="1:28" s="12" customFormat="1" x14ac:dyDescent="0.2">
      <c r="A132" s="8"/>
      <c r="B132" s="9"/>
      <c r="C132" s="10"/>
      <c r="D132" s="8"/>
      <c r="E132" s="11"/>
      <c r="F132" s="11"/>
      <c r="G132" s="2"/>
      <c r="H132" s="2"/>
      <c r="I132" s="2"/>
      <c r="J132" s="2"/>
      <c r="K132" s="2"/>
      <c r="L132" s="2"/>
      <c r="M132" s="2"/>
      <c r="N132" s="2"/>
      <c r="O132" s="2"/>
      <c r="P132" s="2"/>
      <c r="Q132" s="2"/>
      <c r="R132" s="2"/>
      <c r="S132" s="2"/>
      <c r="T132" s="2"/>
      <c r="U132" s="2"/>
      <c r="V132" s="2"/>
      <c r="W132" s="2"/>
      <c r="X132" s="2"/>
      <c r="Y132" s="2"/>
      <c r="Z132" s="2"/>
      <c r="AA132" s="2"/>
      <c r="AB132" s="2"/>
    </row>
    <row r="133" spans="1:28" s="12" customFormat="1" x14ac:dyDescent="0.2">
      <c r="A133" s="8"/>
      <c r="B133" s="9"/>
      <c r="C133" s="10"/>
      <c r="D133" s="8"/>
      <c r="E133" s="11"/>
      <c r="F133" s="11"/>
      <c r="G133" s="2"/>
      <c r="H133" s="2"/>
      <c r="I133" s="2"/>
      <c r="J133" s="2"/>
      <c r="K133" s="2"/>
      <c r="L133" s="2"/>
      <c r="M133" s="2"/>
      <c r="N133" s="2"/>
      <c r="O133" s="2"/>
      <c r="P133" s="2"/>
      <c r="Q133" s="2"/>
      <c r="R133" s="2"/>
      <c r="S133" s="2"/>
      <c r="T133" s="2"/>
      <c r="U133" s="2"/>
      <c r="V133" s="2"/>
      <c r="W133" s="2"/>
      <c r="X133" s="2"/>
      <c r="Y133" s="2"/>
      <c r="Z133" s="2"/>
      <c r="AA133" s="2"/>
      <c r="AB133" s="2"/>
    </row>
    <row r="134" spans="1:28" s="12" customFormat="1" x14ac:dyDescent="0.2">
      <c r="A134" s="8"/>
      <c r="B134" s="9"/>
      <c r="C134" s="10"/>
      <c r="D134" s="8"/>
      <c r="E134" s="11"/>
      <c r="F134" s="11"/>
      <c r="G134" s="2"/>
      <c r="H134" s="2"/>
      <c r="I134" s="2"/>
      <c r="J134" s="2"/>
      <c r="K134" s="2"/>
      <c r="L134" s="2"/>
      <c r="M134" s="2"/>
      <c r="N134" s="2"/>
      <c r="O134" s="2"/>
      <c r="P134" s="2"/>
      <c r="Q134" s="2"/>
      <c r="R134" s="2"/>
      <c r="S134" s="2"/>
      <c r="T134" s="2"/>
      <c r="U134" s="2"/>
      <c r="V134" s="2"/>
      <c r="W134" s="2"/>
      <c r="X134" s="2"/>
      <c r="Y134" s="2"/>
      <c r="Z134" s="2"/>
      <c r="AA134" s="2"/>
      <c r="AB134" s="2"/>
    </row>
    <row r="135" spans="1:28" s="12" customFormat="1" x14ac:dyDescent="0.2">
      <c r="A135" s="8"/>
      <c r="B135" s="9"/>
      <c r="C135" s="10"/>
      <c r="D135" s="8"/>
      <c r="E135" s="11"/>
      <c r="F135" s="11"/>
      <c r="G135" s="2"/>
      <c r="H135" s="2"/>
      <c r="I135" s="2"/>
      <c r="J135" s="2"/>
      <c r="K135" s="2"/>
      <c r="L135" s="2"/>
      <c r="M135" s="2"/>
      <c r="N135" s="2"/>
      <c r="O135" s="2"/>
      <c r="P135" s="2"/>
      <c r="Q135" s="2"/>
      <c r="R135" s="2"/>
      <c r="S135" s="2"/>
      <c r="T135" s="2"/>
      <c r="U135" s="2"/>
      <c r="V135" s="2"/>
      <c r="W135" s="2"/>
      <c r="X135" s="2"/>
      <c r="Y135" s="2"/>
      <c r="Z135" s="2"/>
      <c r="AA135" s="2"/>
      <c r="AB135" s="2"/>
    </row>
    <row r="136" spans="1:28" s="12" customFormat="1" x14ac:dyDescent="0.2">
      <c r="A136" s="8"/>
      <c r="B136" s="9"/>
      <c r="C136" s="10"/>
      <c r="D136" s="8"/>
      <c r="E136" s="11"/>
      <c r="F136" s="11"/>
      <c r="G136" s="2"/>
      <c r="H136" s="2"/>
      <c r="I136" s="2"/>
      <c r="J136" s="2"/>
      <c r="K136" s="2"/>
      <c r="L136" s="2"/>
      <c r="M136" s="2"/>
      <c r="N136" s="2"/>
      <c r="O136" s="2"/>
      <c r="P136" s="2"/>
      <c r="Q136" s="2"/>
      <c r="R136" s="2"/>
      <c r="S136" s="2"/>
      <c r="T136" s="2"/>
      <c r="U136" s="2"/>
      <c r="V136" s="2"/>
      <c r="W136" s="2"/>
      <c r="X136" s="2"/>
      <c r="Y136" s="2"/>
      <c r="Z136" s="2"/>
      <c r="AA136" s="2"/>
      <c r="AB136" s="2"/>
    </row>
    <row r="137" spans="1:28" s="12" customFormat="1" x14ac:dyDescent="0.2">
      <c r="A137" s="8"/>
      <c r="B137" s="9"/>
      <c r="C137" s="10"/>
      <c r="D137" s="8"/>
      <c r="E137" s="11"/>
      <c r="F137" s="11"/>
      <c r="G137" s="2"/>
      <c r="H137" s="2"/>
      <c r="I137" s="2"/>
      <c r="J137" s="2"/>
      <c r="K137" s="2"/>
      <c r="L137" s="2"/>
      <c r="M137" s="2"/>
      <c r="N137" s="2"/>
      <c r="O137" s="2"/>
      <c r="P137" s="2"/>
      <c r="Q137" s="2"/>
      <c r="R137" s="2"/>
      <c r="S137" s="2"/>
      <c r="T137" s="2"/>
      <c r="U137" s="2"/>
      <c r="V137" s="2"/>
      <c r="W137" s="2"/>
      <c r="X137" s="2"/>
      <c r="Y137" s="2"/>
      <c r="Z137" s="2"/>
      <c r="AA137" s="2"/>
      <c r="AB137" s="2"/>
    </row>
    <row r="138" spans="1:28" s="12" customFormat="1" x14ac:dyDescent="0.2">
      <c r="A138" s="8"/>
      <c r="B138" s="9"/>
      <c r="C138" s="10"/>
      <c r="D138" s="8"/>
      <c r="E138" s="11"/>
      <c r="F138" s="11"/>
      <c r="G138" s="2"/>
      <c r="H138" s="2"/>
      <c r="I138" s="2"/>
      <c r="J138" s="2"/>
      <c r="K138" s="2"/>
      <c r="L138" s="2"/>
      <c r="M138" s="2"/>
      <c r="N138" s="2"/>
      <c r="O138" s="2"/>
      <c r="P138" s="2"/>
      <c r="Q138" s="2"/>
      <c r="R138" s="2"/>
      <c r="S138" s="2"/>
      <c r="T138" s="2"/>
      <c r="U138" s="2"/>
      <c r="V138" s="2"/>
      <c r="W138" s="2"/>
      <c r="X138" s="2"/>
      <c r="Y138" s="2"/>
      <c r="Z138" s="2"/>
      <c r="AA138" s="2"/>
      <c r="AB138" s="2"/>
    </row>
    <row r="139" spans="1:28" s="12" customFormat="1" x14ac:dyDescent="0.2">
      <c r="A139" s="8"/>
      <c r="B139" s="9"/>
      <c r="C139" s="10"/>
      <c r="D139" s="8"/>
      <c r="E139" s="11"/>
      <c r="F139" s="11"/>
      <c r="G139" s="2"/>
      <c r="H139" s="2"/>
      <c r="I139" s="2"/>
      <c r="J139" s="2"/>
      <c r="K139" s="2"/>
      <c r="L139" s="2"/>
      <c r="M139" s="2"/>
      <c r="N139" s="2"/>
      <c r="O139" s="2"/>
      <c r="P139" s="2"/>
      <c r="Q139" s="2"/>
      <c r="R139" s="2"/>
      <c r="S139" s="2"/>
      <c r="T139" s="2"/>
      <c r="U139" s="2"/>
      <c r="V139" s="2"/>
      <c r="W139" s="2"/>
      <c r="X139" s="2"/>
      <c r="Y139" s="2"/>
      <c r="Z139" s="2"/>
      <c r="AA139" s="2"/>
      <c r="AB139" s="2"/>
    </row>
    <row r="145" spans="1:28" s="3" customFormat="1" x14ac:dyDescent="0.2">
      <c r="A145" s="8"/>
      <c r="B145" s="9"/>
      <c r="C145" s="10"/>
      <c r="D145" s="8"/>
      <c r="E145" s="11"/>
      <c r="F145" s="11"/>
      <c r="G145" s="2"/>
      <c r="H145" s="2"/>
      <c r="I145" s="2"/>
      <c r="J145" s="2"/>
      <c r="K145" s="2"/>
      <c r="L145" s="2"/>
      <c r="M145" s="2"/>
      <c r="N145" s="2"/>
      <c r="O145" s="2"/>
      <c r="P145" s="2"/>
      <c r="Q145" s="2"/>
      <c r="R145" s="2"/>
      <c r="S145" s="2"/>
      <c r="T145" s="2"/>
      <c r="U145" s="2"/>
      <c r="V145" s="2"/>
      <c r="W145" s="2"/>
      <c r="X145" s="2"/>
      <c r="Y145" s="2"/>
      <c r="Z145" s="2"/>
      <c r="AA145" s="2"/>
      <c r="AB145" s="2"/>
    </row>
    <row r="146" spans="1:28" s="3" customFormat="1" x14ac:dyDescent="0.2">
      <c r="A146" s="8"/>
      <c r="B146" s="9"/>
      <c r="C146" s="10"/>
      <c r="D146" s="8"/>
      <c r="E146" s="11"/>
      <c r="F146" s="11"/>
      <c r="G146" s="2"/>
      <c r="H146" s="2"/>
      <c r="I146" s="2"/>
      <c r="J146" s="2"/>
      <c r="K146" s="2"/>
      <c r="L146" s="2"/>
      <c r="M146" s="2"/>
      <c r="N146" s="2"/>
      <c r="O146" s="2"/>
      <c r="P146" s="2"/>
      <c r="Q146" s="2"/>
      <c r="R146" s="2"/>
      <c r="S146" s="2"/>
      <c r="T146" s="2"/>
      <c r="U146" s="2"/>
      <c r="V146" s="2"/>
      <c r="W146" s="2"/>
      <c r="X146" s="2"/>
      <c r="Y146" s="2"/>
      <c r="Z146" s="2"/>
      <c r="AA146" s="2"/>
      <c r="AB146" s="2"/>
    </row>
    <row r="147" spans="1:28" s="3" customFormat="1" x14ac:dyDescent="0.2">
      <c r="A147" s="8"/>
      <c r="B147" s="9"/>
      <c r="C147" s="10"/>
      <c r="D147" s="8"/>
      <c r="E147" s="11"/>
      <c r="F147" s="11"/>
      <c r="G147" s="2"/>
      <c r="H147" s="2"/>
      <c r="I147" s="2"/>
      <c r="J147" s="2"/>
      <c r="K147" s="2"/>
      <c r="L147" s="2"/>
      <c r="M147" s="2"/>
      <c r="N147" s="2"/>
      <c r="O147" s="2"/>
      <c r="P147" s="2"/>
      <c r="Q147" s="2"/>
      <c r="R147" s="2"/>
      <c r="S147" s="2"/>
      <c r="T147" s="2"/>
      <c r="U147" s="2"/>
      <c r="V147" s="2"/>
      <c r="W147" s="2"/>
      <c r="X147" s="2"/>
      <c r="Y147" s="2"/>
      <c r="Z147" s="2"/>
      <c r="AA147" s="2"/>
      <c r="AB147" s="2"/>
    </row>
    <row r="148" spans="1:28" s="3" customFormat="1" x14ac:dyDescent="0.2">
      <c r="A148" s="8"/>
      <c r="B148" s="9"/>
      <c r="C148" s="10"/>
      <c r="D148" s="8"/>
      <c r="E148" s="11"/>
      <c r="F148" s="11"/>
      <c r="G148" s="2"/>
      <c r="H148" s="2"/>
      <c r="I148" s="2"/>
      <c r="J148" s="2"/>
      <c r="K148" s="2"/>
      <c r="L148" s="2"/>
      <c r="M148" s="2"/>
      <c r="N148" s="2"/>
      <c r="O148" s="2"/>
      <c r="P148" s="2"/>
      <c r="Q148" s="2"/>
      <c r="R148" s="2"/>
      <c r="S148" s="2"/>
      <c r="T148" s="2"/>
      <c r="U148" s="2"/>
      <c r="V148" s="2"/>
      <c r="W148" s="2"/>
      <c r="X148" s="2"/>
      <c r="Y148" s="2"/>
      <c r="Z148" s="2"/>
      <c r="AA148" s="2"/>
      <c r="AB148" s="2"/>
    </row>
    <row r="149" spans="1:28" s="3" customFormat="1" x14ac:dyDescent="0.2">
      <c r="A149" s="8"/>
      <c r="B149" s="9"/>
      <c r="C149" s="10"/>
      <c r="D149" s="8"/>
      <c r="E149" s="11"/>
      <c r="F149" s="11"/>
      <c r="G149" s="2"/>
      <c r="H149" s="2"/>
      <c r="I149" s="2"/>
      <c r="J149" s="2"/>
      <c r="K149" s="2"/>
      <c r="L149" s="2"/>
      <c r="M149" s="2"/>
      <c r="N149" s="2"/>
      <c r="O149" s="2"/>
      <c r="P149" s="2"/>
      <c r="Q149" s="2"/>
      <c r="R149" s="2"/>
      <c r="S149" s="2"/>
      <c r="T149" s="2"/>
      <c r="U149" s="2"/>
      <c r="V149" s="2"/>
      <c r="W149" s="2"/>
      <c r="X149" s="2"/>
      <c r="Y149" s="2"/>
      <c r="Z149" s="2"/>
      <c r="AA149" s="2"/>
      <c r="AB149" s="2"/>
    </row>
    <row r="150" spans="1:28" s="3" customFormat="1" x14ac:dyDescent="0.2">
      <c r="A150" s="8"/>
      <c r="B150" s="9"/>
      <c r="C150" s="10"/>
      <c r="D150" s="8"/>
      <c r="E150" s="11"/>
      <c r="F150" s="11"/>
      <c r="G150" s="2"/>
      <c r="H150" s="2"/>
      <c r="I150" s="2"/>
      <c r="J150" s="2"/>
      <c r="K150" s="2"/>
      <c r="L150" s="2"/>
      <c r="M150" s="2"/>
      <c r="N150" s="2"/>
      <c r="O150" s="2"/>
      <c r="P150" s="2"/>
      <c r="Q150" s="2"/>
      <c r="R150" s="2"/>
      <c r="S150" s="2"/>
      <c r="T150" s="2"/>
      <c r="U150" s="2"/>
      <c r="V150" s="2"/>
      <c r="W150" s="2"/>
      <c r="X150" s="2"/>
      <c r="Y150" s="2"/>
      <c r="Z150" s="2"/>
      <c r="AA150" s="2"/>
      <c r="AB150" s="2"/>
    </row>
    <row r="151" spans="1:28" s="3" customFormat="1" x14ac:dyDescent="0.2">
      <c r="A151" s="8"/>
      <c r="B151" s="9"/>
      <c r="C151" s="10"/>
      <c r="D151" s="8"/>
      <c r="E151" s="11"/>
      <c r="F151" s="11"/>
      <c r="G151" s="2"/>
      <c r="H151" s="2"/>
      <c r="I151" s="2"/>
      <c r="J151" s="2"/>
      <c r="K151" s="2"/>
      <c r="L151" s="2"/>
      <c r="M151" s="2"/>
      <c r="N151" s="2"/>
      <c r="O151" s="2"/>
      <c r="P151" s="2"/>
      <c r="Q151" s="2"/>
      <c r="R151" s="2"/>
      <c r="S151" s="2"/>
      <c r="T151" s="2"/>
      <c r="U151" s="2"/>
      <c r="V151" s="2"/>
      <c r="W151" s="2"/>
      <c r="X151" s="2"/>
      <c r="Y151" s="2"/>
      <c r="Z151" s="2"/>
      <c r="AA151" s="2"/>
      <c r="AB151" s="2"/>
    </row>
    <row r="152" spans="1:28" s="3" customFormat="1" x14ac:dyDescent="0.2">
      <c r="A152" s="8"/>
      <c r="B152" s="9"/>
      <c r="C152" s="10"/>
      <c r="D152" s="8"/>
      <c r="E152" s="11"/>
      <c r="F152" s="11"/>
      <c r="G152" s="2"/>
      <c r="H152" s="2"/>
      <c r="I152" s="2"/>
      <c r="J152" s="2"/>
      <c r="K152" s="2"/>
      <c r="L152" s="2"/>
      <c r="M152" s="2"/>
      <c r="N152" s="2"/>
      <c r="O152" s="2"/>
      <c r="P152" s="2"/>
      <c r="Q152" s="2"/>
      <c r="R152" s="2"/>
      <c r="S152" s="2"/>
      <c r="T152" s="2"/>
      <c r="U152" s="2"/>
      <c r="V152" s="2"/>
      <c r="W152" s="2"/>
      <c r="X152" s="2"/>
      <c r="Y152" s="2"/>
      <c r="Z152" s="2"/>
      <c r="AA152" s="2"/>
      <c r="AB152" s="2"/>
    </row>
    <row r="153" spans="1:28" s="3" customFormat="1" x14ac:dyDescent="0.2">
      <c r="A153" s="8"/>
      <c r="B153" s="9"/>
      <c r="C153" s="10"/>
      <c r="D153" s="8"/>
      <c r="E153" s="11"/>
      <c r="F153" s="11"/>
      <c r="G153" s="2"/>
      <c r="H153" s="2"/>
      <c r="I153" s="2"/>
      <c r="J153" s="2"/>
      <c r="K153" s="2"/>
      <c r="L153" s="2"/>
      <c r="M153" s="2"/>
      <c r="N153" s="2"/>
      <c r="O153" s="2"/>
      <c r="P153" s="2"/>
      <c r="Q153" s="2"/>
      <c r="R153" s="2"/>
      <c r="S153" s="2"/>
      <c r="T153" s="2"/>
      <c r="U153" s="2"/>
      <c r="V153" s="2"/>
      <c r="W153" s="2"/>
      <c r="X153" s="2"/>
      <c r="Y153" s="2"/>
      <c r="Z153" s="2"/>
      <c r="AA153" s="2"/>
      <c r="AB153" s="2"/>
    </row>
  </sheetData>
  <mergeCells count="20">
    <mergeCell ref="A1:O1"/>
    <mergeCell ref="J2:K2"/>
    <mergeCell ref="J3:K4"/>
    <mergeCell ref="H3:I3"/>
    <mergeCell ref="H4:I4"/>
    <mergeCell ref="A2:G2"/>
    <mergeCell ref="A3:G3"/>
    <mergeCell ref="A4:G4"/>
    <mergeCell ref="A21:B22"/>
    <mergeCell ref="J6:K6"/>
    <mergeCell ref="N6:O6"/>
    <mergeCell ref="H2:I2"/>
    <mergeCell ref="H6:I6"/>
    <mergeCell ref="L6:M6"/>
    <mergeCell ref="L2:O2"/>
    <mergeCell ref="L3:O4"/>
    <mergeCell ref="A6:B7"/>
    <mergeCell ref="C6:C7"/>
    <mergeCell ref="D6:E6"/>
    <mergeCell ref="F6:G6"/>
  </mergeCells>
  <printOptions horizontalCentered="1"/>
  <pageMargins left="0.23622047244094491" right="0.23622047244094491" top="1.7322834645669292" bottom="0.74803149606299213" header="0.31496062992125984" footer="0.31496062992125984"/>
  <pageSetup paperSize="9" scale="69" orientation="landscape" r:id="rId1"/>
  <headerFooter>
    <oddHeader>&amp;L
&amp;G&amp;C&amp;"-,Negrito"
PREFEITURA DE LAGES
SECRETARIA MUNICIPAL DA EDUCAÇÃO&amp;R&amp;G</oddHeader>
    <oddFooter>&amp;C&amp;F&amp;R&amp;N/&amp;P</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9"/>
  <sheetViews>
    <sheetView showGridLines="0" zoomScaleNormal="100" zoomScaleSheetLayoutView="100" workbookViewId="0">
      <selection activeCell="E2" sqref="E2:G2"/>
    </sheetView>
  </sheetViews>
  <sheetFormatPr defaultColWidth="9.140625" defaultRowHeight="12.75" x14ac:dyDescent="0.2"/>
  <cols>
    <col min="1" max="2" width="9.42578125" style="50" customWidth="1"/>
    <col min="3" max="3" width="6.42578125" style="151" customWidth="1"/>
    <col min="4" max="4" width="48.85546875" style="50" customWidth="1"/>
    <col min="5" max="5" width="21.140625" style="50" customWidth="1"/>
    <col min="6" max="6" width="13" style="50" customWidth="1"/>
    <col min="7" max="7" width="11.5703125" style="50" customWidth="1"/>
    <col min="8" max="9" width="13.5703125" style="50" customWidth="1"/>
    <col min="10" max="10" width="9.140625" style="50"/>
    <col min="11" max="11" width="9.42578125" style="50" customWidth="1"/>
    <col min="12" max="12" width="14.85546875" style="50" customWidth="1"/>
    <col min="13" max="23" width="17.7109375" style="47" hidden="1" customWidth="1"/>
    <col min="24" max="24" width="17.7109375" style="50" customWidth="1"/>
    <col min="25" max="25" width="25" style="50" customWidth="1"/>
    <col min="26" max="26" width="11.5703125" style="50" customWidth="1"/>
    <col min="27" max="28" width="11" style="50" customWidth="1"/>
    <col min="29" max="29" width="8.42578125" style="50" customWidth="1"/>
    <col min="30" max="32" width="6.28515625" style="50" bestFit="1" customWidth="1"/>
    <col min="33" max="256" width="9.140625" style="50"/>
    <col min="257" max="258" width="9.42578125" style="50" customWidth="1"/>
    <col min="259" max="259" width="6.42578125" style="50" customWidth="1"/>
    <col min="260" max="260" width="48.85546875" style="50" customWidth="1"/>
    <col min="261" max="261" width="21.140625" style="50" customWidth="1"/>
    <col min="262" max="262" width="13" style="50" customWidth="1"/>
    <col min="263" max="263" width="11.5703125" style="50" customWidth="1"/>
    <col min="264" max="265" width="13.5703125" style="50" customWidth="1"/>
    <col min="266" max="266" width="9.140625" style="50"/>
    <col min="267" max="267" width="9.42578125" style="50" customWidth="1"/>
    <col min="268" max="268" width="14.85546875" style="50" customWidth="1"/>
    <col min="269" max="279" width="0" style="50" hidden="1" customWidth="1"/>
    <col min="280" max="280" width="17.7109375" style="50" customWidth="1"/>
    <col min="281" max="281" width="25" style="50" customWidth="1"/>
    <col min="282" max="282" width="11.5703125" style="50" customWidth="1"/>
    <col min="283" max="284" width="11" style="50" customWidth="1"/>
    <col min="285" max="285" width="8.42578125" style="50" customWidth="1"/>
    <col min="286" max="288" width="6.28515625" style="50" bestFit="1" customWidth="1"/>
    <col min="289" max="512" width="9.140625" style="50"/>
    <col min="513" max="514" width="9.42578125" style="50" customWidth="1"/>
    <col min="515" max="515" width="6.42578125" style="50" customWidth="1"/>
    <col min="516" max="516" width="48.85546875" style="50" customWidth="1"/>
    <col min="517" max="517" width="21.140625" style="50" customWidth="1"/>
    <col min="518" max="518" width="13" style="50" customWidth="1"/>
    <col min="519" max="519" width="11.5703125" style="50" customWidth="1"/>
    <col min="520" max="521" width="13.5703125" style="50" customWidth="1"/>
    <col min="522" max="522" width="9.140625" style="50"/>
    <col min="523" max="523" width="9.42578125" style="50" customWidth="1"/>
    <col min="524" max="524" width="14.85546875" style="50" customWidth="1"/>
    <col min="525" max="535" width="0" style="50" hidden="1" customWidth="1"/>
    <col min="536" max="536" width="17.7109375" style="50" customWidth="1"/>
    <col min="537" max="537" width="25" style="50" customWidth="1"/>
    <col min="538" max="538" width="11.5703125" style="50" customWidth="1"/>
    <col min="539" max="540" width="11" style="50" customWidth="1"/>
    <col min="541" max="541" width="8.42578125" style="50" customWidth="1"/>
    <col min="542" max="544" width="6.28515625" style="50" bestFit="1" customWidth="1"/>
    <col min="545" max="768" width="9.140625" style="50"/>
    <col min="769" max="770" width="9.42578125" style="50" customWidth="1"/>
    <col min="771" max="771" width="6.42578125" style="50" customWidth="1"/>
    <col min="772" max="772" width="48.85546875" style="50" customWidth="1"/>
    <col min="773" max="773" width="21.140625" style="50" customWidth="1"/>
    <col min="774" max="774" width="13" style="50" customWidth="1"/>
    <col min="775" max="775" width="11.5703125" style="50" customWidth="1"/>
    <col min="776" max="777" width="13.5703125" style="50" customWidth="1"/>
    <col min="778" max="778" width="9.140625" style="50"/>
    <col min="779" max="779" width="9.42578125" style="50" customWidth="1"/>
    <col min="780" max="780" width="14.85546875" style="50" customWidth="1"/>
    <col min="781" max="791" width="0" style="50" hidden="1" customWidth="1"/>
    <col min="792" max="792" width="17.7109375" style="50" customWidth="1"/>
    <col min="793" max="793" width="25" style="50" customWidth="1"/>
    <col min="794" max="794" width="11.5703125" style="50" customWidth="1"/>
    <col min="795" max="796" width="11" style="50" customWidth="1"/>
    <col min="797" max="797" width="8.42578125" style="50" customWidth="1"/>
    <col min="798" max="800" width="6.28515625" style="50" bestFit="1" customWidth="1"/>
    <col min="801" max="1024" width="9.140625" style="50"/>
    <col min="1025" max="1026" width="9.42578125" style="50" customWidth="1"/>
    <col min="1027" max="1027" width="6.42578125" style="50" customWidth="1"/>
    <col min="1028" max="1028" width="48.85546875" style="50" customWidth="1"/>
    <col min="1029" max="1029" width="21.140625" style="50" customWidth="1"/>
    <col min="1030" max="1030" width="13" style="50" customWidth="1"/>
    <col min="1031" max="1031" width="11.5703125" style="50" customWidth="1"/>
    <col min="1032" max="1033" width="13.5703125" style="50" customWidth="1"/>
    <col min="1034" max="1034" width="9.140625" style="50"/>
    <col min="1035" max="1035" width="9.42578125" style="50" customWidth="1"/>
    <col min="1036" max="1036" width="14.85546875" style="50" customWidth="1"/>
    <col min="1037" max="1047" width="0" style="50" hidden="1" customWidth="1"/>
    <col min="1048" max="1048" width="17.7109375" style="50" customWidth="1"/>
    <col min="1049" max="1049" width="25" style="50" customWidth="1"/>
    <col min="1050" max="1050" width="11.5703125" style="50" customWidth="1"/>
    <col min="1051" max="1052" width="11" style="50" customWidth="1"/>
    <col min="1053" max="1053" width="8.42578125" style="50" customWidth="1"/>
    <col min="1054" max="1056" width="6.28515625" style="50" bestFit="1" customWidth="1"/>
    <col min="1057" max="1280" width="9.140625" style="50"/>
    <col min="1281" max="1282" width="9.42578125" style="50" customWidth="1"/>
    <col min="1283" max="1283" width="6.42578125" style="50" customWidth="1"/>
    <col min="1284" max="1284" width="48.85546875" style="50" customWidth="1"/>
    <col min="1285" max="1285" width="21.140625" style="50" customWidth="1"/>
    <col min="1286" max="1286" width="13" style="50" customWidth="1"/>
    <col min="1287" max="1287" width="11.5703125" style="50" customWidth="1"/>
    <col min="1288" max="1289" width="13.5703125" style="50" customWidth="1"/>
    <col min="1290" max="1290" width="9.140625" style="50"/>
    <col min="1291" max="1291" width="9.42578125" style="50" customWidth="1"/>
    <col min="1292" max="1292" width="14.85546875" style="50" customWidth="1"/>
    <col min="1293" max="1303" width="0" style="50" hidden="1" customWidth="1"/>
    <col min="1304" max="1304" width="17.7109375" style="50" customWidth="1"/>
    <col min="1305" max="1305" width="25" style="50" customWidth="1"/>
    <col min="1306" max="1306" width="11.5703125" style="50" customWidth="1"/>
    <col min="1307" max="1308" width="11" style="50" customWidth="1"/>
    <col min="1309" max="1309" width="8.42578125" style="50" customWidth="1"/>
    <col min="1310" max="1312" width="6.28515625" style="50" bestFit="1" customWidth="1"/>
    <col min="1313" max="1536" width="9.140625" style="50"/>
    <col min="1537" max="1538" width="9.42578125" style="50" customWidth="1"/>
    <col min="1539" max="1539" width="6.42578125" style="50" customWidth="1"/>
    <col min="1540" max="1540" width="48.85546875" style="50" customWidth="1"/>
    <col min="1541" max="1541" width="21.140625" style="50" customWidth="1"/>
    <col min="1542" max="1542" width="13" style="50" customWidth="1"/>
    <col min="1543" max="1543" width="11.5703125" style="50" customWidth="1"/>
    <col min="1544" max="1545" width="13.5703125" style="50" customWidth="1"/>
    <col min="1546" max="1546" width="9.140625" style="50"/>
    <col min="1547" max="1547" width="9.42578125" style="50" customWidth="1"/>
    <col min="1548" max="1548" width="14.85546875" style="50" customWidth="1"/>
    <col min="1549" max="1559" width="0" style="50" hidden="1" customWidth="1"/>
    <col min="1560" max="1560" width="17.7109375" style="50" customWidth="1"/>
    <col min="1561" max="1561" width="25" style="50" customWidth="1"/>
    <col min="1562" max="1562" width="11.5703125" style="50" customWidth="1"/>
    <col min="1563" max="1564" width="11" style="50" customWidth="1"/>
    <col min="1565" max="1565" width="8.42578125" style="50" customWidth="1"/>
    <col min="1566" max="1568" width="6.28515625" style="50" bestFit="1" customWidth="1"/>
    <col min="1569" max="1792" width="9.140625" style="50"/>
    <col min="1793" max="1794" width="9.42578125" style="50" customWidth="1"/>
    <col min="1795" max="1795" width="6.42578125" style="50" customWidth="1"/>
    <col min="1796" max="1796" width="48.85546875" style="50" customWidth="1"/>
    <col min="1797" max="1797" width="21.140625" style="50" customWidth="1"/>
    <col min="1798" max="1798" width="13" style="50" customWidth="1"/>
    <col min="1799" max="1799" width="11.5703125" style="50" customWidth="1"/>
    <col min="1800" max="1801" width="13.5703125" style="50" customWidth="1"/>
    <col min="1802" max="1802" width="9.140625" style="50"/>
    <col min="1803" max="1803" width="9.42578125" style="50" customWidth="1"/>
    <col min="1804" max="1804" width="14.85546875" style="50" customWidth="1"/>
    <col min="1805" max="1815" width="0" style="50" hidden="1" customWidth="1"/>
    <col min="1816" max="1816" width="17.7109375" style="50" customWidth="1"/>
    <col min="1817" max="1817" width="25" style="50" customWidth="1"/>
    <col min="1818" max="1818" width="11.5703125" style="50" customWidth="1"/>
    <col min="1819" max="1820" width="11" style="50" customWidth="1"/>
    <col min="1821" max="1821" width="8.42578125" style="50" customWidth="1"/>
    <col min="1822" max="1824" width="6.28515625" style="50" bestFit="1" customWidth="1"/>
    <col min="1825" max="2048" width="9.140625" style="50"/>
    <col min="2049" max="2050" width="9.42578125" style="50" customWidth="1"/>
    <col min="2051" max="2051" width="6.42578125" style="50" customWidth="1"/>
    <col min="2052" max="2052" width="48.85546875" style="50" customWidth="1"/>
    <col min="2053" max="2053" width="21.140625" style="50" customWidth="1"/>
    <col min="2054" max="2054" width="13" style="50" customWidth="1"/>
    <col min="2055" max="2055" width="11.5703125" style="50" customWidth="1"/>
    <col min="2056" max="2057" width="13.5703125" style="50" customWidth="1"/>
    <col min="2058" max="2058" width="9.140625" style="50"/>
    <col min="2059" max="2059" width="9.42578125" style="50" customWidth="1"/>
    <col min="2060" max="2060" width="14.85546875" style="50" customWidth="1"/>
    <col min="2061" max="2071" width="0" style="50" hidden="1" customWidth="1"/>
    <col min="2072" max="2072" width="17.7109375" style="50" customWidth="1"/>
    <col min="2073" max="2073" width="25" style="50" customWidth="1"/>
    <col min="2074" max="2074" width="11.5703125" style="50" customWidth="1"/>
    <col min="2075" max="2076" width="11" style="50" customWidth="1"/>
    <col min="2077" max="2077" width="8.42578125" style="50" customWidth="1"/>
    <col min="2078" max="2080" width="6.28515625" style="50" bestFit="1" customWidth="1"/>
    <col min="2081" max="2304" width="9.140625" style="50"/>
    <col min="2305" max="2306" width="9.42578125" style="50" customWidth="1"/>
    <col min="2307" max="2307" width="6.42578125" style="50" customWidth="1"/>
    <col min="2308" max="2308" width="48.85546875" style="50" customWidth="1"/>
    <col min="2309" max="2309" width="21.140625" style="50" customWidth="1"/>
    <col min="2310" max="2310" width="13" style="50" customWidth="1"/>
    <col min="2311" max="2311" width="11.5703125" style="50" customWidth="1"/>
    <col min="2312" max="2313" width="13.5703125" style="50" customWidth="1"/>
    <col min="2314" max="2314" width="9.140625" style="50"/>
    <col min="2315" max="2315" width="9.42578125" style="50" customWidth="1"/>
    <col min="2316" max="2316" width="14.85546875" style="50" customWidth="1"/>
    <col min="2317" max="2327" width="0" style="50" hidden="1" customWidth="1"/>
    <col min="2328" max="2328" width="17.7109375" style="50" customWidth="1"/>
    <col min="2329" max="2329" width="25" style="50" customWidth="1"/>
    <col min="2330" max="2330" width="11.5703125" style="50" customWidth="1"/>
    <col min="2331" max="2332" width="11" style="50" customWidth="1"/>
    <col min="2333" max="2333" width="8.42578125" style="50" customWidth="1"/>
    <col min="2334" max="2336" width="6.28515625" style="50" bestFit="1" customWidth="1"/>
    <col min="2337" max="2560" width="9.140625" style="50"/>
    <col min="2561" max="2562" width="9.42578125" style="50" customWidth="1"/>
    <col min="2563" max="2563" width="6.42578125" style="50" customWidth="1"/>
    <col min="2564" max="2564" width="48.85546875" style="50" customWidth="1"/>
    <col min="2565" max="2565" width="21.140625" style="50" customWidth="1"/>
    <col min="2566" max="2566" width="13" style="50" customWidth="1"/>
    <col min="2567" max="2567" width="11.5703125" style="50" customWidth="1"/>
    <col min="2568" max="2569" width="13.5703125" style="50" customWidth="1"/>
    <col min="2570" max="2570" width="9.140625" style="50"/>
    <col min="2571" max="2571" width="9.42578125" style="50" customWidth="1"/>
    <col min="2572" max="2572" width="14.85546875" style="50" customWidth="1"/>
    <col min="2573" max="2583" width="0" style="50" hidden="1" customWidth="1"/>
    <col min="2584" max="2584" width="17.7109375" style="50" customWidth="1"/>
    <col min="2585" max="2585" width="25" style="50" customWidth="1"/>
    <col min="2586" max="2586" width="11.5703125" style="50" customWidth="1"/>
    <col min="2587" max="2588" width="11" style="50" customWidth="1"/>
    <col min="2589" max="2589" width="8.42578125" style="50" customWidth="1"/>
    <col min="2590" max="2592" width="6.28515625" style="50" bestFit="1" customWidth="1"/>
    <col min="2593" max="2816" width="9.140625" style="50"/>
    <col min="2817" max="2818" width="9.42578125" style="50" customWidth="1"/>
    <col min="2819" max="2819" width="6.42578125" style="50" customWidth="1"/>
    <col min="2820" max="2820" width="48.85546875" style="50" customWidth="1"/>
    <col min="2821" max="2821" width="21.140625" style="50" customWidth="1"/>
    <col min="2822" max="2822" width="13" style="50" customWidth="1"/>
    <col min="2823" max="2823" width="11.5703125" style="50" customWidth="1"/>
    <col min="2824" max="2825" width="13.5703125" style="50" customWidth="1"/>
    <col min="2826" max="2826" width="9.140625" style="50"/>
    <col min="2827" max="2827" width="9.42578125" style="50" customWidth="1"/>
    <col min="2828" max="2828" width="14.85546875" style="50" customWidth="1"/>
    <col min="2829" max="2839" width="0" style="50" hidden="1" customWidth="1"/>
    <col min="2840" max="2840" width="17.7109375" style="50" customWidth="1"/>
    <col min="2841" max="2841" width="25" style="50" customWidth="1"/>
    <col min="2842" max="2842" width="11.5703125" style="50" customWidth="1"/>
    <col min="2843" max="2844" width="11" style="50" customWidth="1"/>
    <col min="2845" max="2845" width="8.42578125" style="50" customWidth="1"/>
    <col min="2846" max="2848" width="6.28515625" style="50" bestFit="1" customWidth="1"/>
    <col min="2849" max="3072" width="9.140625" style="50"/>
    <col min="3073" max="3074" width="9.42578125" style="50" customWidth="1"/>
    <col min="3075" max="3075" width="6.42578125" style="50" customWidth="1"/>
    <col min="3076" max="3076" width="48.85546875" style="50" customWidth="1"/>
    <col min="3077" max="3077" width="21.140625" style="50" customWidth="1"/>
    <col min="3078" max="3078" width="13" style="50" customWidth="1"/>
    <col min="3079" max="3079" width="11.5703125" style="50" customWidth="1"/>
    <col min="3080" max="3081" width="13.5703125" style="50" customWidth="1"/>
    <col min="3082" max="3082" width="9.140625" style="50"/>
    <col min="3083" max="3083" width="9.42578125" style="50" customWidth="1"/>
    <col min="3084" max="3084" width="14.85546875" style="50" customWidth="1"/>
    <col min="3085" max="3095" width="0" style="50" hidden="1" customWidth="1"/>
    <col min="3096" max="3096" width="17.7109375" style="50" customWidth="1"/>
    <col min="3097" max="3097" width="25" style="50" customWidth="1"/>
    <col min="3098" max="3098" width="11.5703125" style="50" customWidth="1"/>
    <col min="3099" max="3100" width="11" style="50" customWidth="1"/>
    <col min="3101" max="3101" width="8.42578125" style="50" customWidth="1"/>
    <col min="3102" max="3104" width="6.28515625" style="50" bestFit="1" customWidth="1"/>
    <col min="3105" max="3328" width="9.140625" style="50"/>
    <col min="3329" max="3330" width="9.42578125" style="50" customWidth="1"/>
    <col min="3331" max="3331" width="6.42578125" style="50" customWidth="1"/>
    <col min="3332" max="3332" width="48.85546875" style="50" customWidth="1"/>
    <col min="3333" max="3333" width="21.140625" style="50" customWidth="1"/>
    <col min="3334" max="3334" width="13" style="50" customWidth="1"/>
    <col min="3335" max="3335" width="11.5703125" style="50" customWidth="1"/>
    <col min="3336" max="3337" width="13.5703125" style="50" customWidth="1"/>
    <col min="3338" max="3338" width="9.140625" style="50"/>
    <col min="3339" max="3339" width="9.42578125" style="50" customWidth="1"/>
    <col min="3340" max="3340" width="14.85546875" style="50" customWidth="1"/>
    <col min="3341" max="3351" width="0" style="50" hidden="1" customWidth="1"/>
    <col min="3352" max="3352" width="17.7109375" style="50" customWidth="1"/>
    <col min="3353" max="3353" width="25" style="50" customWidth="1"/>
    <col min="3354" max="3354" width="11.5703125" style="50" customWidth="1"/>
    <col min="3355" max="3356" width="11" style="50" customWidth="1"/>
    <col min="3357" max="3357" width="8.42578125" style="50" customWidth="1"/>
    <col min="3358" max="3360" width="6.28515625" style="50" bestFit="1" customWidth="1"/>
    <col min="3361" max="3584" width="9.140625" style="50"/>
    <col min="3585" max="3586" width="9.42578125" style="50" customWidth="1"/>
    <col min="3587" max="3587" width="6.42578125" style="50" customWidth="1"/>
    <col min="3588" max="3588" width="48.85546875" style="50" customWidth="1"/>
    <col min="3589" max="3589" width="21.140625" style="50" customWidth="1"/>
    <col min="3590" max="3590" width="13" style="50" customWidth="1"/>
    <col min="3591" max="3591" width="11.5703125" style="50" customWidth="1"/>
    <col min="3592" max="3593" width="13.5703125" style="50" customWidth="1"/>
    <col min="3594" max="3594" width="9.140625" style="50"/>
    <col min="3595" max="3595" width="9.42578125" style="50" customWidth="1"/>
    <col min="3596" max="3596" width="14.85546875" style="50" customWidth="1"/>
    <col min="3597" max="3607" width="0" style="50" hidden="1" customWidth="1"/>
    <col min="3608" max="3608" width="17.7109375" style="50" customWidth="1"/>
    <col min="3609" max="3609" width="25" style="50" customWidth="1"/>
    <col min="3610" max="3610" width="11.5703125" style="50" customWidth="1"/>
    <col min="3611" max="3612" width="11" style="50" customWidth="1"/>
    <col min="3613" max="3613" width="8.42578125" style="50" customWidth="1"/>
    <col min="3614" max="3616" width="6.28515625" style="50" bestFit="1" customWidth="1"/>
    <col min="3617" max="3840" width="9.140625" style="50"/>
    <col min="3841" max="3842" width="9.42578125" style="50" customWidth="1"/>
    <col min="3843" max="3843" width="6.42578125" style="50" customWidth="1"/>
    <col min="3844" max="3844" width="48.85546875" style="50" customWidth="1"/>
    <col min="3845" max="3845" width="21.140625" style="50" customWidth="1"/>
    <col min="3846" max="3846" width="13" style="50" customWidth="1"/>
    <col min="3847" max="3847" width="11.5703125" style="50" customWidth="1"/>
    <col min="3848" max="3849" width="13.5703125" style="50" customWidth="1"/>
    <col min="3850" max="3850" width="9.140625" style="50"/>
    <col min="3851" max="3851" width="9.42578125" style="50" customWidth="1"/>
    <col min="3852" max="3852" width="14.85546875" style="50" customWidth="1"/>
    <col min="3853" max="3863" width="0" style="50" hidden="1" customWidth="1"/>
    <col min="3864" max="3864" width="17.7109375" style="50" customWidth="1"/>
    <col min="3865" max="3865" width="25" style="50" customWidth="1"/>
    <col min="3866" max="3866" width="11.5703125" style="50" customWidth="1"/>
    <col min="3867" max="3868" width="11" style="50" customWidth="1"/>
    <col min="3869" max="3869" width="8.42578125" style="50" customWidth="1"/>
    <col min="3870" max="3872" width="6.28515625" style="50" bestFit="1" customWidth="1"/>
    <col min="3873" max="4096" width="9.140625" style="50"/>
    <col min="4097" max="4098" width="9.42578125" style="50" customWidth="1"/>
    <col min="4099" max="4099" width="6.42578125" style="50" customWidth="1"/>
    <col min="4100" max="4100" width="48.85546875" style="50" customWidth="1"/>
    <col min="4101" max="4101" width="21.140625" style="50" customWidth="1"/>
    <col min="4102" max="4102" width="13" style="50" customWidth="1"/>
    <col min="4103" max="4103" width="11.5703125" style="50" customWidth="1"/>
    <col min="4104" max="4105" width="13.5703125" style="50" customWidth="1"/>
    <col min="4106" max="4106" width="9.140625" style="50"/>
    <col min="4107" max="4107" width="9.42578125" style="50" customWidth="1"/>
    <col min="4108" max="4108" width="14.85546875" style="50" customWidth="1"/>
    <col min="4109" max="4119" width="0" style="50" hidden="1" customWidth="1"/>
    <col min="4120" max="4120" width="17.7109375" style="50" customWidth="1"/>
    <col min="4121" max="4121" width="25" style="50" customWidth="1"/>
    <col min="4122" max="4122" width="11.5703125" style="50" customWidth="1"/>
    <col min="4123" max="4124" width="11" style="50" customWidth="1"/>
    <col min="4125" max="4125" width="8.42578125" style="50" customWidth="1"/>
    <col min="4126" max="4128" width="6.28515625" style="50" bestFit="1" customWidth="1"/>
    <col min="4129" max="4352" width="9.140625" style="50"/>
    <col min="4353" max="4354" width="9.42578125" style="50" customWidth="1"/>
    <col min="4355" max="4355" width="6.42578125" style="50" customWidth="1"/>
    <col min="4356" max="4356" width="48.85546875" style="50" customWidth="1"/>
    <col min="4357" max="4357" width="21.140625" style="50" customWidth="1"/>
    <col min="4358" max="4358" width="13" style="50" customWidth="1"/>
    <col min="4359" max="4359" width="11.5703125" style="50" customWidth="1"/>
    <col min="4360" max="4361" width="13.5703125" style="50" customWidth="1"/>
    <col min="4362" max="4362" width="9.140625" style="50"/>
    <col min="4363" max="4363" width="9.42578125" style="50" customWidth="1"/>
    <col min="4364" max="4364" width="14.85546875" style="50" customWidth="1"/>
    <col min="4365" max="4375" width="0" style="50" hidden="1" customWidth="1"/>
    <col min="4376" max="4376" width="17.7109375" style="50" customWidth="1"/>
    <col min="4377" max="4377" width="25" style="50" customWidth="1"/>
    <col min="4378" max="4378" width="11.5703125" style="50" customWidth="1"/>
    <col min="4379" max="4380" width="11" style="50" customWidth="1"/>
    <col min="4381" max="4381" width="8.42578125" style="50" customWidth="1"/>
    <col min="4382" max="4384" width="6.28515625" style="50" bestFit="1" customWidth="1"/>
    <col min="4385" max="4608" width="9.140625" style="50"/>
    <col min="4609" max="4610" width="9.42578125" style="50" customWidth="1"/>
    <col min="4611" max="4611" width="6.42578125" style="50" customWidth="1"/>
    <col min="4612" max="4612" width="48.85546875" style="50" customWidth="1"/>
    <col min="4613" max="4613" width="21.140625" style="50" customWidth="1"/>
    <col min="4614" max="4614" width="13" style="50" customWidth="1"/>
    <col min="4615" max="4615" width="11.5703125" style="50" customWidth="1"/>
    <col min="4616" max="4617" width="13.5703125" style="50" customWidth="1"/>
    <col min="4618" max="4618" width="9.140625" style="50"/>
    <col min="4619" max="4619" width="9.42578125" style="50" customWidth="1"/>
    <col min="4620" max="4620" width="14.85546875" style="50" customWidth="1"/>
    <col min="4621" max="4631" width="0" style="50" hidden="1" customWidth="1"/>
    <col min="4632" max="4632" width="17.7109375" style="50" customWidth="1"/>
    <col min="4633" max="4633" width="25" style="50" customWidth="1"/>
    <col min="4634" max="4634" width="11.5703125" style="50" customWidth="1"/>
    <col min="4635" max="4636" width="11" style="50" customWidth="1"/>
    <col min="4637" max="4637" width="8.42578125" style="50" customWidth="1"/>
    <col min="4638" max="4640" width="6.28515625" style="50" bestFit="1" customWidth="1"/>
    <col min="4641" max="4864" width="9.140625" style="50"/>
    <col min="4865" max="4866" width="9.42578125" style="50" customWidth="1"/>
    <col min="4867" max="4867" width="6.42578125" style="50" customWidth="1"/>
    <col min="4868" max="4868" width="48.85546875" style="50" customWidth="1"/>
    <col min="4869" max="4869" width="21.140625" style="50" customWidth="1"/>
    <col min="4870" max="4870" width="13" style="50" customWidth="1"/>
    <col min="4871" max="4871" width="11.5703125" style="50" customWidth="1"/>
    <col min="4872" max="4873" width="13.5703125" style="50" customWidth="1"/>
    <col min="4874" max="4874" width="9.140625" style="50"/>
    <col min="4875" max="4875" width="9.42578125" style="50" customWidth="1"/>
    <col min="4876" max="4876" width="14.85546875" style="50" customWidth="1"/>
    <col min="4877" max="4887" width="0" style="50" hidden="1" customWidth="1"/>
    <col min="4888" max="4888" width="17.7109375" style="50" customWidth="1"/>
    <col min="4889" max="4889" width="25" style="50" customWidth="1"/>
    <col min="4890" max="4890" width="11.5703125" style="50" customWidth="1"/>
    <col min="4891" max="4892" width="11" style="50" customWidth="1"/>
    <col min="4893" max="4893" width="8.42578125" style="50" customWidth="1"/>
    <col min="4894" max="4896" width="6.28515625" style="50" bestFit="1" customWidth="1"/>
    <col min="4897" max="5120" width="9.140625" style="50"/>
    <col min="5121" max="5122" width="9.42578125" style="50" customWidth="1"/>
    <col min="5123" max="5123" width="6.42578125" style="50" customWidth="1"/>
    <col min="5124" max="5124" width="48.85546875" style="50" customWidth="1"/>
    <col min="5125" max="5125" width="21.140625" style="50" customWidth="1"/>
    <col min="5126" max="5126" width="13" style="50" customWidth="1"/>
    <col min="5127" max="5127" width="11.5703125" style="50" customWidth="1"/>
    <col min="5128" max="5129" width="13.5703125" style="50" customWidth="1"/>
    <col min="5130" max="5130" width="9.140625" style="50"/>
    <col min="5131" max="5131" width="9.42578125" style="50" customWidth="1"/>
    <col min="5132" max="5132" width="14.85546875" style="50" customWidth="1"/>
    <col min="5133" max="5143" width="0" style="50" hidden="1" customWidth="1"/>
    <col min="5144" max="5144" width="17.7109375" style="50" customWidth="1"/>
    <col min="5145" max="5145" width="25" style="50" customWidth="1"/>
    <col min="5146" max="5146" width="11.5703125" style="50" customWidth="1"/>
    <col min="5147" max="5148" width="11" style="50" customWidth="1"/>
    <col min="5149" max="5149" width="8.42578125" style="50" customWidth="1"/>
    <col min="5150" max="5152" width="6.28515625" style="50" bestFit="1" customWidth="1"/>
    <col min="5153" max="5376" width="9.140625" style="50"/>
    <col min="5377" max="5378" width="9.42578125" style="50" customWidth="1"/>
    <col min="5379" max="5379" width="6.42578125" style="50" customWidth="1"/>
    <col min="5380" max="5380" width="48.85546875" style="50" customWidth="1"/>
    <col min="5381" max="5381" width="21.140625" style="50" customWidth="1"/>
    <col min="5382" max="5382" width="13" style="50" customWidth="1"/>
    <col min="5383" max="5383" width="11.5703125" style="50" customWidth="1"/>
    <col min="5384" max="5385" width="13.5703125" style="50" customWidth="1"/>
    <col min="5386" max="5386" width="9.140625" style="50"/>
    <col min="5387" max="5387" width="9.42578125" style="50" customWidth="1"/>
    <col min="5388" max="5388" width="14.85546875" style="50" customWidth="1"/>
    <col min="5389" max="5399" width="0" style="50" hidden="1" customWidth="1"/>
    <col min="5400" max="5400" width="17.7109375" style="50" customWidth="1"/>
    <col min="5401" max="5401" width="25" style="50" customWidth="1"/>
    <col min="5402" max="5402" width="11.5703125" style="50" customWidth="1"/>
    <col min="5403" max="5404" width="11" style="50" customWidth="1"/>
    <col min="5405" max="5405" width="8.42578125" style="50" customWidth="1"/>
    <col min="5406" max="5408" width="6.28515625" style="50" bestFit="1" customWidth="1"/>
    <col min="5409" max="5632" width="9.140625" style="50"/>
    <col min="5633" max="5634" width="9.42578125" style="50" customWidth="1"/>
    <col min="5635" max="5635" width="6.42578125" style="50" customWidth="1"/>
    <col min="5636" max="5636" width="48.85546875" style="50" customWidth="1"/>
    <col min="5637" max="5637" width="21.140625" style="50" customWidth="1"/>
    <col min="5638" max="5638" width="13" style="50" customWidth="1"/>
    <col min="5639" max="5639" width="11.5703125" style="50" customWidth="1"/>
    <col min="5640" max="5641" width="13.5703125" style="50" customWidth="1"/>
    <col min="5642" max="5642" width="9.140625" style="50"/>
    <col min="5643" max="5643" width="9.42578125" style="50" customWidth="1"/>
    <col min="5644" max="5644" width="14.85546875" style="50" customWidth="1"/>
    <col min="5645" max="5655" width="0" style="50" hidden="1" customWidth="1"/>
    <col min="5656" max="5656" width="17.7109375" style="50" customWidth="1"/>
    <col min="5657" max="5657" width="25" style="50" customWidth="1"/>
    <col min="5658" max="5658" width="11.5703125" style="50" customWidth="1"/>
    <col min="5659" max="5660" width="11" style="50" customWidth="1"/>
    <col min="5661" max="5661" width="8.42578125" style="50" customWidth="1"/>
    <col min="5662" max="5664" width="6.28515625" style="50" bestFit="1" customWidth="1"/>
    <col min="5665" max="5888" width="9.140625" style="50"/>
    <col min="5889" max="5890" width="9.42578125" style="50" customWidth="1"/>
    <col min="5891" max="5891" width="6.42578125" style="50" customWidth="1"/>
    <col min="5892" max="5892" width="48.85546875" style="50" customWidth="1"/>
    <col min="5893" max="5893" width="21.140625" style="50" customWidth="1"/>
    <col min="5894" max="5894" width="13" style="50" customWidth="1"/>
    <col min="5895" max="5895" width="11.5703125" style="50" customWidth="1"/>
    <col min="5896" max="5897" width="13.5703125" style="50" customWidth="1"/>
    <col min="5898" max="5898" width="9.140625" style="50"/>
    <col min="5899" max="5899" width="9.42578125" style="50" customWidth="1"/>
    <col min="5900" max="5900" width="14.85546875" style="50" customWidth="1"/>
    <col min="5901" max="5911" width="0" style="50" hidden="1" customWidth="1"/>
    <col min="5912" max="5912" width="17.7109375" style="50" customWidth="1"/>
    <col min="5913" max="5913" width="25" style="50" customWidth="1"/>
    <col min="5914" max="5914" width="11.5703125" style="50" customWidth="1"/>
    <col min="5915" max="5916" width="11" style="50" customWidth="1"/>
    <col min="5917" max="5917" width="8.42578125" style="50" customWidth="1"/>
    <col min="5918" max="5920" width="6.28515625" style="50" bestFit="1" customWidth="1"/>
    <col min="5921" max="6144" width="9.140625" style="50"/>
    <col min="6145" max="6146" width="9.42578125" style="50" customWidth="1"/>
    <col min="6147" max="6147" width="6.42578125" style="50" customWidth="1"/>
    <col min="6148" max="6148" width="48.85546875" style="50" customWidth="1"/>
    <col min="6149" max="6149" width="21.140625" style="50" customWidth="1"/>
    <col min="6150" max="6150" width="13" style="50" customWidth="1"/>
    <col min="6151" max="6151" width="11.5703125" style="50" customWidth="1"/>
    <col min="6152" max="6153" width="13.5703125" style="50" customWidth="1"/>
    <col min="6154" max="6154" width="9.140625" style="50"/>
    <col min="6155" max="6155" width="9.42578125" style="50" customWidth="1"/>
    <col min="6156" max="6156" width="14.85546875" style="50" customWidth="1"/>
    <col min="6157" max="6167" width="0" style="50" hidden="1" customWidth="1"/>
    <col min="6168" max="6168" width="17.7109375" style="50" customWidth="1"/>
    <col min="6169" max="6169" width="25" style="50" customWidth="1"/>
    <col min="6170" max="6170" width="11.5703125" style="50" customWidth="1"/>
    <col min="6171" max="6172" width="11" style="50" customWidth="1"/>
    <col min="6173" max="6173" width="8.42578125" style="50" customWidth="1"/>
    <col min="6174" max="6176" width="6.28515625" style="50" bestFit="1" customWidth="1"/>
    <col min="6177" max="6400" width="9.140625" style="50"/>
    <col min="6401" max="6402" width="9.42578125" style="50" customWidth="1"/>
    <col min="6403" max="6403" width="6.42578125" style="50" customWidth="1"/>
    <col min="6404" max="6404" width="48.85546875" style="50" customWidth="1"/>
    <col min="6405" max="6405" width="21.140625" style="50" customWidth="1"/>
    <col min="6406" max="6406" width="13" style="50" customWidth="1"/>
    <col min="6407" max="6407" width="11.5703125" style="50" customWidth="1"/>
    <col min="6408" max="6409" width="13.5703125" style="50" customWidth="1"/>
    <col min="6410" max="6410" width="9.140625" style="50"/>
    <col min="6411" max="6411" width="9.42578125" style="50" customWidth="1"/>
    <col min="6412" max="6412" width="14.85546875" style="50" customWidth="1"/>
    <col min="6413" max="6423" width="0" style="50" hidden="1" customWidth="1"/>
    <col min="6424" max="6424" width="17.7109375" style="50" customWidth="1"/>
    <col min="6425" max="6425" width="25" style="50" customWidth="1"/>
    <col min="6426" max="6426" width="11.5703125" style="50" customWidth="1"/>
    <col min="6427" max="6428" width="11" style="50" customWidth="1"/>
    <col min="6429" max="6429" width="8.42578125" style="50" customWidth="1"/>
    <col min="6430" max="6432" width="6.28515625" style="50" bestFit="1" customWidth="1"/>
    <col min="6433" max="6656" width="9.140625" style="50"/>
    <col min="6657" max="6658" width="9.42578125" style="50" customWidth="1"/>
    <col min="6659" max="6659" width="6.42578125" style="50" customWidth="1"/>
    <col min="6660" max="6660" width="48.85546875" style="50" customWidth="1"/>
    <col min="6661" max="6661" width="21.140625" style="50" customWidth="1"/>
    <col min="6662" max="6662" width="13" style="50" customWidth="1"/>
    <col min="6663" max="6663" width="11.5703125" style="50" customWidth="1"/>
    <col min="6664" max="6665" width="13.5703125" style="50" customWidth="1"/>
    <col min="6666" max="6666" width="9.140625" style="50"/>
    <col min="6667" max="6667" width="9.42578125" style="50" customWidth="1"/>
    <col min="6668" max="6668" width="14.85546875" style="50" customWidth="1"/>
    <col min="6669" max="6679" width="0" style="50" hidden="1" customWidth="1"/>
    <col min="6680" max="6680" width="17.7109375" style="50" customWidth="1"/>
    <col min="6681" max="6681" width="25" style="50" customWidth="1"/>
    <col min="6682" max="6682" width="11.5703125" style="50" customWidth="1"/>
    <col min="6683" max="6684" width="11" style="50" customWidth="1"/>
    <col min="6685" max="6685" width="8.42578125" style="50" customWidth="1"/>
    <col min="6686" max="6688" width="6.28515625" style="50" bestFit="1" customWidth="1"/>
    <col min="6689" max="6912" width="9.140625" style="50"/>
    <col min="6913" max="6914" width="9.42578125" style="50" customWidth="1"/>
    <col min="6915" max="6915" width="6.42578125" style="50" customWidth="1"/>
    <col min="6916" max="6916" width="48.85546875" style="50" customWidth="1"/>
    <col min="6917" max="6917" width="21.140625" style="50" customWidth="1"/>
    <col min="6918" max="6918" width="13" style="50" customWidth="1"/>
    <col min="6919" max="6919" width="11.5703125" style="50" customWidth="1"/>
    <col min="6920" max="6921" width="13.5703125" style="50" customWidth="1"/>
    <col min="6922" max="6922" width="9.140625" style="50"/>
    <col min="6923" max="6923" width="9.42578125" style="50" customWidth="1"/>
    <col min="6924" max="6924" width="14.85546875" style="50" customWidth="1"/>
    <col min="6925" max="6935" width="0" style="50" hidden="1" customWidth="1"/>
    <col min="6936" max="6936" width="17.7109375" style="50" customWidth="1"/>
    <col min="6937" max="6937" width="25" style="50" customWidth="1"/>
    <col min="6938" max="6938" width="11.5703125" style="50" customWidth="1"/>
    <col min="6939" max="6940" width="11" style="50" customWidth="1"/>
    <col min="6941" max="6941" width="8.42578125" style="50" customWidth="1"/>
    <col min="6942" max="6944" width="6.28515625" style="50" bestFit="1" customWidth="1"/>
    <col min="6945" max="7168" width="9.140625" style="50"/>
    <col min="7169" max="7170" width="9.42578125" style="50" customWidth="1"/>
    <col min="7171" max="7171" width="6.42578125" style="50" customWidth="1"/>
    <col min="7172" max="7172" width="48.85546875" style="50" customWidth="1"/>
    <col min="7173" max="7173" width="21.140625" style="50" customWidth="1"/>
    <col min="7174" max="7174" width="13" style="50" customWidth="1"/>
    <col min="7175" max="7175" width="11.5703125" style="50" customWidth="1"/>
    <col min="7176" max="7177" width="13.5703125" style="50" customWidth="1"/>
    <col min="7178" max="7178" width="9.140625" style="50"/>
    <col min="7179" max="7179" width="9.42578125" style="50" customWidth="1"/>
    <col min="7180" max="7180" width="14.85546875" style="50" customWidth="1"/>
    <col min="7181" max="7191" width="0" style="50" hidden="1" customWidth="1"/>
    <col min="7192" max="7192" width="17.7109375" style="50" customWidth="1"/>
    <col min="7193" max="7193" width="25" style="50" customWidth="1"/>
    <col min="7194" max="7194" width="11.5703125" style="50" customWidth="1"/>
    <col min="7195" max="7196" width="11" style="50" customWidth="1"/>
    <col min="7197" max="7197" width="8.42578125" style="50" customWidth="1"/>
    <col min="7198" max="7200" width="6.28515625" style="50" bestFit="1" customWidth="1"/>
    <col min="7201" max="7424" width="9.140625" style="50"/>
    <col min="7425" max="7426" width="9.42578125" style="50" customWidth="1"/>
    <col min="7427" max="7427" width="6.42578125" style="50" customWidth="1"/>
    <col min="7428" max="7428" width="48.85546875" style="50" customWidth="1"/>
    <col min="7429" max="7429" width="21.140625" style="50" customWidth="1"/>
    <col min="7430" max="7430" width="13" style="50" customWidth="1"/>
    <col min="7431" max="7431" width="11.5703125" style="50" customWidth="1"/>
    <col min="7432" max="7433" width="13.5703125" style="50" customWidth="1"/>
    <col min="7434" max="7434" width="9.140625" style="50"/>
    <col min="7435" max="7435" width="9.42578125" style="50" customWidth="1"/>
    <col min="7436" max="7436" width="14.85546875" style="50" customWidth="1"/>
    <col min="7437" max="7447" width="0" style="50" hidden="1" customWidth="1"/>
    <col min="7448" max="7448" width="17.7109375" style="50" customWidth="1"/>
    <col min="7449" max="7449" width="25" style="50" customWidth="1"/>
    <col min="7450" max="7450" width="11.5703125" style="50" customWidth="1"/>
    <col min="7451" max="7452" width="11" style="50" customWidth="1"/>
    <col min="7453" max="7453" width="8.42578125" style="50" customWidth="1"/>
    <col min="7454" max="7456" width="6.28515625" style="50" bestFit="1" customWidth="1"/>
    <col min="7457" max="7680" width="9.140625" style="50"/>
    <col min="7681" max="7682" width="9.42578125" style="50" customWidth="1"/>
    <col min="7683" max="7683" width="6.42578125" style="50" customWidth="1"/>
    <col min="7684" max="7684" width="48.85546875" style="50" customWidth="1"/>
    <col min="7685" max="7685" width="21.140625" style="50" customWidth="1"/>
    <col min="7686" max="7686" width="13" style="50" customWidth="1"/>
    <col min="7687" max="7687" width="11.5703125" style="50" customWidth="1"/>
    <col min="7688" max="7689" width="13.5703125" style="50" customWidth="1"/>
    <col min="7690" max="7690" width="9.140625" style="50"/>
    <col min="7691" max="7691" width="9.42578125" style="50" customWidth="1"/>
    <col min="7692" max="7692" width="14.85546875" style="50" customWidth="1"/>
    <col min="7693" max="7703" width="0" style="50" hidden="1" customWidth="1"/>
    <col min="7704" max="7704" width="17.7109375" style="50" customWidth="1"/>
    <col min="7705" max="7705" width="25" style="50" customWidth="1"/>
    <col min="7706" max="7706" width="11.5703125" style="50" customWidth="1"/>
    <col min="7707" max="7708" width="11" style="50" customWidth="1"/>
    <col min="7709" max="7709" width="8.42578125" style="50" customWidth="1"/>
    <col min="7710" max="7712" width="6.28515625" style="50" bestFit="1" customWidth="1"/>
    <col min="7713" max="7936" width="9.140625" style="50"/>
    <col min="7937" max="7938" width="9.42578125" style="50" customWidth="1"/>
    <col min="7939" max="7939" width="6.42578125" style="50" customWidth="1"/>
    <col min="7940" max="7940" width="48.85546875" style="50" customWidth="1"/>
    <col min="7941" max="7941" width="21.140625" style="50" customWidth="1"/>
    <col min="7942" max="7942" width="13" style="50" customWidth="1"/>
    <col min="7943" max="7943" width="11.5703125" style="50" customWidth="1"/>
    <col min="7944" max="7945" width="13.5703125" style="50" customWidth="1"/>
    <col min="7946" max="7946" width="9.140625" style="50"/>
    <col min="7947" max="7947" width="9.42578125" style="50" customWidth="1"/>
    <col min="7948" max="7948" width="14.85546875" style="50" customWidth="1"/>
    <col min="7949" max="7959" width="0" style="50" hidden="1" customWidth="1"/>
    <col min="7960" max="7960" width="17.7109375" style="50" customWidth="1"/>
    <col min="7961" max="7961" width="25" style="50" customWidth="1"/>
    <col min="7962" max="7962" width="11.5703125" style="50" customWidth="1"/>
    <col min="7963" max="7964" width="11" style="50" customWidth="1"/>
    <col min="7965" max="7965" width="8.42578125" style="50" customWidth="1"/>
    <col min="7966" max="7968" width="6.28515625" style="50" bestFit="1" customWidth="1"/>
    <col min="7969" max="8192" width="9.140625" style="50"/>
    <col min="8193" max="8194" width="9.42578125" style="50" customWidth="1"/>
    <col min="8195" max="8195" width="6.42578125" style="50" customWidth="1"/>
    <col min="8196" max="8196" width="48.85546875" style="50" customWidth="1"/>
    <col min="8197" max="8197" width="21.140625" style="50" customWidth="1"/>
    <col min="8198" max="8198" width="13" style="50" customWidth="1"/>
    <col min="8199" max="8199" width="11.5703125" style="50" customWidth="1"/>
    <col min="8200" max="8201" width="13.5703125" style="50" customWidth="1"/>
    <col min="8202" max="8202" width="9.140625" style="50"/>
    <col min="8203" max="8203" width="9.42578125" style="50" customWidth="1"/>
    <col min="8204" max="8204" width="14.85546875" style="50" customWidth="1"/>
    <col min="8205" max="8215" width="0" style="50" hidden="1" customWidth="1"/>
    <col min="8216" max="8216" width="17.7109375" style="50" customWidth="1"/>
    <col min="8217" max="8217" width="25" style="50" customWidth="1"/>
    <col min="8218" max="8218" width="11.5703125" style="50" customWidth="1"/>
    <col min="8219" max="8220" width="11" style="50" customWidth="1"/>
    <col min="8221" max="8221" width="8.42578125" style="50" customWidth="1"/>
    <col min="8222" max="8224" width="6.28515625" style="50" bestFit="1" customWidth="1"/>
    <col min="8225" max="8448" width="9.140625" style="50"/>
    <col min="8449" max="8450" width="9.42578125" style="50" customWidth="1"/>
    <col min="8451" max="8451" width="6.42578125" style="50" customWidth="1"/>
    <col min="8452" max="8452" width="48.85546875" style="50" customWidth="1"/>
    <col min="8453" max="8453" width="21.140625" style="50" customWidth="1"/>
    <col min="8454" max="8454" width="13" style="50" customWidth="1"/>
    <col min="8455" max="8455" width="11.5703125" style="50" customWidth="1"/>
    <col min="8456" max="8457" width="13.5703125" style="50" customWidth="1"/>
    <col min="8458" max="8458" width="9.140625" style="50"/>
    <col min="8459" max="8459" width="9.42578125" style="50" customWidth="1"/>
    <col min="8460" max="8460" width="14.85546875" style="50" customWidth="1"/>
    <col min="8461" max="8471" width="0" style="50" hidden="1" customWidth="1"/>
    <col min="8472" max="8472" width="17.7109375" style="50" customWidth="1"/>
    <col min="8473" max="8473" width="25" style="50" customWidth="1"/>
    <col min="8474" max="8474" width="11.5703125" style="50" customWidth="1"/>
    <col min="8475" max="8476" width="11" style="50" customWidth="1"/>
    <col min="8477" max="8477" width="8.42578125" style="50" customWidth="1"/>
    <col min="8478" max="8480" width="6.28515625" style="50" bestFit="1" customWidth="1"/>
    <col min="8481" max="8704" width="9.140625" style="50"/>
    <col min="8705" max="8706" width="9.42578125" style="50" customWidth="1"/>
    <col min="8707" max="8707" width="6.42578125" style="50" customWidth="1"/>
    <col min="8708" max="8708" width="48.85546875" style="50" customWidth="1"/>
    <col min="8709" max="8709" width="21.140625" style="50" customWidth="1"/>
    <col min="8710" max="8710" width="13" style="50" customWidth="1"/>
    <col min="8711" max="8711" width="11.5703125" style="50" customWidth="1"/>
    <col min="8712" max="8713" width="13.5703125" style="50" customWidth="1"/>
    <col min="8714" max="8714" width="9.140625" style="50"/>
    <col min="8715" max="8715" width="9.42578125" style="50" customWidth="1"/>
    <col min="8716" max="8716" width="14.85546875" style="50" customWidth="1"/>
    <col min="8717" max="8727" width="0" style="50" hidden="1" customWidth="1"/>
    <col min="8728" max="8728" width="17.7109375" style="50" customWidth="1"/>
    <col min="8729" max="8729" width="25" style="50" customWidth="1"/>
    <col min="8730" max="8730" width="11.5703125" style="50" customWidth="1"/>
    <col min="8731" max="8732" width="11" style="50" customWidth="1"/>
    <col min="8733" max="8733" width="8.42578125" style="50" customWidth="1"/>
    <col min="8734" max="8736" width="6.28515625" style="50" bestFit="1" customWidth="1"/>
    <col min="8737" max="8960" width="9.140625" style="50"/>
    <col min="8961" max="8962" width="9.42578125" style="50" customWidth="1"/>
    <col min="8963" max="8963" width="6.42578125" style="50" customWidth="1"/>
    <col min="8964" max="8964" width="48.85546875" style="50" customWidth="1"/>
    <col min="8965" max="8965" width="21.140625" style="50" customWidth="1"/>
    <col min="8966" max="8966" width="13" style="50" customWidth="1"/>
    <col min="8967" max="8967" width="11.5703125" style="50" customWidth="1"/>
    <col min="8968" max="8969" width="13.5703125" style="50" customWidth="1"/>
    <col min="8970" max="8970" width="9.140625" style="50"/>
    <col min="8971" max="8971" width="9.42578125" style="50" customWidth="1"/>
    <col min="8972" max="8972" width="14.85546875" style="50" customWidth="1"/>
    <col min="8973" max="8983" width="0" style="50" hidden="1" customWidth="1"/>
    <col min="8984" max="8984" width="17.7109375" style="50" customWidth="1"/>
    <col min="8985" max="8985" width="25" style="50" customWidth="1"/>
    <col min="8986" max="8986" width="11.5703125" style="50" customWidth="1"/>
    <col min="8987" max="8988" width="11" style="50" customWidth="1"/>
    <col min="8989" max="8989" width="8.42578125" style="50" customWidth="1"/>
    <col min="8990" max="8992" width="6.28515625" style="50" bestFit="1" customWidth="1"/>
    <col min="8993" max="9216" width="9.140625" style="50"/>
    <col min="9217" max="9218" width="9.42578125" style="50" customWidth="1"/>
    <col min="9219" max="9219" width="6.42578125" style="50" customWidth="1"/>
    <col min="9220" max="9220" width="48.85546875" style="50" customWidth="1"/>
    <col min="9221" max="9221" width="21.140625" style="50" customWidth="1"/>
    <col min="9222" max="9222" width="13" style="50" customWidth="1"/>
    <col min="9223" max="9223" width="11.5703125" style="50" customWidth="1"/>
    <col min="9224" max="9225" width="13.5703125" style="50" customWidth="1"/>
    <col min="9226" max="9226" width="9.140625" style="50"/>
    <col min="9227" max="9227" width="9.42578125" style="50" customWidth="1"/>
    <col min="9228" max="9228" width="14.85546875" style="50" customWidth="1"/>
    <col min="9229" max="9239" width="0" style="50" hidden="1" customWidth="1"/>
    <col min="9240" max="9240" width="17.7109375" style="50" customWidth="1"/>
    <col min="9241" max="9241" width="25" style="50" customWidth="1"/>
    <col min="9242" max="9242" width="11.5703125" style="50" customWidth="1"/>
    <col min="9243" max="9244" width="11" style="50" customWidth="1"/>
    <col min="9245" max="9245" width="8.42578125" style="50" customWidth="1"/>
    <col min="9246" max="9248" width="6.28515625" style="50" bestFit="1" customWidth="1"/>
    <col min="9249" max="9472" width="9.140625" style="50"/>
    <col min="9473" max="9474" width="9.42578125" style="50" customWidth="1"/>
    <col min="9475" max="9475" width="6.42578125" style="50" customWidth="1"/>
    <col min="9476" max="9476" width="48.85546875" style="50" customWidth="1"/>
    <col min="9477" max="9477" width="21.140625" style="50" customWidth="1"/>
    <col min="9478" max="9478" width="13" style="50" customWidth="1"/>
    <col min="9479" max="9479" width="11.5703125" style="50" customWidth="1"/>
    <col min="9480" max="9481" width="13.5703125" style="50" customWidth="1"/>
    <col min="9482" max="9482" width="9.140625" style="50"/>
    <col min="9483" max="9483" width="9.42578125" style="50" customWidth="1"/>
    <col min="9484" max="9484" width="14.85546875" style="50" customWidth="1"/>
    <col min="9485" max="9495" width="0" style="50" hidden="1" customWidth="1"/>
    <col min="9496" max="9496" width="17.7109375" style="50" customWidth="1"/>
    <col min="9497" max="9497" width="25" style="50" customWidth="1"/>
    <col min="9498" max="9498" width="11.5703125" style="50" customWidth="1"/>
    <col min="9499" max="9500" width="11" style="50" customWidth="1"/>
    <col min="9501" max="9501" width="8.42578125" style="50" customWidth="1"/>
    <col min="9502" max="9504" width="6.28515625" style="50" bestFit="1" customWidth="1"/>
    <col min="9505" max="9728" width="9.140625" style="50"/>
    <col min="9729" max="9730" width="9.42578125" style="50" customWidth="1"/>
    <col min="9731" max="9731" width="6.42578125" style="50" customWidth="1"/>
    <col min="9732" max="9732" width="48.85546875" style="50" customWidth="1"/>
    <col min="9733" max="9733" width="21.140625" style="50" customWidth="1"/>
    <col min="9734" max="9734" width="13" style="50" customWidth="1"/>
    <col min="9735" max="9735" width="11.5703125" style="50" customWidth="1"/>
    <col min="9736" max="9737" width="13.5703125" style="50" customWidth="1"/>
    <col min="9738" max="9738" width="9.140625" style="50"/>
    <col min="9739" max="9739" width="9.42578125" style="50" customWidth="1"/>
    <col min="9740" max="9740" width="14.85546875" style="50" customWidth="1"/>
    <col min="9741" max="9751" width="0" style="50" hidden="1" customWidth="1"/>
    <col min="9752" max="9752" width="17.7109375" style="50" customWidth="1"/>
    <col min="9753" max="9753" width="25" style="50" customWidth="1"/>
    <col min="9754" max="9754" width="11.5703125" style="50" customWidth="1"/>
    <col min="9755" max="9756" width="11" style="50" customWidth="1"/>
    <col min="9757" max="9757" width="8.42578125" style="50" customWidth="1"/>
    <col min="9758" max="9760" width="6.28515625" style="50" bestFit="1" customWidth="1"/>
    <col min="9761" max="9984" width="9.140625" style="50"/>
    <col min="9985" max="9986" width="9.42578125" style="50" customWidth="1"/>
    <col min="9987" max="9987" width="6.42578125" style="50" customWidth="1"/>
    <col min="9988" max="9988" width="48.85546875" style="50" customWidth="1"/>
    <col min="9989" max="9989" width="21.140625" style="50" customWidth="1"/>
    <col min="9990" max="9990" width="13" style="50" customWidth="1"/>
    <col min="9991" max="9991" width="11.5703125" style="50" customWidth="1"/>
    <col min="9992" max="9993" width="13.5703125" style="50" customWidth="1"/>
    <col min="9994" max="9994" width="9.140625" style="50"/>
    <col min="9995" max="9995" width="9.42578125" style="50" customWidth="1"/>
    <col min="9996" max="9996" width="14.85546875" style="50" customWidth="1"/>
    <col min="9997" max="10007" width="0" style="50" hidden="1" customWidth="1"/>
    <col min="10008" max="10008" width="17.7109375" style="50" customWidth="1"/>
    <col min="10009" max="10009" width="25" style="50" customWidth="1"/>
    <col min="10010" max="10010" width="11.5703125" style="50" customWidth="1"/>
    <col min="10011" max="10012" width="11" style="50" customWidth="1"/>
    <col min="10013" max="10013" width="8.42578125" style="50" customWidth="1"/>
    <col min="10014" max="10016" width="6.28515625" style="50" bestFit="1" customWidth="1"/>
    <col min="10017" max="10240" width="9.140625" style="50"/>
    <col min="10241" max="10242" width="9.42578125" style="50" customWidth="1"/>
    <col min="10243" max="10243" width="6.42578125" style="50" customWidth="1"/>
    <col min="10244" max="10244" width="48.85546875" style="50" customWidth="1"/>
    <col min="10245" max="10245" width="21.140625" style="50" customWidth="1"/>
    <col min="10246" max="10246" width="13" style="50" customWidth="1"/>
    <col min="10247" max="10247" width="11.5703125" style="50" customWidth="1"/>
    <col min="10248" max="10249" width="13.5703125" style="50" customWidth="1"/>
    <col min="10250" max="10250" width="9.140625" style="50"/>
    <col min="10251" max="10251" width="9.42578125" style="50" customWidth="1"/>
    <col min="10252" max="10252" width="14.85546875" style="50" customWidth="1"/>
    <col min="10253" max="10263" width="0" style="50" hidden="1" customWidth="1"/>
    <col min="10264" max="10264" width="17.7109375" style="50" customWidth="1"/>
    <col min="10265" max="10265" width="25" style="50" customWidth="1"/>
    <col min="10266" max="10266" width="11.5703125" style="50" customWidth="1"/>
    <col min="10267" max="10268" width="11" style="50" customWidth="1"/>
    <col min="10269" max="10269" width="8.42578125" style="50" customWidth="1"/>
    <col min="10270" max="10272" width="6.28515625" style="50" bestFit="1" customWidth="1"/>
    <col min="10273" max="10496" width="9.140625" style="50"/>
    <col min="10497" max="10498" width="9.42578125" style="50" customWidth="1"/>
    <col min="10499" max="10499" width="6.42578125" style="50" customWidth="1"/>
    <col min="10500" max="10500" width="48.85546875" style="50" customWidth="1"/>
    <col min="10501" max="10501" width="21.140625" style="50" customWidth="1"/>
    <col min="10502" max="10502" width="13" style="50" customWidth="1"/>
    <col min="10503" max="10503" width="11.5703125" style="50" customWidth="1"/>
    <col min="10504" max="10505" width="13.5703125" style="50" customWidth="1"/>
    <col min="10506" max="10506" width="9.140625" style="50"/>
    <col min="10507" max="10507" width="9.42578125" style="50" customWidth="1"/>
    <col min="10508" max="10508" width="14.85546875" style="50" customWidth="1"/>
    <col min="10509" max="10519" width="0" style="50" hidden="1" customWidth="1"/>
    <col min="10520" max="10520" width="17.7109375" style="50" customWidth="1"/>
    <col min="10521" max="10521" width="25" style="50" customWidth="1"/>
    <col min="10522" max="10522" width="11.5703125" style="50" customWidth="1"/>
    <col min="10523" max="10524" width="11" style="50" customWidth="1"/>
    <col min="10525" max="10525" width="8.42578125" style="50" customWidth="1"/>
    <col min="10526" max="10528" width="6.28515625" style="50" bestFit="1" customWidth="1"/>
    <col min="10529" max="10752" width="9.140625" style="50"/>
    <col min="10753" max="10754" width="9.42578125" style="50" customWidth="1"/>
    <col min="10755" max="10755" width="6.42578125" style="50" customWidth="1"/>
    <col min="10756" max="10756" width="48.85546875" style="50" customWidth="1"/>
    <col min="10757" max="10757" width="21.140625" style="50" customWidth="1"/>
    <col min="10758" max="10758" width="13" style="50" customWidth="1"/>
    <col min="10759" max="10759" width="11.5703125" style="50" customWidth="1"/>
    <col min="10760" max="10761" width="13.5703125" style="50" customWidth="1"/>
    <col min="10762" max="10762" width="9.140625" style="50"/>
    <col min="10763" max="10763" width="9.42578125" style="50" customWidth="1"/>
    <col min="10764" max="10764" width="14.85546875" style="50" customWidth="1"/>
    <col min="10765" max="10775" width="0" style="50" hidden="1" customWidth="1"/>
    <col min="10776" max="10776" width="17.7109375" style="50" customWidth="1"/>
    <col min="10777" max="10777" width="25" style="50" customWidth="1"/>
    <col min="10778" max="10778" width="11.5703125" style="50" customWidth="1"/>
    <col min="10779" max="10780" width="11" style="50" customWidth="1"/>
    <col min="10781" max="10781" width="8.42578125" style="50" customWidth="1"/>
    <col min="10782" max="10784" width="6.28515625" style="50" bestFit="1" customWidth="1"/>
    <col min="10785" max="11008" width="9.140625" style="50"/>
    <col min="11009" max="11010" width="9.42578125" style="50" customWidth="1"/>
    <col min="11011" max="11011" width="6.42578125" style="50" customWidth="1"/>
    <col min="11012" max="11012" width="48.85546875" style="50" customWidth="1"/>
    <col min="11013" max="11013" width="21.140625" style="50" customWidth="1"/>
    <col min="11014" max="11014" width="13" style="50" customWidth="1"/>
    <col min="11015" max="11015" width="11.5703125" style="50" customWidth="1"/>
    <col min="11016" max="11017" width="13.5703125" style="50" customWidth="1"/>
    <col min="11018" max="11018" width="9.140625" style="50"/>
    <col min="11019" max="11019" width="9.42578125" style="50" customWidth="1"/>
    <col min="11020" max="11020" width="14.85546875" style="50" customWidth="1"/>
    <col min="11021" max="11031" width="0" style="50" hidden="1" customWidth="1"/>
    <col min="11032" max="11032" width="17.7109375" style="50" customWidth="1"/>
    <col min="11033" max="11033" width="25" style="50" customWidth="1"/>
    <col min="11034" max="11034" width="11.5703125" style="50" customWidth="1"/>
    <col min="11035" max="11036" width="11" style="50" customWidth="1"/>
    <col min="11037" max="11037" width="8.42578125" style="50" customWidth="1"/>
    <col min="11038" max="11040" width="6.28515625" style="50" bestFit="1" customWidth="1"/>
    <col min="11041" max="11264" width="9.140625" style="50"/>
    <col min="11265" max="11266" width="9.42578125" style="50" customWidth="1"/>
    <col min="11267" max="11267" width="6.42578125" style="50" customWidth="1"/>
    <col min="11268" max="11268" width="48.85546875" style="50" customWidth="1"/>
    <col min="11269" max="11269" width="21.140625" style="50" customWidth="1"/>
    <col min="11270" max="11270" width="13" style="50" customWidth="1"/>
    <col min="11271" max="11271" width="11.5703125" style="50" customWidth="1"/>
    <col min="11272" max="11273" width="13.5703125" style="50" customWidth="1"/>
    <col min="11274" max="11274" width="9.140625" style="50"/>
    <col min="11275" max="11275" width="9.42578125" style="50" customWidth="1"/>
    <col min="11276" max="11276" width="14.85546875" style="50" customWidth="1"/>
    <col min="11277" max="11287" width="0" style="50" hidden="1" customWidth="1"/>
    <col min="11288" max="11288" width="17.7109375" style="50" customWidth="1"/>
    <col min="11289" max="11289" width="25" style="50" customWidth="1"/>
    <col min="11290" max="11290" width="11.5703125" style="50" customWidth="1"/>
    <col min="11291" max="11292" width="11" style="50" customWidth="1"/>
    <col min="11293" max="11293" width="8.42578125" style="50" customWidth="1"/>
    <col min="11294" max="11296" width="6.28515625" style="50" bestFit="1" customWidth="1"/>
    <col min="11297" max="11520" width="9.140625" style="50"/>
    <col min="11521" max="11522" width="9.42578125" style="50" customWidth="1"/>
    <col min="11523" max="11523" width="6.42578125" style="50" customWidth="1"/>
    <col min="11524" max="11524" width="48.85546875" style="50" customWidth="1"/>
    <col min="11525" max="11525" width="21.140625" style="50" customWidth="1"/>
    <col min="11526" max="11526" width="13" style="50" customWidth="1"/>
    <col min="11527" max="11527" width="11.5703125" style="50" customWidth="1"/>
    <col min="11528" max="11529" width="13.5703125" style="50" customWidth="1"/>
    <col min="11530" max="11530" width="9.140625" style="50"/>
    <col min="11531" max="11531" width="9.42578125" style="50" customWidth="1"/>
    <col min="11532" max="11532" width="14.85546875" style="50" customWidth="1"/>
    <col min="11533" max="11543" width="0" style="50" hidden="1" customWidth="1"/>
    <col min="11544" max="11544" width="17.7109375" style="50" customWidth="1"/>
    <col min="11545" max="11545" width="25" style="50" customWidth="1"/>
    <col min="11546" max="11546" width="11.5703125" style="50" customWidth="1"/>
    <col min="11547" max="11548" width="11" style="50" customWidth="1"/>
    <col min="11549" max="11549" width="8.42578125" style="50" customWidth="1"/>
    <col min="11550" max="11552" width="6.28515625" style="50" bestFit="1" customWidth="1"/>
    <col min="11553" max="11776" width="9.140625" style="50"/>
    <col min="11777" max="11778" width="9.42578125" style="50" customWidth="1"/>
    <col min="11779" max="11779" width="6.42578125" style="50" customWidth="1"/>
    <col min="11780" max="11780" width="48.85546875" style="50" customWidth="1"/>
    <col min="11781" max="11781" width="21.140625" style="50" customWidth="1"/>
    <col min="11782" max="11782" width="13" style="50" customWidth="1"/>
    <col min="11783" max="11783" width="11.5703125" style="50" customWidth="1"/>
    <col min="11784" max="11785" width="13.5703125" style="50" customWidth="1"/>
    <col min="11786" max="11786" width="9.140625" style="50"/>
    <col min="11787" max="11787" width="9.42578125" style="50" customWidth="1"/>
    <col min="11788" max="11788" width="14.85546875" style="50" customWidth="1"/>
    <col min="11789" max="11799" width="0" style="50" hidden="1" customWidth="1"/>
    <col min="11800" max="11800" width="17.7109375" style="50" customWidth="1"/>
    <col min="11801" max="11801" width="25" style="50" customWidth="1"/>
    <col min="11802" max="11802" width="11.5703125" style="50" customWidth="1"/>
    <col min="11803" max="11804" width="11" style="50" customWidth="1"/>
    <col min="11805" max="11805" width="8.42578125" style="50" customWidth="1"/>
    <col min="11806" max="11808" width="6.28515625" style="50" bestFit="1" customWidth="1"/>
    <col min="11809" max="12032" width="9.140625" style="50"/>
    <col min="12033" max="12034" width="9.42578125" style="50" customWidth="1"/>
    <col min="12035" max="12035" width="6.42578125" style="50" customWidth="1"/>
    <col min="12036" max="12036" width="48.85546875" style="50" customWidth="1"/>
    <col min="12037" max="12037" width="21.140625" style="50" customWidth="1"/>
    <col min="12038" max="12038" width="13" style="50" customWidth="1"/>
    <col min="12039" max="12039" width="11.5703125" style="50" customWidth="1"/>
    <col min="12040" max="12041" width="13.5703125" style="50" customWidth="1"/>
    <col min="12042" max="12042" width="9.140625" style="50"/>
    <col min="12043" max="12043" width="9.42578125" style="50" customWidth="1"/>
    <col min="12044" max="12044" width="14.85546875" style="50" customWidth="1"/>
    <col min="12045" max="12055" width="0" style="50" hidden="1" customWidth="1"/>
    <col min="12056" max="12056" width="17.7109375" style="50" customWidth="1"/>
    <col min="12057" max="12057" width="25" style="50" customWidth="1"/>
    <col min="12058" max="12058" width="11.5703125" style="50" customWidth="1"/>
    <col min="12059" max="12060" width="11" style="50" customWidth="1"/>
    <col min="12061" max="12061" width="8.42578125" style="50" customWidth="1"/>
    <col min="12062" max="12064" width="6.28515625" style="50" bestFit="1" customWidth="1"/>
    <col min="12065" max="12288" width="9.140625" style="50"/>
    <col min="12289" max="12290" width="9.42578125" style="50" customWidth="1"/>
    <col min="12291" max="12291" width="6.42578125" style="50" customWidth="1"/>
    <col min="12292" max="12292" width="48.85546875" style="50" customWidth="1"/>
    <col min="12293" max="12293" width="21.140625" style="50" customWidth="1"/>
    <col min="12294" max="12294" width="13" style="50" customWidth="1"/>
    <col min="12295" max="12295" width="11.5703125" style="50" customWidth="1"/>
    <col min="12296" max="12297" width="13.5703125" style="50" customWidth="1"/>
    <col min="12298" max="12298" width="9.140625" style="50"/>
    <col min="12299" max="12299" width="9.42578125" style="50" customWidth="1"/>
    <col min="12300" max="12300" width="14.85546875" style="50" customWidth="1"/>
    <col min="12301" max="12311" width="0" style="50" hidden="1" customWidth="1"/>
    <col min="12312" max="12312" width="17.7109375" style="50" customWidth="1"/>
    <col min="12313" max="12313" width="25" style="50" customWidth="1"/>
    <col min="12314" max="12314" width="11.5703125" style="50" customWidth="1"/>
    <col min="12315" max="12316" width="11" style="50" customWidth="1"/>
    <col min="12317" max="12317" width="8.42578125" style="50" customWidth="1"/>
    <col min="12318" max="12320" width="6.28515625" style="50" bestFit="1" customWidth="1"/>
    <col min="12321" max="12544" width="9.140625" style="50"/>
    <col min="12545" max="12546" width="9.42578125" style="50" customWidth="1"/>
    <col min="12547" max="12547" width="6.42578125" style="50" customWidth="1"/>
    <col min="12548" max="12548" width="48.85546875" style="50" customWidth="1"/>
    <col min="12549" max="12549" width="21.140625" style="50" customWidth="1"/>
    <col min="12550" max="12550" width="13" style="50" customWidth="1"/>
    <col min="12551" max="12551" width="11.5703125" style="50" customWidth="1"/>
    <col min="12552" max="12553" width="13.5703125" style="50" customWidth="1"/>
    <col min="12554" max="12554" width="9.140625" style="50"/>
    <col min="12555" max="12555" width="9.42578125" style="50" customWidth="1"/>
    <col min="12556" max="12556" width="14.85546875" style="50" customWidth="1"/>
    <col min="12557" max="12567" width="0" style="50" hidden="1" customWidth="1"/>
    <col min="12568" max="12568" width="17.7109375" style="50" customWidth="1"/>
    <col min="12569" max="12569" width="25" style="50" customWidth="1"/>
    <col min="12570" max="12570" width="11.5703125" style="50" customWidth="1"/>
    <col min="12571" max="12572" width="11" style="50" customWidth="1"/>
    <col min="12573" max="12573" width="8.42578125" style="50" customWidth="1"/>
    <col min="12574" max="12576" width="6.28515625" style="50" bestFit="1" customWidth="1"/>
    <col min="12577" max="12800" width="9.140625" style="50"/>
    <col min="12801" max="12802" width="9.42578125" style="50" customWidth="1"/>
    <col min="12803" max="12803" width="6.42578125" style="50" customWidth="1"/>
    <col min="12804" max="12804" width="48.85546875" style="50" customWidth="1"/>
    <col min="12805" max="12805" width="21.140625" style="50" customWidth="1"/>
    <col min="12806" max="12806" width="13" style="50" customWidth="1"/>
    <col min="12807" max="12807" width="11.5703125" style="50" customWidth="1"/>
    <col min="12808" max="12809" width="13.5703125" style="50" customWidth="1"/>
    <col min="12810" max="12810" width="9.140625" style="50"/>
    <col min="12811" max="12811" width="9.42578125" style="50" customWidth="1"/>
    <col min="12812" max="12812" width="14.85546875" style="50" customWidth="1"/>
    <col min="12813" max="12823" width="0" style="50" hidden="1" customWidth="1"/>
    <col min="12824" max="12824" width="17.7109375" style="50" customWidth="1"/>
    <col min="12825" max="12825" width="25" style="50" customWidth="1"/>
    <col min="12826" max="12826" width="11.5703125" style="50" customWidth="1"/>
    <col min="12827" max="12828" width="11" style="50" customWidth="1"/>
    <col min="12829" max="12829" width="8.42578125" style="50" customWidth="1"/>
    <col min="12830" max="12832" width="6.28515625" style="50" bestFit="1" customWidth="1"/>
    <col min="12833" max="13056" width="9.140625" style="50"/>
    <col min="13057" max="13058" width="9.42578125" style="50" customWidth="1"/>
    <col min="13059" max="13059" width="6.42578125" style="50" customWidth="1"/>
    <col min="13060" max="13060" width="48.85546875" style="50" customWidth="1"/>
    <col min="13061" max="13061" width="21.140625" style="50" customWidth="1"/>
    <col min="13062" max="13062" width="13" style="50" customWidth="1"/>
    <col min="13063" max="13063" width="11.5703125" style="50" customWidth="1"/>
    <col min="13064" max="13065" width="13.5703125" style="50" customWidth="1"/>
    <col min="13066" max="13066" width="9.140625" style="50"/>
    <col min="13067" max="13067" width="9.42578125" style="50" customWidth="1"/>
    <col min="13068" max="13068" width="14.85546875" style="50" customWidth="1"/>
    <col min="13069" max="13079" width="0" style="50" hidden="1" customWidth="1"/>
    <col min="13080" max="13080" width="17.7109375" style="50" customWidth="1"/>
    <col min="13081" max="13081" width="25" style="50" customWidth="1"/>
    <col min="13082" max="13082" width="11.5703125" style="50" customWidth="1"/>
    <col min="13083" max="13084" width="11" style="50" customWidth="1"/>
    <col min="13085" max="13085" width="8.42578125" style="50" customWidth="1"/>
    <col min="13086" max="13088" width="6.28515625" style="50" bestFit="1" customWidth="1"/>
    <col min="13089" max="13312" width="9.140625" style="50"/>
    <col min="13313" max="13314" width="9.42578125" style="50" customWidth="1"/>
    <col min="13315" max="13315" width="6.42578125" style="50" customWidth="1"/>
    <col min="13316" max="13316" width="48.85546875" style="50" customWidth="1"/>
    <col min="13317" max="13317" width="21.140625" style="50" customWidth="1"/>
    <col min="13318" max="13318" width="13" style="50" customWidth="1"/>
    <col min="13319" max="13319" width="11.5703125" style="50" customWidth="1"/>
    <col min="13320" max="13321" width="13.5703125" style="50" customWidth="1"/>
    <col min="13322" max="13322" width="9.140625" style="50"/>
    <col min="13323" max="13323" width="9.42578125" style="50" customWidth="1"/>
    <col min="13324" max="13324" width="14.85546875" style="50" customWidth="1"/>
    <col min="13325" max="13335" width="0" style="50" hidden="1" customWidth="1"/>
    <col min="13336" max="13336" width="17.7109375" style="50" customWidth="1"/>
    <col min="13337" max="13337" width="25" style="50" customWidth="1"/>
    <col min="13338" max="13338" width="11.5703125" style="50" customWidth="1"/>
    <col min="13339" max="13340" width="11" style="50" customWidth="1"/>
    <col min="13341" max="13341" width="8.42578125" style="50" customWidth="1"/>
    <col min="13342" max="13344" width="6.28515625" style="50" bestFit="1" customWidth="1"/>
    <col min="13345" max="13568" width="9.140625" style="50"/>
    <col min="13569" max="13570" width="9.42578125" style="50" customWidth="1"/>
    <col min="13571" max="13571" width="6.42578125" style="50" customWidth="1"/>
    <col min="13572" max="13572" width="48.85546875" style="50" customWidth="1"/>
    <col min="13573" max="13573" width="21.140625" style="50" customWidth="1"/>
    <col min="13574" max="13574" width="13" style="50" customWidth="1"/>
    <col min="13575" max="13575" width="11.5703125" style="50" customWidth="1"/>
    <col min="13576" max="13577" width="13.5703125" style="50" customWidth="1"/>
    <col min="13578" max="13578" width="9.140625" style="50"/>
    <col min="13579" max="13579" width="9.42578125" style="50" customWidth="1"/>
    <col min="13580" max="13580" width="14.85546875" style="50" customWidth="1"/>
    <col min="13581" max="13591" width="0" style="50" hidden="1" customWidth="1"/>
    <col min="13592" max="13592" width="17.7109375" style="50" customWidth="1"/>
    <col min="13593" max="13593" width="25" style="50" customWidth="1"/>
    <col min="13594" max="13594" width="11.5703125" style="50" customWidth="1"/>
    <col min="13595" max="13596" width="11" style="50" customWidth="1"/>
    <col min="13597" max="13597" width="8.42578125" style="50" customWidth="1"/>
    <col min="13598" max="13600" width="6.28515625" style="50" bestFit="1" customWidth="1"/>
    <col min="13601" max="13824" width="9.140625" style="50"/>
    <col min="13825" max="13826" width="9.42578125" style="50" customWidth="1"/>
    <col min="13827" max="13827" width="6.42578125" style="50" customWidth="1"/>
    <col min="13828" max="13828" width="48.85546875" style="50" customWidth="1"/>
    <col min="13829" max="13829" width="21.140625" style="50" customWidth="1"/>
    <col min="13830" max="13830" width="13" style="50" customWidth="1"/>
    <col min="13831" max="13831" width="11.5703125" style="50" customWidth="1"/>
    <col min="13832" max="13833" width="13.5703125" style="50" customWidth="1"/>
    <col min="13834" max="13834" width="9.140625" style="50"/>
    <col min="13835" max="13835" width="9.42578125" style="50" customWidth="1"/>
    <col min="13836" max="13836" width="14.85546875" style="50" customWidth="1"/>
    <col min="13837" max="13847" width="0" style="50" hidden="1" customWidth="1"/>
    <col min="13848" max="13848" width="17.7109375" style="50" customWidth="1"/>
    <col min="13849" max="13849" width="25" style="50" customWidth="1"/>
    <col min="13850" max="13850" width="11.5703125" style="50" customWidth="1"/>
    <col min="13851" max="13852" width="11" style="50" customWidth="1"/>
    <col min="13853" max="13853" width="8.42578125" style="50" customWidth="1"/>
    <col min="13854" max="13856" width="6.28515625" style="50" bestFit="1" customWidth="1"/>
    <col min="13857" max="14080" width="9.140625" style="50"/>
    <col min="14081" max="14082" width="9.42578125" style="50" customWidth="1"/>
    <col min="14083" max="14083" width="6.42578125" style="50" customWidth="1"/>
    <col min="14084" max="14084" width="48.85546875" style="50" customWidth="1"/>
    <col min="14085" max="14085" width="21.140625" style="50" customWidth="1"/>
    <col min="14086" max="14086" width="13" style="50" customWidth="1"/>
    <col min="14087" max="14087" width="11.5703125" style="50" customWidth="1"/>
    <col min="14088" max="14089" width="13.5703125" style="50" customWidth="1"/>
    <col min="14090" max="14090" width="9.140625" style="50"/>
    <col min="14091" max="14091" width="9.42578125" style="50" customWidth="1"/>
    <col min="14092" max="14092" width="14.85546875" style="50" customWidth="1"/>
    <col min="14093" max="14103" width="0" style="50" hidden="1" customWidth="1"/>
    <col min="14104" max="14104" width="17.7109375" style="50" customWidth="1"/>
    <col min="14105" max="14105" width="25" style="50" customWidth="1"/>
    <col min="14106" max="14106" width="11.5703125" style="50" customWidth="1"/>
    <col min="14107" max="14108" width="11" style="50" customWidth="1"/>
    <col min="14109" max="14109" width="8.42578125" style="50" customWidth="1"/>
    <col min="14110" max="14112" width="6.28515625" style="50" bestFit="1" customWidth="1"/>
    <col min="14113" max="14336" width="9.140625" style="50"/>
    <col min="14337" max="14338" width="9.42578125" style="50" customWidth="1"/>
    <col min="14339" max="14339" width="6.42578125" style="50" customWidth="1"/>
    <col min="14340" max="14340" width="48.85546875" style="50" customWidth="1"/>
    <col min="14341" max="14341" width="21.140625" style="50" customWidth="1"/>
    <col min="14342" max="14342" width="13" style="50" customWidth="1"/>
    <col min="14343" max="14343" width="11.5703125" style="50" customWidth="1"/>
    <col min="14344" max="14345" width="13.5703125" style="50" customWidth="1"/>
    <col min="14346" max="14346" width="9.140625" style="50"/>
    <col min="14347" max="14347" width="9.42578125" style="50" customWidth="1"/>
    <col min="14348" max="14348" width="14.85546875" style="50" customWidth="1"/>
    <col min="14349" max="14359" width="0" style="50" hidden="1" customWidth="1"/>
    <col min="14360" max="14360" width="17.7109375" style="50" customWidth="1"/>
    <col min="14361" max="14361" width="25" style="50" customWidth="1"/>
    <col min="14362" max="14362" width="11.5703125" style="50" customWidth="1"/>
    <col min="14363" max="14364" width="11" style="50" customWidth="1"/>
    <col min="14365" max="14365" width="8.42578125" style="50" customWidth="1"/>
    <col min="14366" max="14368" width="6.28515625" style="50" bestFit="1" customWidth="1"/>
    <col min="14369" max="14592" width="9.140625" style="50"/>
    <col min="14593" max="14594" width="9.42578125" style="50" customWidth="1"/>
    <col min="14595" max="14595" width="6.42578125" style="50" customWidth="1"/>
    <col min="14596" max="14596" width="48.85546875" style="50" customWidth="1"/>
    <col min="14597" max="14597" width="21.140625" style="50" customWidth="1"/>
    <col min="14598" max="14598" width="13" style="50" customWidth="1"/>
    <col min="14599" max="14599" width="11.5703125" style="50" customWidth="1"/>
    <col min="14600" max="14601" width="13.5703125" style="50" customWidth="1"/>
    <col min="14602" max="14602" width="9.140625" style="50"/>
    <col min="14603" max="14603" width="9.42578125" style="50" customWidth="1"/>
    <col min="14604" max="14604" width="14.85546875" style="50" customWidth="1"/>
    <col min="14605" max="14615" width="0" style="50" hidden="1" customWidth="1"/>
    <col min="14616" max="14616" width="17.7109375" style="50" customWidth="1"/>
    <col min="14617" max="14617" width="25" style="50" customWidth="1"/>
    <col min="14618" max="14618" width="11.5703125" style="50" customWidth="1"/>
    <col min="14619" max="14620" width="11" style="50" customWidth="1"/>
    <col min="14621" max="14621" width="8.42578125" style="50" customWidth="1"/>
    <col min="14622" max="14624" width="6.28515625" style="50" bestFit="1" customWidth="1"/>
    <col min="14625" max="14848" width="9.140625" style="50"/>
    <col min="14849" max="14850" width="9.42578125" style="50" customWidth="1"/>
    <col min="14851" max="14851" width="6.42578125" style="50" customWidth="1"/>
    <col min="14852" max="14852" width="48.85546875" style="50" customWidth="1"/>
    <col min="14853" max="14853" width="21.140625" style="50" customWidth="1"/>
    <col min="14854" max="14854" width="13" style="50" customWidth="1"/>
    <col min="14855" max="14855" width="11.5703125" style="50" customWidth="1"/>
    <col min="14856" max="14857" width="13.5703125" style="50" customWidth="1"/>
    <col min="14858" max="14858" width="9.140625" style="50"/>
    <col min="14859" max="14859" width="9.42578125" style="50" customWidth="1"/>
    <col min="14860" max="14860" width="14.85546875" style="50" customWidth="1"/>
    <col min="14861" max="14871" width="0" style="50" hidden="1" customWidth="1"/>
    <col min="14872" max="14872" width="17.7109375" style="50" customWidth="1"/>
    <col min="14873" max="14873" width="25" style="50" customWidth="1"/>
    <col min="14874" max="14874" width="11.5703125" style="50" customWidth="1"/>
    <col min="14875" max="14876" width="11" style="50" customWidth="1"/>
    <col min="14877" max="14877" width="8.42578125" style="50" customWidth="1"/>
    <col min="14878" max="14880" width="6.28515625" style="50" bestFit="1" customWidth="1"/>
    <col min="14881" max="15104" width="9.140625" style="50"/>
    <col min="15105" max="15106" width="9.42578125" style="50" customWidth="1"/>
    <col min="15107" max="15107" width="6.42578125" style="50" customWidth="1"/>
    <col min="15108" max="15108" width="48.85546875" style="50" customWidth="1"/>
    <col min="15109" max="15109" width="21.140625" style="50" customWidth="1"/>
    <col min="15110" max="15110" width="13" style="50" customWidth="1"/>
    <col min="15111" max="15111" width="11.5703125" style="50" customWidth="1"/>
    <col min="15112" max="15113" width="13.5703125" style="50" customWidth="1"/>
    <col min="15114" max="15114" width="9.140625" style="50"/>
    <col min="15115" max="15115" width="9.42578125" style="50" customWidth="1"/>
    <col min="15116" max="15116" width="14.85546875" style="50" customWidth="1"/>
    <col min="15117" max="15127" width="0" style="50" hidden="1" customWidth="1"/>
    <col min="15128" max="15128" width="17.7109375" style="50" customWidth="1"/>
    <col min="15129" max="15129" width="25" style="50" customWidth="1"/>
    <col min="15130" max="15130" width="11.5703125" style="50" customWidth="1"/>
    <col min="15131" max="15132" width="11" style="50" customWidth="1"/>
    <col min="15133" max="15133" width="8.42578125" style="50" customWidth="1"/>
    <col min="15134" max="15136" width="6.28515625" style="50" bestFit="1" customWidth="1"/>
    <col min="15137" max="15360" width="9.140625" style="50"/>
    <col min="15361" max="15362" width="9.42578125" style="50" customWidth="1"/>
    <col min="15363" max="15363" width="6.42578125" style="50" customWidth="1"/>
    <col min="15364" max="15364" width="48.85546875" style="50" customWidth="1"/>
    <col min="15365" max="15365" width="21.140625" style="50" customWidth="1"/>
    <col min="15366" max="15366" width="13" style="50" customWidth="1"/>
    <col min="15367" max="15367" width="11.5703125" style="50" customWidth="1"/>
    <col min="15368" max="15369" width="13.5703125" style="50" customWidth="1"/>
    <col min="15370" max="15370" width="9.140625" style="50"/>
    <col min="15371" max="15371" width="9.42578125" style="50" customWidth="1"/>
    <col min="15372" max="15372" width="14.85546875" style="50" customWidth="1"/>
    <col min="15373" max="15383" width="0" style="50" hidden="1" customWidth="1"/>
    <col min="15384" max="15384" width="17.7109375" style="50" customWidth="1"/>
    <col min="15385" max="15385" width="25" style="50" customWidth="1"/>
    <col min="15386" max="15386" width="11.5703125" style="50" customWidth="1"/>
    <col min="15387" max="15388" width="11" style="50" customWidth="1"/>
    <col min="15389" max="15389" width="8.42578125" style="50" customWidth="1"/>
    <col min="15390" max="15392" width="6.28515625" style="50" bestFit="1" customWidth="1"/>
    <col min="15393" max="15616" width="9.140625" style="50"/>
    <col min="15617" max="15618" width="9.42578125" style="50" customWidth="1"/>
    <col min="15619" max="15619" width="6.42578125" style="50" customWidth="1"/>
    <col min="15620" max="15620" width="48.85546875" style="50" customWidth="1"/>
    <col min="15621" max="15621" width="21.140625" style="50" customWidth="1"/>
    <col min="15622" max="15622" width="13" style="50" customWidth="1"/>
    <col min="15623" max="15623" width="11.5703125" style="50" customWidth="1"/>
    <col min="15624" max="15625" width="13.5703125" style="50" customWidth="1"/>
    <col min="15626" max="15626" width="9.140625" style="50"/>
    <col min="15627" max="15627" width="9.42578125" style="50" customWidth="1"/>
    <col min="15628" max="15628" width="14.85546875" style="50" customWidth="1"/>
    <col min="15629" max="15639" width="0" style="50" hidden="1" customWidth="1"/>
    <col min="15640" max="15640" width="17.7109375" style="50" customWidth="1"/>
    <col min="15641" max="15641" width="25" style="50" customWidth="1"/>
    <col min="15642" max="15642" width="11.5703125" style="50" customWidth="1"/>
    <col min="15643" max="15644" width="11" style="50" customWidth="1"/>
    <col min="15645" max="15645" width="8.42578125" style="50" customWidth="1"/>
    <col min="15646" max="15648" width="6.28515625" style="50" bestFit="1" customWidth="1"/>
    <col min="15649" max="15872" width="9.140625" style="50"/>
    <col min="15873" max="15874" width="9.42578125" style="50" customWidth="1"/>
    <col min="15875" max="15875" width="6.42578125" style="50" customWidth="1"/>
    <col min="15876" max="15876" width="48.85546875" style="50" customWidth="1"/>
    <col min="15877" max="15877" width="21.140625" style="50" customWidth="1"/>
    <col min="15878" max="15878" width="13" style="50" customWidth="1"/>
    <col min="15879" max="15879" width="11.5703125" style="50" customWidth="1"/>
    <col min="15880" max="15881" width="13.5703125" style="50" customWidth="1"/>
    <col min="15882" max="15882" width="9.140625" style="50"/>
    <col min="15883" max="15883" width="9.42578125" style="50" customWidth="1"/>
    <col min="15884" max="15884" width="14.85546875" style="50" customWidth="1"/>
    <col min="15885" max="15895" width="0" style="50" hidden="1" customWidth="1"/>
    <col min="15896" max="15896" width="17.7109375" style="50" customWidth="1"/>
    <col min="15897" max="15897" width="25" style="50" customWidth="1"/>
    <col min="15898" max="15898" width="11.5703125" style="50" customWidth="1"/>
    <col min="15899" max="15900" width="11" style="50" customWidth="1"/>
    <col min="15901" max="15901" width="8.42578125" style="50" customWidth="1"/>
    <col min="15902" max="15904" width="6.28515625" style="50" bestFit="1" customWidth="1"/>
    <col min="15905" max="16128" width="9.140625" style="50"/>
    <col min="16129" max="16130" width="9.42578125" style="50" customWidth="1"/>
    <col min="16131" max="16131" width="6.42578125" style="50" customWidth="1"/>
    <col min="16132" max="16132" width="48.85546875" style="50" customWidth="1"/>
    <col min="16133" max="16133" width="21.140625" style="50" customWidth="1"/>
    <col min="16134" max="16134" width="13" style="50" customWidth="1"/>
    <col min="16135" max="16135" width="11.5703125" style="50" customWidth="1"/>
    <col min="16136" max="16137" width="13.5703125" style="50" customWidth="1"/>
    <col min="16138" max="16138" width="9.140625" style="50"/>
    <col min="16139" max="16139" width="9.42578125" style="50" customWidth="1"/>
    <col min="16140" max="16140" width="14.85546875" style="50" customWidth="1"/>
    <col min="16141" max="16151" width="0" style="50" hidden="1" customWidth="1"/>
    <col min="16152" max="16152" width="17.7109375" style="50" customWidth="1"/>
    <col min="16153" max="16153" width="25" style="50" customWidth="1"/>
    <col min="16154" max="16154" width="11.5703125" style="50" customWidth="1"/>
    <col min="16155" max="16156" width="11" style="50" customWidth="1"/>
    <col min="16157" max="16157" width="8.42578125" style="50" customWidth="1"/>
    <col min="16158" max="16160" width="6.28515625" style="50" bestFit="1" customWidth="1"/>
    <col min="16161" max="16384" width="9.140625" style="50"/>
  </cols>
  <sheetData>
    <row r="1" spans="1:23" s="37" customFormat="1" x14ac:dyDescent="0.2">
      <c r="A1" s="31"/>
      <c r="B1" s="31"/>
      <c r="C1" s="32"/>
      <c r="D1" s="33" t="s">
        <v>55</v>
      </c>
      <c r="E1" s="33" t="s">
        <v>56</v>
      </c>
      <c r="F1" s="34"/>
      <c r="G1" s="34"/>
      <c r="H1" s="35" t="s">
        <v>57</v>
      </c>
      <c r="I1" s="31"/>
      <c r="J1" s="36"/>
      <c r="K1" s="36"/>
      <c r="L1" s="36"/>
      <c r="M1" s="36"/>
      <c r="N1" s="36"/>
      <c r="O1" s="36"/>
      <c r="P1" s="36"/>
      <c r="Q1" s="36"/>
      <c r="R1" s="36"/>
      <c r="S1" s="36"/>
      <c r="T1" s="36"/>
      <c r="U1" s="36"/>
      <c r="V1" s="36"/>
      <c r="W1" s="36"/>
    </row>
    <row r="2" spans="1:23" s="37" customFormat="1" ht="14.25" x14ac:dyDescent="0.2">
      <c r="A2" s="31"/>
      <c r="B2" s="31"/>
      <c r="C2" s="32"/>
      <c r="D2" s="38"/>
      <c r="E2" s="308"/>
      <c r="F2" s="309"/>
      <c r="G2" s="310"/>
      <c r="H2" s="39" t="s">
        <v>57</v>
      </c>
      <c r="I2" s="36"/>
      <c r="J2" s="36"/>
      <c r="K2" s="36"/>
      <c r="L2" s="36"/>
      <c r="M2" s="36"/>
      <c r="N2" s="36"/>
      <c r="O2" s="36"/>
      <c r="P2" s="36"/>
      <c r="Q2" s="36"/>
      <c r="R2" s="36"/>
      <c r="S2" s="36"/>
      <c r="T2" s="36"/>
      <c r="U2" s="36"/>
      <c r="V2" s="36"/>
      <c r="W2" s="36"/>
    </row>
    <row r="3" spans="1:23" s="37" customFormat="1" x14ac:dyDescent="0.2">
      <c r="A3" s="31"/>
      <c r="B3" s="31"/>
      <c r="C3" s="32"/>
      <c r="D3" s="40" t="s">
        <v>58</v>
      </c>
      <c r="E3" s="41"/>
      <c r="F3" s="34"/>
      <c r="G3" s="34"/>
      <c r="H3" s="35" t="s">
        <v>57</v>
      </c>
      <c r="I3" s="36"/>
      <c r="J3" s="36"/>
      <c r="K3" s="36"/>
      <c r="L3" s="36"/>
      <c r="M3" s="36"/>
      <c r="N3" s="36"/>
      <c r="O3" s="36"/>
      <c r="P3" s="36"/>
      <c r="Q3" s="36"/>
      <c r="R3" s="36"/>
      <c r="S3" s="36"/>
      <c r="T3" s="36"/>
      <c r="U3" s="36"/>
      <c r="V3" s="36"/>
      <c r="W3" s="36"/>
    </row>
    <row r="4" spans="1:23" s="37" customFormat="1" ht="14.25" x14ac:dyDescent="0.2">
      <c r="A4" s="42"/>
      <c r="B4" s="42"/>
      <c r="C4" s="32"/>
      <c r="D4" s="308" t="s">
        <v>591</v>
      </c>
      <c r="E4" s="311"/>
      <c r="F4" s="311"/>
      <c r="G4" s="312"/>
      <c r="H4" s="39" t="s">
        <v>57</v>
      </c>
      <c r="I4" s="36"/>
      <c r="J4" s="36"/>
      <c r="K4" s="36"/>
      <c r="L4" s="36"/>
      <c r="M4" s="36"/>
      <c r="N4" s="36"/>
      <c r="O4" s="36"/>
      <c r="P4" s="36"/>
      <c r="Q4" s="36"/>
      <c r="R4" s="36"/>
      <c r="S4" s="36"/>
      <c r="T4" s="36"/>
      <c r="U4" s="36"/>
      <c r="V4" s="36"/>
      <c r="W4" s="36"/>
    </row>
    <row r="5" spans="1:23" s="37" customFormat="1" x14ac:dyDescent="0.2">
      <c r="A5" s="31"/>
      <c r="B5" s="31"/>
      <c r="C5" s="32"/>
      <c r="D5" s="40" t="s">
        <v>59</v>
      </c>
      <c r="E5" s="43" t="s">
        <v>60</v>
      </c>
      <c r="F5" s="34"/>
      <c r="G5" s="34"/>
      <c r="H5" s="35" t="s">
        <v>57</v>
      </c>
      <c r="I5" s="36"/>
      <c r="J5" s="36"/>
      <c r="K5" s="36"/>
      <c r="L5" s="36"/>
      <c r="M5" s="36"/>
      <c r="N5" s="36"/>
      <c r="O5" s="36"/>
      <c r="P5" s="36"/>
      <c r="Q5" s="36"/>
      <c r="R5" s="36"/>
      <c r="S5" s="36"/>
      <c r="T5" s="36"/>
      <c r="U5" s="36"/>
      <c r="V5" s="36"/>
      <c r="W5" s="36"/>
    </row>
    <row r="6" spans="1:23" s="37" customFormat="1" ht="14.25" x14ac:dyDescent="0.2">
      <c r="A6" s="31"/>
      <c r="B6" s="31"/>
      <c r="C6" s="32"/>
      <c r="D6" s="38" t="s">
        <v>592</v>
      </c>
      <c r="E6" s="308"/>
      <c r="F6" s="311"/>
      <c r="G6" s="312"/>
      <c r="H6" s="39" t="s">
        <v>57</v>
      </c>
      <c r="I6" s="36"/>
      <c r="J6" s="44"/>
      <c r="K6" s="36"/>
      <c r="L6" s="45" t="s">
        <v>61</v>
      </c>
      <c r="M6" s="36"/>
      <c r="N6" s="46"/>
      <c r="O6" s="36"/>
      <c r="P6" s="36"/>
      <c r="Q6" s="36"/>
      <c r="R6" s="36"/>
      <c r="S6" s="36"/>
      <c r="T6" s="36"/>
      <c r="U6" s="36"/>
      <c r="V6" s="36"/>
      <c r="W6" s="36"/>
    </row>
    <row r="7" spans="1:23" ht="6" customHeight="1" thickBot="1" x14ac:dyDescent="0.25">
      <c r="A7" s="47"/>
      <c r="B7" s="47"/>
      <c r="C7" s="48"/>
      <c r="D7" s="47"/>
      <c r="E7" s="47"/>
      <c r="F7" s="47"/>
      <c r="G7" s="49"/>
      <c r="H7" s="47"/>
      <c r="I7" s="47"/>
      <c r="J7" s="47"/>
      <c r="K7" s="47"/>
      <c r="L7" s="47"/>
    </row>
    <row r="8" spans="1:23" s="53" customFormat="1" ht="18" customHeight="1" thickBot="1" x14ac:dyDescent="0.25">
      <c r="A8" s="313" t="str">
        <f>IF(N24=1,N26,N25)</f>
        <v>Composição do BDI para obras com mão-de-obra desonerada (conforme Lei 13.161 de 2015)</v>
      </c>
      <c r="B8" s="314"/>
      <c r="C8" s="314"/>
      <c r="D8" s="314"/>
      <c r="E8" s="314"/>
      <c r="F8" s="314"/>
      <c r="G8" s="314"/>
      <c r="H8" s="314"/>
      <c r="I8" s="314"/>
      <c r="J8" s="314"/>
      <c r="K8" s="314"/>
      <c r="L8" s="315"/>
      <c r="M8" s="51"/>
      <c r="N8" s="52" t="b">
        <v>1</v>
      </c>
      <c r="O8" s="51"/>
      <c r="P8" s="51"/>
      <c r="Q8" s="51"/>
      <c r="R8" s="51"/>
      <c r="S8" s="51"/>
      <c r="T8" s="51"/>
      <c r="U8" s="51"/>
      <c r="V8" s="51"/>
      <c r="W8" s="51"/>
    </row>
    <row r="9" spans="1:23" ht="2.1" customHeight="1" x14ac:dyDescent="0.2">
      <c r="A9" s="54"/>
      <c r="B9" s="54"/>
      <c r="C9" s="55"/>
      <c r="D9" s="56"/>
      <c r="E9" s="57"/>
      <c r="F9" s="57"/>
      <c r="G9" s="57"/>
      <c r="H9" s="57"/>
      <c r="I9" s="57"/>
      <c r="J9" s="57"/>
      <c r="K9" s="47"/>
      <c r="L9" s="47"/>
      <c r="O9" s="58"/>
    </row>
    <row r="10" spans="1:23" s="63" customFormat="1" x14ac:dyDescent="0.2">
      <c r="A10" s="54"/>
      <c r="B10" s="54"/>
      <c r="C10" s="55"/>
      <c r="D10" s="59" t="s">
        <v>62</v>
      </c>
      <c r="E10" s="57"/>
      <c r="F10" s="59"/>
      <c r="G10" s="316"/>
      <c r="H10" s="60"/>
      <c r="I10" s="60"/>
      <c r="J10" s="57"/>
      <c r="K10" s="58"/>
      <c r="L10" s="58"/>
      <c r="M10" s="58"/>
      <c r="N10" s="61" t="s">
        <v>63</v>
      </c>
      <c r="O10" s="62">
        <v>1</v>
      </c>
      <c r="P10" s="58" t="str">
        <f>IF(O10=1,N10,IF(O10=2,N11,IF(O10=3,N12,IF(O10=4,N13,IF(O10=5,N14,IF(O10=6,N15," "))))))</f>
        <v>Construção de Edifícios</v>
      </c>
      <c r="Q10" s="58"/>
      <c r="R10" s="58"/>
      <c r="S10" s="58"/>
      <c r="T10" s="58"/>
      <c r="U10" s="58"/>
      <c r="V10" s="58"/>
      <c r="W10" s="58"/>
    </row>
    <row r="11" spans="1:23" s="63" customFormat="1" x14ac:dyDescent="0.2">
      <c r="A11" s="54"/>
      <c r="B11" s="54"/>
      <c r="C11" s="55"/>
      <c r="D11" s="59"/>
      <c r="E11" s="57"/>
      <c r="F11" s="57"/>
      <c r="G11" s="316"/>
      <c r="H11" s="64"/>
      <c r="I11" s="64"/>
      <c r="J11" s="57"/>
      <c r="K11" s="58"/>
      <c r="L11" s="58"/>
      <c r="M11" s="58"/>
      <c r="N11" s="61" t="s">
        <v>64</v>
      </c>
      <c r="O11" s="58"/>
      <c r="P11" s="58"/>
      <c r="Q11" s="58"/>
      <c r="R11" s="61"/>
      <c r="S11" s="58"/>
      <c r="T11" s="58"/>
      <c r="U11" s="58"/>
      <c r="V11" s="58"/>
      <c r="W11" s="58"/>
    </row>
    <row r="12" spans="1:23" s="63" customFormat="1" ht="13.5" thickBot="1" x14ac:dyDescent="0.25">
      <c r="A12" s="54"/>
      <c r="B12" s="54"/>
      <c r="C12" s="55"/>
      <c r="D12" s="59"/>
      <c r="E12" s="57"/>
      <c r="F12" s="57"/>
      <c r="G12" s="57"/>
      <c r="H12" s="57"/>
      <c r="I12" s="57"/>
      <c r="J12" s="57"/>
      <c r="K12" s="58"/>
      <c r="L12" s="58"/>
      <c r="M12" s="58"/>
      <c r="N12" s="61" t="s">
        <v>65</v>
      </c>
      <c r="O12" s="58"/>
      <c r="P12" s="58"/>
      <c r="Q12" s="58"/>
      <c r="R12" s="61"/>
      <c r="S12" s="58"/>
      <c r="T12" s="58"/>
      <c r="U12" s="58"/>
      <c r="V12" s="58"/>
      <c r="W12" s="58"/>
    </row>
    <row r="13" spans="1:23" s="63" customFormat="1" ht="14.1" customHeight="1" thickBot="1" x14ac:dyDescent="0.25">
      <c r="A13" s="54"/>
      <c r="B13" s="54"/>
      <c r="C13" s="305" t="str">
        <f>"COMPOSIÇÃO - BDI para "&amp;P10</f>
        <v>COMPOSIÇÃO - BDI para Construção de Edifícios</v>
      </c>
      <c r="D13" s="306"/>
      <c r="E13" s="306"/>
      <c r="F13" s="306"/>
      <c r="G13" s="306"/>
      <c r="H13" s="306"/>
      <c r="I13" s="307"/>
      <c r="J13" s="47"/>
      <c r="K13" s="58"/>
      <c r="L13" s="58"/>
      <c r="M13" s="58"/>
      <c r="N13" s="61" t="s">
        <v>66</v>
      </c>
      <c r="O13" s="58"/>
      <c r="P13" s="58"/>
      <c r="Q13" s="58"/>
      <c r="R13" s="61"/>
      <c r="S13" s="58"/>
      <c r="T13" s="58"/>
      <c r="U13" s="58"/>
      <c r="V13" s="58"/>
      <c r="W13" s="58"/>
    </row>
    <row r="14" spans="1:23" s="63" customFormat="1" ht="27.95" customHeight="1" x14ac:dyDescent="0.2">
      <c r="A14" s="54"/>
      <c r="B14" s="54"/>
      <c r="C14" s="65" t="s">
        <v>0</v>
      </c>
      <c r="D14" s="66" t="s">
        <v>67</v>
      </c>
      <c r="E14" s="66" t="s">
        <v>68</v>
      </c>
      <c r="F14" s="66" t="s">
        <v>69</v>
      </c>
      <c r="G14" s="66" t="s">
        <v>70</v>
      </c>
      <c r="H14" s="67" t="s">
        <v>71</v>
      </c>
      <c r="I14" s="67" t="s">
        <v>72</v>
      </c>
      <c r="J14" s="47"/>
      <c r="K14" s="58"/>
      <c r="L14" s="58"/>
      <c r="M14" s="58"/>
      <c r="N14" s="61" t="s">
        <v>73</v>
      </c>
      <c r="O14" s="58"/>
      <c r="P14" s="58"/>
      <c r="Q14" s="58"/>
      <c r="R14" s="61"/>
      <c r="S14" s="58"/>
      <c r="T14" s="58"/>
      <c r="U14" s="58"/>
      <c r="V14" s="58"/>
      <c r="W14" s="58"/>
    </row>
    <row r="15" spans="1:23" s="63" customFormat="1" ht="14.1" customHeight="1" x14ac:dyDescent="0.2">
      <c r="A15" s="54"/>
      <c r="B15" s="54"/>
      <c r="C15" s="68">
        <v>1</v>
      </c>
      <c r="D15" s="69" t="s">
        <v>74</v>
      </c>
      <c r="E15" s="70" t="s">
        <v>75</v>
      </c>
      <c r="F15" s="71">
        <v>0.03</v>
      </c>
      <c r="G15" s="72" t="str">
        <f>IF(F15="","",IF(AND(F15&gt;=H15,F15&lt;=I15),"OK",""))</f>
        <v>OK</v>
      </c>
      <c r="H15" s="73">
        <f>INDEX(matriz,$W17,$O$10)</f>
        <v>0.03</v>
      </c>
      <c r="I15" s="73">
        <f>INDEX(matriz2,$W23,$O$10)</f>
        <v>5.5E-2</v>
      </c>
      <c r="J15" s="47"/>
      <c r="K15" s="58"/>
      <c r="L15" s="58"/>
      <c r="M15" s="58"/>
      <c r="N15" s="58" t="s">
        <v>76</v>
      </c>
      <c r="O15" s="58"/>
      <c r="P15" s="58"/>
      <c r="Q15" s="58"/>
      <c r="R15" s="61"/>
      <c r="S15" s="58"/>
      <c r="T15" s="58"/>
      <c r="U15" s="58"/>
      <c r="V15" s="58"/>
      <c r="W15" s="58"/>
    </row>
    <row r="16" spans="1:23" s="63" customFormat="1" ht="14.1" customHeight="1" x14ac:dyDescent="0.2">
      <c r="A16" s="54"/>
      <c r="B16" s="54"/>
      <c r="C16" s="74">
        <v>2</v>
      </c>
      <c r="D16" s="75" t="s">
        <v>77</v>
      </c>
      <c r="E16" s="76" t="s">
        <v>78</v>
      </c>
      <c r="F16" s="77">
        <v>8.0000000000000002E-3</v>
      </c>
      <c r="G16" s="78" t="str">
        <f t="shared" ref="G16:G24" si="0">IF(F16="","",IF(AND(F16&gt;=H16,F16&lt;=I16),"OK",""))</f>
        <v>OK</v>
      </c>
      <c r="H16" s="73">
        <f>INDEX(matriz,$W18,$O$10)</f>
        <v>8.0000000000000002E-3</v>
      </c>
      <c r="I16" s="73">
        <f>INDEX(matriz2,$W24,$O$10)</f>
        <v>0.01</v>
      </c>
      <c r="J16" s="47"/>
      <c r="K16" s="58"/>
      <c r="L16" s="58"/>
      <c r="M16" s="58"/>
      <c r="N16" s="61"/>
      <c r="O16" s="58"/>
      <c r="P16" s="61" t="s">
        <v>79</v>
      </c>
      <c r="Q16" s="61">
        <v>1</v>
      </c>
      <c r="R16" s="58">
        <v>2</v>
      </c>
      <c r="S16" s="58">
        <v>3</v>
      </c>
      <c r="T16" s="58">
        <v>4</v>
      </c>
      <c r="U16" s="58">
        <v>5</v>
      </c>
      <c r="V16" s="58">
        <v>6</v>
      </c>
      <c r="W16" s="58"/>
    </row>
    <row r="17" spans="1:23" s="63" customFormat="1" ht="14.1" customHeight="1" x14ac:dyDescent="0.2">
      <c r="A17" s="54"/>
      <c r="B17" s="54"/>
      <c r="C17" s="74">
        <v>3</v>
      </c>
      <c r="D17" s="75" t="s">
        <v>80</v>
      </c>
      <c r="E17" s="76" t="s">
        <v>81</v>
      </c>
      <c r="F17" s="77">
        <v>0.01</v>
      </c>
      <c r="G17" s="78" t="str">
        <f t="shared" si="0"/>
        <v>OK</v>
      </c>
      <c r="H17" s="73">
        <f>INDEX(matriz,$W19,$O$10)</f>
        <v>9.7000000000000003E-3</v>
      </c>
      <c r="I17" s="73">
        <f>INDEX(matriz2,$W25,$O$10)</f>
        <v>1.2699999999999999E-2</v>
      </c>
      <c r="J17" s="47"/>
      <c r="K17" s="79"/>
      <c r="L17" s="58"/>
      <c r="M17" s="58"/>
      <c r="N17" s="80"/>
      <c r="O17" s="58"/>
      <c r="P17" s="58"/>
      <c r="Q17" s="81">
        <v>0.03</v>
      </c>
      <c r="R17" s="81">
        <v>3.7999999999999999E-2</v>
      </c>
      <c r="S17" s="81">
        <v>3.4299999999999997E-2</v>
      </c>
      <c r="T17" s="81">
        <v>5.2900000000000003E-2</v>
      </c>
      <c r="U17" s="81">
        <v>0.04</v>
      </c>
      <c r="V17" s="81">
        <v>1.4999999999999999E-2</v>
      </c>
      <c r="W17" s="58">
        <v>1</v>
      </c>
    </row>
    <row r="18" spans="1:23" s="63" customFormat="1" ht="14.1" customHeight="1" x14ac:dyDescent="0.2">
      <c r="A18" s="54"/>
      <c r="B18" s="54"/>
      <c r="C18" s="74">
        <v>4</v>
      </c>
      <c r="D18" s="75" t="s">
        <v>82</v>
      </c>
      <c r="E18" s="76" t="s">
        <v>83</v>
      </c>
      <c r="F18" s="77">
        <v>7.0000000000000001E-3</v>
      </c>
      <c r="G18" s="78" t="str">
        <f t="shared" si="0"/>
        <v>OK</v>
      </c>
      <c r="H18" s="73">
        <f>INDEX(matriz,$W20,$O$10)</f>
        <v>5.8999999999999999E-3</v>
      </c>
      <c r="I18" s="73">
        <f>INDEX(matriz2,$W26,$O$10)</f>
        <v>1.3899999999999999E-2</v>
      </c>
      <c r="J18" s="47"/>
      <c r="K18" s="79"/>
      <c r="L18" s="58"/>
      <c r="M18" s="58"/>
      <c r="N18" s="82">
        <f>((((1+F15+F16+F17)*(1+F18)*(1+F19))/(1-(F20-0.045))-1))</f>
        <v>0.20399875736475592</v>
      </c>
      <c r="O18" s="58"/>
      <c r="P18" s="58"/>
      <c r="Q18" s="81">
        <v>8.0000000000000002E-3</v>
      </c>
      <c r="R18" s="81">
        <v>3.2000000000000002E-3</v>
      </c>
      <c r="S18" s="81">
        <v>2.8E-3</v>
      </c>
      <c r="T18" s="81">
        <v>2.5000000000000001E-3</v>
      </c>
      <c r="U18" s="81">
        <v>8.0999999999999996E-3</v>
      </c>
      <c r="V18" s="81">
        <v>3.0000000000000001E-3</v>
      </c>
      <c r="W18" s="58">
        <v>2</v>
      </c>
    </row>
    <row r="19" spans="1:23" s="63" customFormat="1" ht="14.1" customHeight="1" x14ac:dyDescent="0.2">
      <c r="A19" s="54"/>
      <c r="B19" s="54"/>
      <c r="C19" s="74">
        <v>5</v>
      </c>
      <c r="D19" s="75" t="s">
        <v>84</v>
      </c>
      <c r="E19" s="76" t="s">
        <v>85</v>
      </c>
      <c r="F19" s="77">
        <v>6.5000000000000002E-2</v>
      </c>
      <c r="G19" s="78" t="str">
        <f t="shared" si="0"/>
        <v>OK</v>
      </c>
      <c r="H19" s="73">
        <f>INDEX(matriz,$W21,$O$10)</f>
        <v>6.1600000000000002E-2</v>
      </c>
      <c r="I19" s="73">
        <f>INDEX(matriz2,$W27,$O$10)</f>
        <v>8.9599999999999999E-2</v>
      </c>
      <c r="J19" s="47"/>
      <c r="K19" s="79"/>
      <c r="L19" s="58"/>
      <c r="M19" s="58"/>
      <c r="N19" s="80" t="str">
        <f>"Percentual de BDI superior ao limite estipulado pelo Acórdão TCU 2.622/2013 devido a soma de 4,5% (CPRB, conforme LEI 13.161/2015) no item Tributos, referente a desoneração na Contribuição Previdenciária. O cálculo dessa composição onerada resulta em " &amp;N22</f>
        <v>Percentual de BDI superior ao limite estipulado pelo Acórdão TCU 2.622/2013 devido a soma de 4,5% (CPRB, conforme LEI 13.161/2015) no item Tributos, referente a desoneração na Contribuição Previdenciária. O cálculo dessa composição onerada resulta em 20,4%</v>
      </c>
      <c r="O19" s="58"/>
      <c r="P19" s="58"/>
      <c r="Q19" s="81">
        <v>9.7000000000000003E-3</v>
      </c>
      <c r="R19" s="81">
        <v>5.0000000000000001E-3</v>
      </c>
      <c r="S19" s="81">
        <v>0.01</v>
      </c>
      <c r="T19" s="81">
        <v>0.01</v>
      </c>
      <c r="U19" s="81">
        <v>1.46E-2</v>
      </c>
      <c r="V19" s="81">
        <v>5.5999999999999999E-3</v>
      </c>
      <c r="W19" s="58">
        <v>3</v>
      </c>
    </row>
    <row r="20" spans="1:23" s="63" customFormat="1" ht="14.1" customHeight="1" x14ac:dyDescent="0.2">
      <c r="A20" s="54"/>
      <c r="B20" s="54"/>
      <c r="C20" s="74">
        <v>6</v>
      </c>
      <c r="D20" s="75" t="s">
        <v>86</v>
      </c>
      <c r="E20" s="76" t="s">
        <v>87</v>
      </c>
      <c r="F20" s="83">
        <f>SUM(F21:F24)</f>
        <v>0.11149999999999999</v>
      </c>
      <c r="G20" s="78" t="str">
        <f t="shared" si="0"/>
        <v>OK</v>
      </c>
      <c r="H20" s="73">
        <f>IF(N24=1,0.0365,0.0815)</f>
        <v>8.1500000000000003E-2</v>
      </c>
      <c r="I20" s="73">
        <f>IF(N24=1,0.0865,0.1315)</f>
        <v>0.13150000000000001</v>
      </c>
      <c r="J20" s="47"/>
      <c r="K20" s="58"/>
      <c r="L20" s="58"/>
      <c r="M20" s="58"/>
      <c r="N20" s="84">
        <f>ROUND(N18*100,2)</f>
        <v>20.399999999999999</v>
      </c>
      <c r="O20" s="58"/>
      <c r="P20" s="58"/>
      <c r="Q20" s="81">
        <v>5.8999999999999999E-3</v>
      </c>
      <c r="R20" s="81">
        <v>1.0200000000000001E-2</v>
      </c>
      <c r="S20" s="81">
        <v>9.4000000000000004E-3</v>
      </c>
      <c r="T20" s="81">
        <v>1.01E-2</v>
      </c>
      <c r="U20" s="81">
        <v>9.4000000000000004E-3</v>
      </c>
      <c r="V20" s="81">
        <v>8.5000000000000006E-3</v>
      </c>
      <c r="W20" s="58">
        <v>4</v>
      </c>
    </row>
    <row r="21" spans="1:23" s="63" customFormat="1" ht="14.1" customHeight="1" thickBot="1" x14ac:dyDescent="0.25">
      <c r="A21" s="319"/>
      <c r="B21" s="319"/>
      <c r="C21" s="74" t="s">
        <v>48</v>
      </c>
      <c r="D21" s="75" t="s">
        <v>88</v>
      </c>
      <c r="E21" s="76" t="s">
        <v>88</v>
      </c>
      <c r="F21" s="83">
        <v>6.4999999999999997E-3</v>
      </c>
      <c r="G21" s="78" t="str">
        <f t="shared" si="0"/>
        <v>OK</v>
      </c>
      <c r="H21" s="73">
        <v>6.4999999999999997E-3</v>
      </c>
      <c r="I21" s="73">
        <v>6.4999999999999997E-3</v>
      </c>
      <c r="J21" s="320" t="str">
        <f>IF(N24=2,"Foi incluída a CPRB com a alíquota de 4,50% sobre a Receita Bruta"," ")</f>
        <v>Foi incluída a CPRB com a alíquota de 4,50% sobre a Receita Bruta</v>
      </c>
      <c r="K21" s="320"/>
      <c r="L21" s="320"/>
      <c r="M21" s="58"/>
      <c r="N21" s="80" t="s">
        <v>89</v>
      </c>
      <c r="O21" s="58"/>
      <c r="P21" s="58"/>
      <c r="Q21" s="81">
        <v>6.1600000000000002E-2</v>
      </c>
      <c r="R21" s="81">
        <v>6.6400000000000001E-2</v>
      </c>
      <c r="S21" s="81">
        <v>6.7400000000000002E-2</v>
      </c>
      <c r="T21" s="81">
        <v>0.08</v>
      </c>
      <c r="U21" s="81">
        <v>7.1400000000000005E-2</v>
      </c>
      <c r="V21" s="81">
        <v>3.5000000000000003E-2</v>
      </c>
      <c r="W21" s="58">
        <v>5</v>
      </c>
    </row>
    <row r="22" spans="1:23" ht="14.1" customHeight="1" x14ac:dyDescent="0.2">
      <c r="A22" s="321" t="s">
        <v>90</v>
      </c>
      <c r="B22" s="323" t="s">
        <v>91</v>
      </c>
      <c r="C22" s="74" t="s">
        <v>49</v>
      </c>
      <c r="D22" s="75" t="s">
        <v>92</v>
      </c>
      <c r="E22" s="76" t="s">
        <v>92</v>
      </c>
      <c r="F22" s="83">
        <v>0.03</v>
      </c>
      <c r="G22" s="78" t="str">
        <f t="shared" si="0"/>
        <v>OK</v>
      </c>
      <c r="H22" s="73">
        <v>0.03</v>
      </c>
      <c r="I22" s="73">
        <v>0.03</v>
      </c>
      <c r="J22" s="320"/>
      <c r="K22" s="320"/>
      <c r="L22" s="320"/>
      <c r="N22" s="85" t="str">
        <f>N20&amp;N21</f>
        <v>20,4%</v>
      </c>
      <c r="P22" s="86" t="s">
        <v>93</v>
      </c>
      <c r="Q22" s="86">
        <v>1</v>
      </c>
      <c r="R22" s="47">
        <v>2</v>
      </c>
      <c r="S22" s="47">
        <v>3</v>
      </c>
      <c r="T22" s="47">
        <v>4</v>
      </c>
      <c r="U22" s="47">
        <v>5</v>
      </c>
      <c r="V22" s="47">
        <v>6</v>
      </c>
    </row>
    <row r="23" spans="1:23" ht="14.1" customHeight="1" thickBot="1" x14ac:dyDescent="0.25">
      <c r="A23" s="322"/>
      <c r="B23" s="324"/>
      <c r="C23" s="87" t="s">
        <v>50</v>
      </c>
      <c r="D23" s="88" t="s">
        <v>94</v>
      </c>
      <c r="E23" s="89" t="s">
        <v>95</v>
      </c>
      <c r="F23" s="90">
        <f>IF(N24=1,0,0.045)</f>
        <v>4.4999999999999998E-2</v>
      </c>
      <c r="G23" s="78" t="str">
        <f t="shared" si="0"/>
        <v>OK</v>
      </c>
      <c r="H23" s="91">
        <f>IF(N24=1,0,0.045)</f>
        <v>4.4999999999999998E-2</v>
      </c>
      <c r="I23" s="91">
        <f>IF(N24=1,0,0.045)</f>
        <v>4.4999999999999998E-2</v>
      </c>
      <c r="J23" s="92"/>
      <c r="K23" s="92"/>
      <c r="L23" s="92"/>
      <c r="N23" s="85"/>
      <c r="Q23" s="81">
        <v>5.5E-2</v>
      </c>
      <c r="R23" s="81">
        <v>4.6699999999999998E-2</v>
      </c>
      <c r="S23" s="81">
        <v>6.7100000000000007E-2</v>
      </c>
      <c r="T23" s="81">
        <v>7.9299999999999995E-2</v>
      </c>
      <c r="U23" s="81">
        <v>7.85E-2</v>
      </c>
      <c r="V23" s="81">
        <v>4.4900000000000002E-2</v>
      </c>
      <c r="W23" s="47">
        <v>1</v>
      </c>
    </row>
    <row r="24" spans="1:23" ht="14.1" customHeight="1" thickBot="1" x14ac:dyDescent="0.25">
      <c r="A24" s="93">
        <v>0.03</v>
      </c>
      <c r="B24" s="94">
        <v>1</v>
      </c>
      <c r="C24" s="95" t="s">
        <v>96</v>
      </c>
      <c r="D24" s="96" t="s">
        <v>97</v>
      </c>
      <c r="E24" s="97" t="s">
        <v>97</v>
      </c>
      <c r="F24" s="98">
        <f>A24*B24</f>
        <v>0.03</v>
      </c>
      <c r="G24" s="99" t="str">
        <f t="shared" si="0"/>
        <v>OK</v>
      </c>
      <c r="H24" s="100">
        <f>IF(B24=0,0.02,0.02*B24)</f>
        <v>0.02</v>
      </c>
      <c r="I24" s="100">
        <f>IF(B24=0,0.05,0.05*B24)</f>
        <v>0.05</v>
      </c>
      <c r="J24" s="101"/>
      <c r="K24" s="101"/>
      <c r="L24" s="101"/>
      <c r="N24" s="102">
        <f>IF(N8=TRUE,2,1)</f>
        <v>2</v>
      </c>
      <c r="Q24" s="81">
        <v>0.01</v>
      </c>
      <c r="R24" s="81">
        <v>7.4000000000000003E-3</v>
      </c>
      <c r="S24" s="81">
        <v>7.4999999999999997E-3</v>
      </c>
      <c r="T24" s="81">
        <v>5.5999999999999999E-3</v>
      </c>
      <c r="U24" s="81">
        <v>1.9900000000000001E-2</v>
      </c>
      <c r="V24" s="81">
        <v>8.2000000000000007E-3</v>
      </c>
      <c r="W24" s="47">
        <v>2</v>
      </c>
    </row>
    <row r="25" spans="1:23" ht="14.1" customHeight="1" x14ac:dyDescent="0.25">
      <c r="A25" s="54"/>
      <c r="B25" s="54"/>
      <c r="C25" s="55"/>
      <c r="D25" s="59"/>
      <c r="E25" s="325" t="s">
        <v>98</v>
      </c>
      <c r="F25" s="326"/>
      <c r="G25" s="327"/>
      <c r="H25" s="328" t="str">
        <f>IF(O10=1,S30,IF(O10=2,S31,IF(O10=3,S32,IF(O10=4,S33,IF(O10=5,S34,IF(O10=6,S35," "))))))</f>
        <v>de 20,34% a 25,00%</v>
      </c>
      <c r="I25" s="329"/>
      <c r="J25" s="103"/>
      <c r="K25" s="103"/>
      <c r="L25" s="103"/>
      <c r="N25" s="86" t="s">
        <v>99</v>
      </c>
      <c r="Q25" s="81">
        <v>1.2699999999999999E-2</v>
      </c>
      <c r="R25" s="81">
        <v>9.7000000000000003E-3</v>
      </c>
      <c r="S25" s="81">
        <v>1.7399999999999999E-2</v>
      </c>
      <c r="T25" s="81">
        <v>1.9699999999999999E-2</v>
      </c>
      <c r="U25" s="81">
        <v>3.1600000000000003E-2</v>
      </c>
      <c r="V25" s="81">
        <v>8.8999999999999999E-3</v>
      </c>
      <c r="W25" s="47">
        <v>3</v>
      </c>
    </row>
    <row r="26" spans="1:23" ht="12.75" customHeight="1" thickBot="1" x14ac:dyDescent="0.25">
      <c r="A26" s="54"/>
      <c r="B26" s="330" t="s">
        <v>100</v>
      </c>
      <c r="C26" s="331"/>
      <c r="D26" s="332"/>
      <c r="E26" s="57"/>
      <c r="F26" s="57"/>
      <c r="G26" s="57"/>
      <c r="H26" s="57"/>
      <c r="I26" s="58"/>
      <c r="J26" s="104"/>
      <c r="K26" s="104"/>
      <c r="L26" s="105"/>
      <c r="N26" s="86" t="s">
        <v>101</v>
      </c>
      <c r="Q26" s="81">
        <v>1.3899999999999999E-2</v>
      </c>
      <c r="R26" s="81">
        <v>1.21E-2</v>
      </c>
      <c r="S26" s="81">
        <v>1.17E-2</v>
      </c>
      <c r="T26" s="81">
        <v>1.11E-2</v>
      </c>
      <c r="U26" s="81">
        <v>1.3299999999999999E-2</v>
      </c>
      <c r="V26" s="81">
        <v>1.11E-2</v>
      </c>
      <c r="W26" s="47">
        <v>4</v>
      </c>
    </row>
    <row r="27" spans="1:23" ht="18" customHeight="1" x14ac:dyDescent="0.2">
      <c r="A27" s="106"/>
      <c r="B27" s="107"/>
      <c r="C27" s="108"/>
      <c r="D27" s="59"/>
      <c r="E27" s="333" t="s">
        <v>16</v>
      </c>
      <c r="F27" s="335">
        <f>((((1+F15+F16+F17)*(1+F18)*(1+F19))/(1-F20))-1)</f>
        <v>0.26497787281935814</v>
      </c>
      <c r="G27" s="336" t="str">
        <f>N54</f>
        <v>OK! Percentual do BDI quando calculado sem desoneração atende ao limite estipulado pelo Acórdão TCU 2.622/2013.</v>
      </c>
      <c r="H27" s="337"/>
      <c r="I27" s="338"/>
      <c r="J27" s="58"/>
      <c r="K27" s="58"/>
      <c r="L27" s="58"/>
      <c r="N27" s="47" t="str">
        <f>IF(Q44=2,N44,IF(Q44=3,N45,IF(Q44=4,N46,IF(Q44=5,N47,IF(Q44=6,O48,"Erro")))))</f>
        <v>OK! Percentual do BDI quando calculado sem desoneração atende ao limite estipulado pelo Acórdão TCU 2.622/2013.</v>
      </c>
      <c r="Q27" s="81">
        <v>8.9599999999999999E-2</v>
      </c>
      <c r="R27" s="81">
        <v>8.6900000000000005E-2</v>
      </c>
      <c r="S27" s="81">
        <v>9.4E-2</v>
      </c>
      <c r="T27" s="81">
        <v>9.5100000000000004E-2</v>
      </c>
      <c r="U27" s="81">
        <v>0.1043</v>
      </c>
      <c r="V27" s="81">
        <v>6.2199999999999998E-2</v>
      </c>
      <c r="W27" s="47">
        <v>5</v>
      </c>
    </row>
    <row r="28" spans="1:23" ht="18" customHeight="1" thickBot="1" x14ac:dyDescent="0.25">
      <c r="A28" s="106"/>
      <c r="B28" s="107"/>
      <c r="C28" s="108"/>
      <c r="D28" s="59"/>
      <c r="E28" s="334"/>
      <c r="F28" s="334"/>
      <c r="G28" s="339"/>
      <c r="H28" s="339"/>
      <c r="I28" s="340"/>
      <c r="J28" s="58"/>
      <c r="K28" s="58"/>
      <c r="L28" s="58"/>
      <c r="N28" s="86" t="str">
        <f>IF(R44=2,N44,IF(R44=3,N46,IF(R44=4,O48,"Erro")))</f>
        <v>Percentual do BDI superior ao limite estipulado pelo Acórdão TCU 2.622/2013.</v>
      </c>
    </row>
    <row r="29" spans="1:23" ht="18" customHeight="1" x14ac:dyDescent="0.2">
      <c r="A29" s="109"/>
      <c r="B29" s="110"/>
      <c r="C29" s="111"/>
      <c r="D29" s="112"/>
      <c r="E29" s="57"/>
      <c r="F29" s="57"/>
      <c r="G29" s="341"/>
      <c r="H29" s="342"/>
      <c r="I29" s="343"/>
      <c r="J29" s="58"/>
      <c r="K29" s="58"/>
      <c r="L29" s="58"/>
    </row>
    <row r="30" spans="1:23" ht="12.75" customHeight="1" x14ac:dyDescent="0.2">
      <c r="A30" s="109"/>
      <c r="B30" s="54"/>
      <c r="C30" s="59"/>
      <c r="D30" s="58"/>
      <c r="E30" s="57"/>
      <c r="F30" s="57"/>
      <c r="G30" s="57"/>
      <c r="H30" s="57"/>
      <c r="I30" s="57"/>
      <c r="J30" s="58"/>
      <c r="K30" s="58"/>
      <c r="L30" s="58"/>
      <c r="N30" s="47" t="str">
        <f>(B24*100)&amp;N21</f>
        <v>100%</v>
      </c>
      <c r="P30" s="61" t="s">
        <v>63</v>
      </c>
      <c r="Q30" s="113">
        <v>0.2034</v>
      </c>
      <c r="R30" s="113">
        <v>0.25</v>
      </c>
      <c r="S30" s="86" t="s">
        <v>102</v>
      </c>
      <c r="W30" s="47">
        <v>1</v>
      </c>
    </row>
    <row r="31" spans="1:23" ht="12.75" customHeight="1" x14ac:dyDescent="0.2">
      <c r="A31" s="54"/>
      <c r="B31" s="114" t="s">
        <v>103</v>
      </c>
      <c r="C31" s="115"/>
      <c r="D31" s="116"/>
      <c r="E31" s="116"/>
      <c r="F31" s="116"/>
      <c r="G31" s="116"/>
      <c r="H31" s="116"/>
      <c r="I31" s="116"/>
      <c r="J31" s="58"/>
      <c r="K31" s="58"/>
      <c r="L31" s="58"/>
      <c r="N31" s="47" t="str">
        <f>(A24*100)&amp;N21</f>
        <v>3%</v>
      </c>
      <c r="P31" s="61" t="s">
        <v>64</v>
      </c>
      <c r="Q31" s="113">
        <v>0.19600000000000001</v>
      </c>
      <c r="R31" s="113">
        <v>0.24229999999999999</v>
      </c>
      <c r="S31" s="86" t="s">
        <v>104</v>
      </c>
      <c r="W31" s="47">
        <v>2</v>
      </c>
    </row>
    <row r="32" spans="1:23" ht="12.75" customHeight="1" x14ac:dyDescent="0.2">
      <c r="A32" s="54"/>
      <c r="B32" s="114"/>
      <c r="C32" s="115"/>
      <c r="D32" s="116"/>
      <c r="E32" s="116"/>
      <c r="F32" s="116"/>
      <c r="G32" s="116"/>
      <c r="H32" s="116"/>
      <c r="I32" s="116"/>
      <c r="J32" s="58"/>
      <c r="K32" s="58"/>
      <c r="L32" s="58"/>
      <c r="N32" s="47" t="str">
        <f>" e a sua base de cálculo é de "&amp;N30</f>
        <v xml:space="preserve"> e a sua base de cálculo é de 100%</v>
      </c>
      <c r="P32" s="61" t="s">
        <v>65</v>
      </c>
      <c r="Q32" s="113">
        <v>0.20760000000000001</v>
      </c>
      <c r="R32" s="113">
        <v>0.26440000000000002</v>
      </c>
      <c r="S32" s="86" t="s">
        <v>105</v>
      </c>
      <c r="W32" s="47">
        <v>3</v>
      </c>
    </row>
    <row r="33" spans="1:24" ht="12.75" customHeight="1" x14ac:dyDescent="0.2">
      <c r="A33" s="116"/>
      <c r="B33" s="117"/>
      <c r="C33" s="118"/>
      <c r="D33" s="117"/>
      <c r="E33" s="117"/>
      <c r="F33" s="117"/>
      <c r="G33" s="117"/>
      <c r="H33" s="117"/>
      <c r="I33" s="117"/>
      <c r="J33" s="116"/>
      <c r="K33" s="116"/>
      <c r="L33" s="116"/>
      <c r="N33" s="47" t="str">
        <f>N31&amp;N32</f>
        <v>3% e a sua base de cálculo é de 100%</v>
      </c>
      <c r="P33" s="61" t="s">
        <v>66</v>
      </c>
      <c r="Q33" s="113">
        <v>0.24</v>
      </c>
      <c r="R33" s="113">
        <v>0.27860000000000001</v>
      </c>
      <c r="S33" s="86" t="s">
        <v>106</v>
      </c>
      <c r="W33" s="47">
        <v>4</v>
      </c>
    </row>
    <row r="34" spans="1:24" ht="12.75" customHeight="1" x14ac:dyDescent="0.2">
      <c r="A34" s="117"/>
      <c r="B34" s="117"/>
      <c r="C34" s="118"/>
      <c r="D34" s="117"/>
      <c r="E34" s="117"/>
      <c r="F34" s="117"/>
      <c r="G34" s="119"/>
      <c r="H34" s="117"/>
      <c r="I34" s="117"/>
      <c r="J34" s="117"/>
      <c r="K34" s="117"/>
      <c r="L34" s="117"/>
      <c r="M34" s="58"/>
      <c r="N34" s="61" t="str">
        <f>" sobre o valor total do orçamento."</f>
        <v xml:space="preserve"> sobre o valor total do orçamento.</v>
      </c>
      <c r="O34" s="58"/>
      <c r="P34" s="61" t="s">
        <v>73</v>
      </c>
      <c r="Q34" s="81">
        <v>0.22800000000000001</v>
      </c>
      <c r="R34" s="81">
        <v>0.3095</v>
      </c>
      <c r="S34" s="86" t="s">
        <v>107</v>
      </c>
      <c r="T34" s="58"/>
      <c r="U34" s="58"/>
      <c r="V34" s="58"/>
      <c r="W34" s="58">
        <v>5</v>
      </c>
      <c r="X34" s="63"/>
    </row>
    <row r="35" spans="1:24" s="63" customFormat="1" ht="12.75" customHeight="1" x14ac:dyDescent="0.2">
      <c r="A35" s="117"/>
      <c r="B35" s="117"/>
      <c r="C35" s="118"/>
      <c r="D35" s="117"/>
      <c r="E35" s="117"/>
      <c r="F35" s="117"/>
      <c r="G35" s="119"/>
      <c r="H35" s="117"/>
      <c r="I35" s="117"/>
      <c r="J35" s="117"/>
      <c r="K35" s="117"/>
      <c r="L35" s="117"/>
      <c r="M35" s="58"/>
      <c r="N35" s="58" t="str">
        <f>N33&amp;N34</f>
        <v>3% e a sua base de cálculo é de 100% sobre o valor total do orçamento.</v>
      </c>
      <c r="O35" s="58"/>
      <c r="P35" s="58" t="s">
        <v>76</v>
      </c>
      <c r="Q35" s="81">
        <v>0.111</v>
      </c>
      <c r="R35" s="81">
        <v>0.16800000000000001</v>
      </c>
      <c r="S35" s="86" t="s">
        <v>108</v>
      </c>
      <c r="T35" s="58"/>
      <c r="U35" s="58"/>
      <c r="V35" s="58"/>
      <c r="W35" s="58">
        <v>6</v>
      </c>
    </row>
    <row r="36" spans="1:24" s="63" customFormat="1" ht="12.75" customHeight="1" x14ac:dyDescent="0.2">
      <c r="A36" s="49"/>
      <c r="B36" s="344" t="str">
        <f>IF(N24=2,(IF(Q44=5,N19," "))," ")</f>
        <v>Percentual de BDI superior ao limite estipulado pelo Acórdão TCU 2.622/2013 devido a soma de 4,5% (CPRB, conforme LEI 13.161/2015) no item Tributos, referente a desoneração na Contribuição Previdenciária. O cálculo dessa composição onerada resulta em 20,4%</v>
      </c>
      <c r="C36" s="345"/>
      <c r="D36" s="345"/>
      <c r="E36" s="345"/>
      <c r="F36" s="345"/>
      <c r="G36" s="345"/>
      <c r="H36" s="345"/>
      <c r="I36" s="345"/>
      <c r="J36" s="345"/>
      <c r="K36" s="346"/>
      <c r="L36" s="49"/>
      <c r="M36" s="58"/>
      <c r="N36" s="58"/>
      <c r="O36" s="58"/>
      <c r="P36" s="58"/>
      <c r="Q36" s="58"/>
      <c r="R36" s="58"/>
      <c r="S36" s="58"/>
      <c r="T36" s="58"/>
      <c r="U36" s="58"/>
      <c r="V36" s="58"/>
      <c r="W36" s="58"/>
    </row>
    <row r="37" spans="1:24" s="63" customFormat="1" ht="12.75" customHeight="1" x14ac:dyDescent="0.2">
      <c r="A37" s="49"/>
      <c r="B37" s="347"/>
      <c r="C37" s="348"/>
      <c r="D37" s="348"/>
      <c r="E37" s="348"/>
      <c r="F37" s="348"/>
      <c r="G37" s="348"/>
      <c r="H37" s="348"/>
      <c r="I37" s="348"/>
      <c r="J37" s="348"/>
      <c r="K37" s="349"/>
      <c r="L37" s="49"/>
      <c r="M37" s="58"/>
      <c r="N37" s="58"/>
      <c r="O37" s="58"/>
      <c r="P37" s="61" t="s">
        <v>109</v>
      </c>
      <c r="Q37" s="81">
        <f>INDEX(Q30:R35,O10,1)</f>
        <v>0.2034</v>
      </c>
      <c r="R37" s="81">
        <f>INDEX(Q30:R35,O10,2)</f>
        <v>0.25</v>
      </c>
      <c r="S37" s="58"/>
      <c r="T37" s="58"/>
      <c r="U37" s="58"/>
      <c r="V37" s="58"/>
      <c r="W37" s="58"/>
    </row>
    <row r="38" spans="1:24" s="63" customFormat="1" ht="12.75" customHeight="1" x14ac:dyDescent="0.2">
      <c r="A38" s="49"/>
      <c r="B38" s="120" t="s">
        <v>110</v>
      </c>
      <c r="C38" s="121"/>
      <c r="D38" s="121"/>
      <c r="E38" s="121"/>
      <c r="F38" s="121"/>
      <c r="G38" s="122"/>
      <c r="H38" s="122"/>
      <c r="I38" s="122"/>
      <c r="J38" s="122"/>
      <c r="K38" s="122"/>
      <c r="L38" s="49"/>
      <c r="M38" s="58"/>
      <c r="N38" s="58"/>
      <c r="O38" s="58"/>
      <c r="P38" s="58"/>
      <c r="Q38" s="81"/>
      <c r="R38" s="58"/>
      <c r="S38" s="58"/>
      <c r="T38" s="58"/>
      <c r="U38" s="58"/>
      <c r="V38" s="58"/>
      <c r="W38" s="58"/>
    </row>
    <row r="39" spans="1:24" s="63" customFormat="1" ht="12.75" customHeight="1" x14ac:dyDescent="0.2">
      <c r="A39" s="49"/>
      <c r="B39" s="120" t="str">
        <f>IF(N24=2,"Obs²: O cálculo desta composição de BDI considera a desoneração da contribuição previdenciária, conforme Lei 13.161/2015."," ")</f>
        <v>Obs²: O cálculo desta composição de BDI considera a desoneração da contribuição previdenciária, conforme Lei 13.161/2015.</v>
      </c>
      <c r="C39" s="123"/>
      <c r="D39" s="114"/>
      <c r="E39" s="124"/>
      <c r="F39" s="124"/>
      <c r="G39" s="122"/>
      <c r="H39" s="122"/>
      <c r="I39" s="122"/>
      <c r="J39" s="122"/>
      <c r="K39" s="122"/>
      <c r="L39" s="49"/>
      <c r="M39" s="58"/>
      <c r="N39" s="58"/>
      <c r="O39" s="58"/>
      <c r="P39" s="61" t="s">
        <v>111</v>
      </c>
      <c r="Q39" s="81">
        <f>IF(N24=1,F27,N20/100)</f>
        <v>0.20399999999999999</v>
      </c>
      <c r="R39" s="58"/>
      <c r="S39" s="58"/>
      <c r="T39" s="58"/>
      <c r="U39" s="58"/>
      <c r="V39" s="58"/>
      <c r="W39" s="58"/>
    </row>
    <row r="40" spans="1:24" s="63" customFormat="1" ht="36" customHeight="1" thickBot="1" x14ac:dyDescent="0.25">
      <c r="A40" s="49"/>
      <c r="B40" s="317" t="str">
        <f>IF(N24=2,N50,N51)</f>
        <v>Eu, responsável técnico pelo orçamento, declaro para os devidos fins, que a opção pela desoneração sobre a folha de pagamento é mais adequada para a administração pública.</v>
      </c>
      <c r="C40" s="318"/>
      <c r="D40" s="318"/>
      <c r="E40" s="318"/>
      <c r="F40" s="318"/>
      <c r="G40" s="318"/>
      <c r="H40" s="318"/>
      <c r="I40" s="318"/>
      <c r="J40" s="318"/>
      <c r="K40" s="318"/>
      <c r="L40" s="49"/>
      <c r="M40" s="58"/>
      <c r="N40" s="58"/>
      <c r="O40" s="58"/>
      <c r="P40" s="61"/>
      <c r="Q40" s="58"/>
      <c r="R40" s="58"/>
      <c r="S40" s="81"/>
      <c r="T40" s="81"/>
      <c r="U40" s="58"/>
      <c r="V40" s="58"/>
      <c r="W40" s="58"/>
    </row>
    <row r="41" spans="1:24" s="63" customFormat="1" ht="12.75" customHeight="1" thickTop="1" thickBot="1" x14ac:dyDescent="0.25">
      <c r="A41" s="49"/>
      <c r="B41" s="120"/>
      <c r="C41" s="123"/>
      <c r="D41" s="114"/>
      <c r="E41" s="124"/>
      <c r="F41" s="124"/>
      <c r="G41" s="352" t="s">
        <v>112</v>
      </c>
      <c r="H41" s="353"/>
      <c r="I41" s="353"/>
      <c r="J41" s="353"/>
      <c r="K41" s="354"/>
      <c r="L41" s="58"/>
      <c r="M41" s="58"/>
      <c r="N41" s="58"/>
      <c r="O41" s="61"/>
      <c r="P41" s="58"/>
      <c r="Q41" s="61" t="s">
        <v>113</v>
      </c>
      <c r="R41" s="61" t="s">
        <v>114</v>
      </c>
      <c r="S41" s="61" t="s">
        <v>115</v>
      </c>
      <c r="T41" s="58"/>
      <c r="U41" s="58"/>
      <c r="V41" s="58"/>
      <c r="W41" s="58"/>
    </row>
    <row r="42" spans="1:24" s="63" customFormat="1" ht="13.5" customHeight="1" thickTop="1" x14ac:dyDescent="0.2">
      <c r="A42" s="49"/>
      <c r="B42" s="49"/>
      <c r="C42" s="123"/>
      <c r="D42" s="114"/>
      <c r="E42" s="49"/>
      <c r="F42" s="49"/>
      <c r="G42" s="355" t="str">
        <f>"        Declaro, conforme legislação tributária municipal, que a alíquota do ISS é de "&amp;N35</f>
        <v xml:space="preserve">        Declaro, conforme legislação tributária municipal, que a alíquota do ISS é de 3% e a sua base de cálculo é de 100% sobre o valor total do orçamento.</v>
      </c>
      <c r="H42" s="356"/>
      <c r="I42" s="356"/>
      <c r="J42" s="356"/>
      <c r="K42" s="357"/>
      <c r="L42" s="58"/>
      <c r="M42" s="58"/>
      <c r="N42" s="58"/>
      <c r="O42" s="61"/>
      <c r="P42" s="61" t="s">
        <v>116</v>
      </c>
      <c r="Q42" s="125">
        <f>IF(N18&lt;Q37,1,IF(N18&gt;R37,3,2))</f>
        <v>2</v>
      </c>
      <c r="R42" s="58">
        <f>IF(F27&lt;Q37,1,2)</f>
        <v>2</v>
      </c>
      <c r="S42" s="58"/>
      <c r="T42" s="58"/>
      <c r="U42" s="58"/>
      <c r="V42" s="58"/>
      <c r="W42" s="58"/>
    </row>
    <row r="43" spans="1:24" s="63" customFormat="1" x14ac:dyDescent="0.2">
      <c r="A43" s="361">
        <f>CRONOGRAMA!J3</f>
        <v>44741</v>
      </c>
      <c r="B43" s="361"/>
      <c r="C43" s="361"/>
      <c r="D43" s="114"/>
      <c r="E43" s="58"/>
      <c r="F43" s="126"/>
      <c r="G43" s="358"/>
      <c r="H43" s="359"/>
      <c r="I43" s="359"/>
      <c r="J43" s="359"/>
      <c r="K43" s="360"/>
      <c r="L43" s="116"/>
      <c r="M43" s="116"/>
      <c r="N43" s="116"/>
      <c r="O43" s="116" t="s">
        <v>117</v>
      </c>
      <c r="P43" s="116" t="s">
        <v>118</v>
      </c>
      <c r="Q43" s="127">
        <f>IF(F27&lt;Q37,1,IF(F27&gt;R37,3,2))</f>
        <v>3</v>
      </c>
      <c r="R43" s="116">
        <f>IF(F27&lt;R37,1,2)</f>
        <v>2</v>
      </c>
      <c r="S43" s="116"/>
      <c r="T43" s="116"/>
      <c r="U43" s="116"/>
      <c r="V43" s="116"/>
      <c r="W43" s="116"/>
    </row>
    <row r="44" spans="1:24" s="130" customFormat="1" ht="12.75" customHeight="1" x14ac:dyDescent="0.2">
      <c r="A44" s="362" t="s">
        <v>119</v>
      </c>
      <c r="B44" s="362"/>
      <c r="C44" s="362"/>
      <c r="D44" s="114"/>
      <c r="E44" s="128"/>
      <c r="F44" s="128"/>
      <c r="G44" s="358"/>
      <c r="H44" s="359"/>
      <c r="I44" s="359"/>
      <c r="J44" s="359"/>
      <c r="K44" s="360"/>
      <c r="L44" s="117"/>
      <c r="M44" s="117">
        <v>2</v>
      </c>
      <c r="N44" s="117" t="s">
        <v>120</v>
      </c>
      <c r="O44" s="117" t="s">
        <v>121</v>
      </c>
      <c r="P44" s="129"/>
      <c r="Q44" s="127">
        <f>SUM(Q42:Q43)</f>
        <v>5</v>
      </c>
      <c r="R44" s="117">
        <f>SUM(R42:R43)</f>
        <v>4</v>
      </c>
      <c r="S44" s="117"/>
      <c r="T44" s="117"/>
      <c r="U44" s="117"/>
      <c r="V44" s="117"/>
      <c r="W44" s="117"/>
    </row>
    <row r="45" spans="1:24" s="135" customFormat="1" ht="12.75" customHeight="1" x14ac:dyDescent="0.2">
      <c r="A45" s="47"/>
      <c r="B45" s="47"/>
      <c r="C45" s="48"/>
      <c r="D45" s="124"/>
      <c r="E45" s="131"/>
      <c r="F45" s="132"/>
      <c r="G45" s="133"/>
      <c r="H45" s="126"/>
      <c r="I45" s="124"/>
      <c r="J45" s="126"/>
      <c r="K45" s="134"/>
      <c r="L45" s="117"/>
      <c r="M45" s="117"/>
      <c r="N45" s="117" t="s">
        <v>122</v>
      </c>
      <c r="O45" s="117" t="s">
        <v>123</v>
      </c>
      <c r="P45" s="129"/>
      <c r="Q45" s="117"/>
      <c r="R45" s="117"/>
      <c r="S45" s="117"/>
      <c r="T45" s="117"/>
      <c r="U45" s="117"/>
      <c r="V45" s="117"/>
      <c r="W45" s="117"/>
    </row>
    <row r="46" spans="1:24" s="135" customFormat="1" ht="12.75" customHeight="1" x14ac:dyDescent="0.2">
      <c r="A46" s="47"/>
      <c r="B46" s="47"/>
      <c r="C46" s="48"/>
      <c r="D46" s="49"/>
      <c r="E46" s="136"/>
      <c r="F46" s="137"/>
      <c r="G46" s="133"/>
      <c r="H46" s="126"/>
      <c r="I46" s="124"/>
      <c r="J46" s="126"/>
      <c r="K46" s="134"/>
      <c r="L46" s="117"/>
      <c r="M46" s="117">
        <v>3</v>
      </c>
      <c r="N46" s="117" t="s">
        <v>124</v>
      </c>
      <c r="O46" s="117" t="s">
        <v>125</v>
      </c>
      <c r="P46" s="117"/>
      <c r="Q46" s="117"/>
      <c r="R46" s="117"/>
      <c r="S46" s="117"/>
      <c r="T46" s="117"/>
      <c r="U46" s="117"/>
      <c r="V46" s="117"/>
      <c r="W46" s="117"/>
    </row>
    <row r="47" spans="1:24" s="135" customFormat="1" ht="12.75" customHeight="1" thickBot="1" x14ac:dyDescent="0.25">
      <c r="A47" s="47"/>
      <c r="B47" s="47"/>
      <c r="C47" s="138"/>
      <c r="D47" s="139"/>
      <c r="E47" s="136"/>
      <c r="F47" s="137"/>
      <c r="G47" s="140"/>
      <c r="H47" s="58"/>
      <c r="I47" s="58"/>
      <c r="J47" s="58"/>
      <c r="K47" s="141"/>
      <c r="L47" s="117"/>
      <c r="M47" s="117"/>
      <c r="N47" s="117" t="s">
        <v>126</v>
      </c>
      <c r="O47" s="117" t="s">
        <v>127</v>
      </c>
      <c r="P47" s="117"/>
      <c r="Q47" s="117"/>
      <c r="R47" s="117"/>
      <c r="S47" s="117"/>
      <c r="T47" s="117"/>
      <c r="U47" s="117"/>
      <c r="V47" s="117"/>
      <c r="W47" s="117"/>
    </row>
    <row r="48" spans="1:24" s="135" customFormat="1" ht="14.25" customHeight="1" x14ac:dyDescent="0.2">
      <c r="A48" s="47"/>
      <c r="B48" s="47"/>
      <c r="C48" s="138"/>
      <c r="D48" s="142" t="s">
        <v>128</v>
      </c>
      <c r="E48" s="47"/>
      <c r="F48" s="47"/>
      <c r="G48" s="140"/>
      <c r="H48" s="363" t="s">
        <v>129</v>
      </c>
      <c r="I48" s="363"/>
      <c r="J48" s="363"/>
      <c r="K48" s="141"/>
      <c r="L48" s="47"/>
      <c r="M48" s="117"/>
      <c r="N48" s="117">
        <v>4</v>
      </c>
      <c r="O48" s="117" t="s">
        <v>130</v>
      </c>
      <c r="P48" s="117" t="s">
        <v>131</v>
      </c>
      <c r="Q48" s="117"/>
      <c r="R48" s="117"/>
      <c r="S48" s="117"/>
      <c r="T48" s="117"/>
      <c r="U48" s="117"/>
      <c r="V48" s="117"/>
      <c r="W48" s="117"/>
    </row>
    <row r="49" spans="1:24" s="135" customFormat="1" x14ac:dyDescent="0.2">
      <c r="A49" s="47"/>
      <c r="B49" s="47"/>
      <c r="C49" s="138" t="s">
        <v>132</v>
      </c>
      <c r="D49" s="143" t="s">
        <v>409</v>
      </c>
      <c r="E49" s="47"/>
      <c r="F49" s="47"/>
      <c r="G49" s="144" t="s">
        <v>133</v>
      </c>
      <c r="H49" s="364"/>
      <c r="I49" s="364"/>
      <c r="J49" s="364"/>
      <c r="K49" s="141"/>
      <c r="L49" s="47"/>
      <c r="M49" s="47"/>
      <c r="N49" s="47"/>
      <c r="O49" s="47"/>
      <c r="P49" s="86"/>
      <c r="Q49" s="47"/>
      <c r="R49" s="47"/>
      <c r="S49" s="47"/>
      <c r="T49" s="47"/>
      <c r="U49" s="47"/>
      <c r="V49" s="47"/>
      <c r="W49" s="47"/>
      <c r="X49" s="50"/>
    </row>
    <row r="50" spans="1:24" x14ac:dyDescent="0.2">
      <c r="A50" s="47"/>
      <c r="B50" s="47"/>
      <c r="C50" s="138" t="s">
        <v>134</v>
      </c>
      <c r="D50" s="145" t="s">
        <v>410</v>
      </c>
      <c r="E50" s="47"/>
      <c r="F50" s="47"/>
      <c r="G50" s="146" t="s">
        <v>135</v>
      </c>
      <c r="H50" s="350"/>
      <c r="I50" s="350"/>
      <c r="J50" s="350"/>
      <c r="K50" s="141"/>
      <c r="L50" s="47"/>
      <c r="M50" s="49"/>
      <c r="N50" s="147" t="s">
        <v>136</v>
      </c>
      <c r="O50" s="49"/>
      <c r="P50" s="49"/>
      <c r="Q50" s="49"/>
      <c r="R50" s="49"/>
      <c r="S50" s="49"/>
      <c r="T50" s="49"/>
      <c r="U50" s="49"/>
      <c r="V50" s="49"/>
      <c r="W50" s="49"/>
    </row>
    <row r="51" spans="1:24" ht="13.5" thickBot="1" x14ac:dyDescent="0.25">
      <c r="A51" s="47"/>
      <c r="B51" s="47"/>
      <c r="C51" s="138" t="s">
        <v>137</v>
      </c>
      <c r="D51" s="148" t="s">
        <v>596</v>
      </c>
      <c r="E51" s="47"/>
      <c r="F51" s="47"/>
      <c r="G51" s="149" t="s">
        <v>138</v>
      </c>
      <c r="H51" s="351"/>
      <c r="I51" s="351"/>
      <c r="J51" s="351"/>
      <c r="K51" s="150"/>
      <c r="L51" s="47"/>
      <c r="M51" s="49"/>
      <c r="N51" s="147" t="s">
        <v>139</v>
      </c>
      <c r="O51" s="49"/>
      <c r="P51" s="49"/>
      <c r="Q51" s="49"/>
      <c r="R51" s="49"/>
      <c r="S51" s="49"/>
      <c r="T51" s="49"/>
      <c r="U51" s="49"/>
      <c r="V51" s="49"/>
      <c r="W51" s="49"/>
    </row>
    <row r="52" spans="1:24" ht="9.75" customHeight="1" thickTop="1" x14ac:dyDescent="0.2">
      <c r="A52" s="47"/>
      <c r="B52" s="47"/>
      <c r="C52" s="48"/>
      <c r="D52" s="47"/>
      <c r="E52" s="47"/>
      <c r="F52" s="47"/>
      <c r="G52" s="137"/>
      <c r="H52" s="137"/>
      <c r="I52" s="47"/>
      <c r="J52" s="47"/>
      <c r="K52" s="47"/>
      <c r="L52" s="47"/>
    </row>
    <row r="53" spans="1:24" ht="30.75" customHeight="1" x14ac:dyDescent="0.2"/>
    <row r="54" spans="1:24" ht="11.1" customHeight="1" x14ac:dyDescent="0.2">
      <c r="N54" s="152" t="str">
        <f>IF(N24=1,N57,N58)</f>
        <v>OK! Percentual do BDI quando calculado sem desoneração atende ao limite estipulado pelo Acórdão TCU 2.622/2013.</v>
      </c>
    </row>
    <row r="55" spans="1:24" ht="11.1" customHeight="1" x14ac:dyDescent="0.2">
      <c r="N55" s="152"/>
    </row>
    <row r="56" spans="1:24" ht="11.1" customHeight="1" x14ac:dyDescent="0.2">
      <c r="N56" s="152"/>
    </row>
    <row r="57" spans="1:24" ht="11.1" customHeight="1" x14ac:dyDescent="0.2">
      <c r="N57" s="152" t="str">
        <f>IF(Q39&lt;Q37,N44,IF(Q39&gt;R37,O48,N46))</f>
        <v>OK!</v>
      </c>
      <c r="R57" s="86" t="s">
        <v>140</v>
      </c>
    </row>
    <row r="58" spans="1:24" x14ac:dyDescent="0.2">
      <c r="N58" s="152" t="str">
        <f>IF(Q39&lt;Q37,N44,IF(Q39&gt;R37,O48,N59))</f>
        <v>OK! Percentual do BDI quando calculado sem desoneração atende ao limite estipulado pelo Acórdão TCU 2.622/2013.</v>
      </c>
      <c r="R58" s="86" t="s">
        <v>141</v>
      </c>
    </row>
    <row r="59" spans="1:24" x14ac:dyDescent="0.2">
      <c r="N59" s="152" t="str">
        <f>IF(F27&gt;R37,N47,N46)</f>
        <v>OK! Percentual do BDI quando calculado sem desoneração atende ao limite estipulado pelo Acórdão TCU 2.622/2013.</v>
      </c>
      <c r="R59" s="86" t="s">
        <v>141</v>
      </c>
    </row>
  </sheetData>
  <sheetProtection password="CCED" sheet="1" selectLockedCells="1"/>
  <mergeCells count="26">
    <mergeCell ref="H50:J50"/>
    <mergeCell ref="H51:J51"/>
    <mergeCell ref="G41:K41"/>
    <mergeCell ref="G42:K44"/>
    <mergeCell ref="A43:C43"/>
    <mergeCell ref="A44:C44"/>
    <mergeCell ref="H48:J48"/>
    <mergeCell ref="H49:J49"/>
    <mergeCell ref="B40:K40"/>
    <mergeCell ref="A21:B21"/>
    <mergeCell ref="J21:L22"/>
    <mergeCell ref="A22:A23"/>
    <mergeCell ref="B22:B23"/>
    <mergeCell ref="E25:G25"/>
    <mergeCell ref="H25:I25"/>
    <mergeCell ref="B26:D26"/>
    <mergeCell ref="E27:E28"/>
    <mergeCell ref="F27:F28"/>
    <mergeCell ref="G27:I29"/>
    <mergeCell ref="B36:K37"/>
    <mergeCell ref="C13:I13"/>
    <mergeCell ref="E2:G2"/>
    <mergeCell ref="D4:G4"/>
    <mergeCell ref="E6:G6"/>
    <mergeCell ref="A8:L8"/>
    <mergeCell ref="G10:G11"/>
  </mergeCells>
  <conditionalFormatting sqref="A43 D6:G6 D2:G2 D4:G4 D49:D51 E45:F47 G50:G52 H52">
    <cfRule type="cellIs" dxfId="6" priority="1" stopIfTrue="1" operator="notEqual">
      <formula>""</formula>
    </cfRule>
  </conditionalFormatting>
  <conditionalFormatting sqref="G26">
    <cfRule type="cellIs" dxfId="5" priority="2" stopIfTrue="1" operator="equal">
      <formula>"NÃO OK"</formula>
    </cfRule>
    <cfRule type="cellIs" dxfId="4" priority="3" stopIfTrue="1" operator="equal">
      <formula>"OK"</formula>
    </cfRule>
  </conditionalFormatting>
  <conditionalFormatting sqref="F15:F19 A24:B24 H49:J51">
    <cfRule type="cellIs" dxfId="3" priority="4" stopIfTrue="1" operator="equal">
      <formula>""</formula>
    </cfRule>
  </conditionalFormatting>
  <conditionalFormatting sqref="G27:I29">
    <cfRule type="cellIs" dxfId="2" priority="5" stopIfTrue="1" operator="equal">
      <formula>"OK! Percentual do BDI quando calculado sem desoneração atende ao limite estipulado pelo Acórdão TCU 2.622/2013."</formula>
    </cfRule>
    <cfRule type="cellIs" dxfId="1" priority="6" stopIfTrue="1" operator="equal">
      <formula>"OK!"</formula>
    </cfRule>
    <cfRule type="cellIs" dxfId="0" priority="7" stopIfTrue="1" operator="notEqual">
      <formula>"OK!"</formula>
    </cfRule>
  </conditionalFormatting>
  <dataValidations count="3">
    <dataValidation type="list" allowBlank="1" showInputMessage="1" showErrorMessage="1" promptTitle="Escolha" prompt="o tipo de obra"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$N$10:$N$14</formula1>
    </dataValidation>
    <dataValidation allowBlank="1" showInputMessage="1" showErrorMessage="1" promptTitle="Data" prompt="Indique a data da assinatura do documento" sqref="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dataValidation type="custom" allowBlank="1" showInputMessage="1" showErrorMessage="1" 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formula1>A1</formula1>
    </dataValidation>
  </dataValidations>
  <printOptions horizontalCentered="1"/>
  <pageMargins left="0.25" right="0.25" top="0.75" bottom="0.75" header="0.3" footer="0.3"/>
  <pageSetup paperSize="9"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locked="0" defaultSize="0" autoLine="0" autoPict="0" altText="teste">
                <anchor moveWithCells="1">
                  <from>
                    <xdr:col>3</xdr:col>
                    <xdr:colOff>28575</xdr:colOff>
                    <xdr:row>10</xdr:row>
                    <xdr:rowOff>9525</xdr:rowOff>
                  </from>
                  <to>
                    <xdr:col>5</xdr:col>
                    <xdr:colOff>485775</xdr:colOff>
                    <xdr:row>11</xdr:row>
                    <xdr:rowOff>47625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9</xdr:col>
                    <xdr:colOff>19050</xdr:colOff>
                    <xdr:row>21</xdr:row>
                    <xdr:rowOff>142875</xdr:rowOff>
                  </from>
                  <to>
                    <xdr:col>11</xdr:col>
                    <xdr:colOff>819150</xdr:colOff>
                    <xdr:row>23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topLeftCell="A22" workbookViewId="0">
      <selection activeCell="B45" sqref="B45"/>
    </sheetView>
  </sheetViews>
  <sheetFormatPr defaultRowHeight="15" x14ac:dyDescent="0.25"/>
  <cols>
    <col min="1" max="1" width="12.5703125" bestFit="1" customWidth="1"/>
    <col min="3" max="3" width="10.28515625" bestFit="1" customWidth="1"/>
    <col min="5" max="5" width="10.42578125" bestFit="1" customWidth="1"/>
    <col min="6" max="6" width="10.28515625" bestFit="1" customWidth="1"/>
  </cols>
  <sheetData>
    <row r="1" spans="1:23" x14ac:dyDescent="0.25">
      <c r="A1">
        <v>60.79</v>
      </c>
      <c r="E1">
        <v>5.2</v>
      </c>
      <c r="F1" t="s">
        <v>412</v>
      </c>
    </row>
    <row r="2" spans="1:23" x14ac:dyDescent="0.25">
      <c r="A2">
        <v>6.45</v>
      </c>
    </row>
    <row r="3" spans="1:23" x14ac:dyDescent="0.25">
      <c r="A3">
        <v>8.1</v>
      </c>
      <c r="O3">
        <v>60.78</v>
      </c>
      <c r="Q3">
        <f>3.09*2.15</f>
        <v>6.6434999999999995</v>
      </c>
      <c r="U3">
        <f>2.85+2.85+3.09+3.09</f>
        <v>11.879999999999999</v>
      </c>
    </row>
    <row r="4" spans="1:23" x14ac:dyDescent="0.25">
      <c r="E4">
        <f>15.37+6.4</f>
        <v>21.77</v>
      </c>
      <c r="O4">
        <v>8.75</v>
      </c>
      <c r="Q4">
        <f>1.79*2.79</f>
        <v>4.9941000000000004</v>
      </c>
      <c r="U4">
        <f>4.5+4.5+4.8+4.8</f>
        <v>18.600000000000001</v>
      </c>
    </row>
    <row r="5" spans="1:23" x14ac:dyDescent="0.25">
      <c r="E5">
        <f>3+10.5+5.4+1.7+4.2+7.8+2.8</f>
        <v>35.399999999999991</v>
      </c>
      <c r="O5">
        <v>20.93</v>
      </c>
      <c r="Q5">
        <f>Q3-Q4</f>
        <v>1.6493999999999991</v>
      </c>
    </row>
    <row r="6" spans="1:23" x14ac:dyDescent="0.25">
      <c r="A6">
        <f>SUM(A1:A5)</f>
        <v>75.339999999999989</v>
      </c>
      <c r="E6">
        <f>(E5+E4)*0.6</f>
        <v>34.301999999999992</v>
      </c>
      <c r="G6">
        <v>36</v>
      </c>
      <c r="O6">
        <v>10.36</v>
      </c>
    </row>
    <row r="7" spans="1:23" x14ac:dyDescent="0.25">
      <c r="O7">
        <v>8.81</v>
      </c>
    </row>
    <row r="8" spans="1:23" x14ac:dyDescent="0.25">
      <c r="O8">
        <v>4.6399999999999997</v>
      </c>
    </row>
    <row r="9" spans="1:23" x14ac:dyDescent="0.25">
      <c r="O9">
        <f>O3-(SUM(O4:O8))</f>
        <v>7.2899999999999991</v>
      </c>
      <c r="Q9">
        <f>O9+Q5</f>
        <v>8.9393999999999991</v>
      </c>
    </row>
    <row r="10" spans="1:23" x14ac:dyDescent="0.25">
      <c r="A10">
        <v>3</v>
      </c>
      <c r="B10">
        <v>39.94</v>
      </c>
      <c r="C10">
        <f>B10*A10</f>
        <v>119.82</v>
      </c>
      <c r="L10">
        <v>53.49</v>
      </c>
      <c r="Q10" s="210">
        <f>Q9*0.4</f>
        <v>3.5757599999999998</v>
      </c>
    </row>
    <row r="11" spans="1:23" x14ac:dyDescent="0.25">
      <c r="A11">
        <v>1</v>
      </c>
      <c r="B11">
        <v>446.92</v>
      </c>
      <c r="C11">
        <f t="shared" ref="C11:C17" si="0">B11*A11</f>
        <v>446.92</v>
      </c>
      <c r="L11">
        <f>Q4</f>
        <v>4.9941000000000004</v>
      </c>
    </row>
    <row r="12" spans="1:23" x14ac:dyDescent="0.25">
      <c r="A12">
        <v>80</v>
      </c>
      <c r="B12">
        <v>9.6199999999999992</v>
      </c>
      <c r="C12">
        <f t="shared" si="0"/>
        <v>769.59999999999991</v>
      </c>
      <c r="L12">
        <f>L11+L10</f>
        <v>58.484100000000005</v>
      </c>
      <c r="Q12" s="210">
        <f>17*(0.3*0.15*3)</f>
        <v>2.2949999999999999</v>
      </c>
    </row>
    <row r="13" spans="1:23" x14ac:dyDescent="0.25">
      <c r="A13">
        <v>23</v>
      </c>
      <c r="B13">
        <v>3.01</v>
      </c>
      <c r="C13">
        <f t="shared" si="0"/>
        <v>69.22999999999999</v>
      </c>
      <c r="E13">
        <v>2745</v>
      </c>
      <c r="L13">
        <f>L12*0.06</f>
        <v>3.5090460000000001</v>
      </c>
      <c r="T13">
        <f>7.4186*8.1927</f>
        <v>60.77836422</v>
      </c>
    </row>
    <row r="14" spans="1:23" x14ac:dyDescent="0.25">
      <c r="A14">
        <v>2.4</v>
      </c>
      <c r="B14">
        <v>21.75</v>
      </c>
      <c r="C14">
        <f t="shared" si="0"/>
        <v>52.199999999999996</v>
      </c>
      <c r="P14">
        <f>13*1.2*0.5*0.4</f>
        <v>3.12</v>
      </c>
      <c r="T14">
        <f>T13-((2.4686*4.1974)+(2.4687*3.5452)+(4.5*4.6502)+(3.0925*2.725)+(3.0925*1.5))</f>
        <v>7.6729148400000042</v>
      </c>
      <c r="W14">
        <f>T14</f>
        <v>7.6729148400000042</v>
      </c>
    </row>
    <row r="15" spans="1:23" x14ac:dyDescent="0.25">
      <c r="A15">
        <v>36.799999999999997</v>
      </c>
      <c r="B15">
        <v>2.5499999999999998</v>
      </c>
      <c r="C15">
        <f t="shared" si="0"/>
        <v>93.839999999999989</v>
      </c>
      <c r="P15">
        <f>4*0.6*0.6*0.4</f>
        <v>0.57599999999999996</v>
      </c>
      <c r="T15">
        <f>T14*0.4</f>
        <v>3.0691659360000019</v>
      </c>
      <c r="W15">
        <f>W14+((7.41+7.11+8.05+7.89+3.09+3.09+3.09+3.09+4.19+2.46+2.46+2.46+4.5+4.5+4.65+4.65+3.54+3.54)*0.4)</f>
        <v>39.58091484000002</v>
      </c>
    </row>
    <row r="16" spans="1:23" x14ac:dyDescent="0.25">
      <c r="A16">
        <v>12</v>
      </c>
      <c r="B16">
        <v>12.64</v>
      </c>
      <c r="C16">
        <f t="shared" si="0"/>
        <v>151.68</v>
      </c>
      <c r="P16" s="210">
        <f>P15+P14</f>
        <v>3.6960000000000002</v>
      </c>
    </row>
    <row r="17" spans="1:23" x14ac:dyDescent="0.25">
      <c r="A17">
        <v>0.06</v>
      </c>
      <c r="B17">
        <v>73.849999999999994</v>
      </c>
      <c r="C17">
        <f t="shared" si="0"/>
        <v>4.4309999999999992</v>
      </c>
      <c r="T17">
        <f>12*1.2*0.5*0.4</f>
        <v>2.88</v>
      </c>
      <c r="W17">
        <f>((2.0865*3.0883)-(1.7865*2.7884))+((3.0883+2.0865+1.7865+1.7865+2.78+2.78)*0.4)</f>
        <v>7.1853813499999992</v>
      </c>
    </row>
    <row r="18" spans="1:23" x14ac:dyDescent="0.25">
      <c r="C18" s="209">
        <f>SUM(C10:C17)</f>
        <v>1707.721</v>
      </c>
      <c r="Q18">
        <f>P16+Q12+Q10</f>
        <v>9.5667599999999986</v>
      </c>
      <c r="T18">
        <f>4*0.6*0.6</f>
        <v>1.44</v>
      </c>
      <c r="W18">
        <f>W17+W15</f>
        <v>46.76629619000002</v>
      </c>
    </row>
    <row r="19" spans="1:23" x14ac:dyDescent="0.25">
      <c r="T19">
        <f>16*2.8*0.4*0.15</f>
        <v>2.6879999999999997</v>
      </c>
    </row>
    <row r="20" spans="1:23" x14ac:dyDescent="0.25">
      <c r="A20">
        <v>17.059999999999999</v>
      </c>
      <c r="B20">
        <v>114.22</v>
      </c>
      <c r="C20">
        <v>8</v>
      </c>
      <c r="D20">
        <f>A20*C20</f>
        <v>136.47999999999999</v>
      </c>
      <c r="Q20">
        <v>10.25</v>
      </c>
    </row>
    <row r="21" spans="1:23" x14ac:dyDescent="0.25">
      <c r="A21">
        <v>23.98</v>
      </c>
      <c r="B21">
        <v>114.22</v>
      </c>
      <c r="C21">
        <v>8</v>
      </c>
      <c r="D21">
        <f t="shared" ref="D21:D24" si="1">A21*C21</f>
        <v>191.84</v>
      </c>
      <c r="T21">
        <f>T19+T17+T15+T18</f>
        <v>10.077165936000002</v>
      </c>
    </row>
    <row r="22" spans="1:23" x14ac:dyDescent="0.25">
      <c r="A22">
        <v>24.52</v>
      </c>
      <c r="B22">
        <v>114.22</v>
      </c>
      <c r="C22">
        <v>26</v>
      </c>
      <c r="D22">
        <f t="shared" si="1"/>
        <v>637.52</v>
      </c>
      <c r="F22" s="211">
        <f>C18+D26</f>
        <v>3123.4459999999999</v>
      </c>
      <c r="H22">
        <v>3123.45</v>
      </c>
    </row>
    <row r="23" spans="1:23" x14ac:dyDescent="0.25">
      <c r="A23">
        <v>24.14</v>
      </c>
      <c r="B23">
        <v>114.22</v>
      </c>
      <c r="C23">
        <v>6</v>
      </c>
      <c r="D23">
        <f t="shared" si="1"/>
        <v>144.84</v>
      </c>
    </row>
    <row r="24" spans="1:23" x14ac:dyDescent="0.25">
      <c r="A24">
        <v>18.05</v>
      </c>
      <c r="B24">
        <v>114.22</v>
      </c>
      <c r="C24">
        <v>16.899999999999999</v>
      </c>
      <c r="D24">
        <f t="shared" si="1"/>
        <v>305.04499999999996</v>
      </c>
      <c r="R24" t="s">
        <v>533</v>
      </c>
      <c r="S24">
        <v>7.42</v>
      </c>
    </row>
    <row r="25" spans="1:23" x14ac:dyDescent="0.25">
      <c r="R25">
        <v>0.4</v>
      </c>
      <c r="S25">
        <v>8.19</v>
      </c>
      <c r="W25">
        <v>1.5</v>
      </c>
    </row>
    <row r="26" spans="1:23" x14ac:dyDescent="0.25">
      <c r="D26">
        <f>SUM(D20:D24)</f>
        <v>1415.7249999999999</v>
      </c>
      <c r="S26">
        <v>1.5</v>
      </c>
      <c r="W26">
        <f>2.85+2.85+3.09+3.09+4.5+4.5+4.8+1.5+3.09+3.09+1.5</f>
        <v>34.86</v>
      </c>
    </row>
    <row r="27" spans="1:23" x14ac:dyDescent="0.25">
      <c r="S27">
        <v>2.85</v>
      </c>
      <c r="W27">
        <f>2.62+2.62+3.7+3.7</f>
        <v>12.64</v>
      </c>
    </row>
    <row r="28" spans="1:23" x14ac:dyDescent="0.25">
      <c r="S28">
        <v>2.4700000000000002</v>
      </c>
    </row>
    <row r="29" spans="1:23" x14ac:dyDescent="0.25">
      <c r="A29" t="s">
        <v>462</v>
      </c>
      <c r="B29" t="s">
        <v>162</v>
      </c>
      <c r="C29" t="s">
        <v>145</v>
      </c>
      <c r="E29" t="s">
        <v>477</v>
      </c>
      <c r="F29" t="s">
        <v>478</v>
      </c>
      <c r="I29" t="s">
        <v>517</v>
      </c>
      <c r="L29" t="s">
        <v>529</v>
      </c>
      <c r="N29" t="s">
        <v>530</v>
      </c>
      <c r="S29">
        <v>3.09</v>
      </c>
      <c r="W29">
        <f>7</f>
        <v>7</v>
      </c>
    </row>
    <row r="30" spans="1:23" x14ac:dyDescent="0.25">
      <c r="A30" t="s">
        <v>463</v>
      </c>
      <c r="B30">
        <f>9.76+10.25+3.83+1.78+3.64+1.75+7.38+9.05+1.6</f>
        <v>49.04</v>
      </c>
      <c r="C30" s="194">
        <f>B30*2.8</f>
        <v>137.31199999999998</v>
      </c>
      <c r="E30">
        <f>0.8*2.1</f>
        <v>1.6800000000000002</v>
      </c>
      <c r="F30">
        <f>1.8*1.1</f>
        <v>1.9800000000000002</v>
      </c>
      <c r="I30" t="s">
        <v>468</v>
      </c>
      <c r="J30" s="194">
        <f>C35</f>
        <v>71.736000000000004</v>
      </c>
      <c r="L30">
        <v>21.6</v>
      </c>
      <c r="N30">
        <f>4.5+4.5+4.8+4.8</f>
        <v>18.600000000000001</v>
      </c>
      <c r="S30">
        <v>3.09</v>
      </c>
      <c r="W30">
        <f>SUM(W25:W29)</f>
        <v>56</v>
      </c>
    </row>
    <row r="31" spans="1:23" x14ac:dyDescent="0.25">
      <c r="A31" t="s">
        <v>464</v>
      </c>
      <c r="B31">
        <f>(2.2*2)</f>
        <v>4.4000000000000004</v>
      </c>
      <c r="C31" s="194">
        <f>B31*2</f>
        <v>8.8000000000000007</v>
      </c>
      <c r="E31">
        <v>23</v>
      </c>
      <c r="F31">
        <v>16</v>
      </c>
      <c r="I31" t="s">
        <v>469</v>
      </c>
      <c r="J31" s="194">
        <f>C36</f>
        <v>66.36</v>
      </c>
      <c r="L31">
        <v>4.6399999999999997</v>
      </c>
      <c r="N31">
        <f>2.85+2.85+3.1+3.1</f>
        <v>11.9</v>
      </c>
      <c r="S31">
        <v>3.09</v>
      </c>
      <c r="W31">
        <f>W30*1.5</f>
        <v>84</v>
      </c>
    </row>
    <row r="32" spans="1:23" x14ac:dyDescent="0.25">
      <c r="A32" t="s">
        <v>465</v>
      </c>
      <c r="B32">
        <f>13+2.62+4.35+4.8+8.2</f>
        <v>32.97</v>
      </c>
      <c r="C32" s="194">
        <f>B32*2.8</f>
        <v>92.315999999999988</v>
      </c>
      <c r="E32">
        <f>E31*E30</f>
        <v>38.64</v>
      </c>
      <c r="F32">
        <f>F31*F30</f>
        <v>31.680000000000003</v>
      </c>
      <c r="I32" t="s">
        <v>518</v>
      </c>
      <c r="J32" s="194">
        <f>C37</f>
        <v>46.76</v>
      </c>
      <c r="L32">
        <v>8.81</v>
      </c>
      <c r="N32">
        <f>2.62+2.62+3.7+3.7</f>
        <v>12.64</v>
      </c>
      <c r="S32">
        <v>3.09</v>
      </c>
    </row>
    <row r="33" spans="1:21" x14ac:dyDescent="0.25">
      <c r="A33" t="s">
        <v>466</v>
      </c>
      <c r="B33">
        <f>(1.56*2)+(2*2)+(2.76*2)+(1.5*2)+(1.2*2)+(3.33*2)</f>
        <v>24.7</v>
      </c>
      <c r="C33" s="194">
        <f>B33*(2.8-1.5)</f>
        <v>32.109999999999992</v>
      </c>
      <c r="I33" t="s">
        <v>516</v>
      </c>
      <c r="J33" s="194">
        <f>C44</f>
        <v>111.52399999999999</v>
      </c>
      <c r="L33">
        <v>9.69</v>
      </c>
      <c r="N33">
        <f>6.85+6.85+5+5</f>
        <v>23.7</v>
      </c>
      <c r="S33">
        <v>4.2</v>
      </c>
    </row>
    <row r="34" spans="1:21" x14ac:dyDescent="0.25">
      <c r="A34" t="s">
        <v>467</v>
      </c>
      <c r="B34">
        <f>(1.5*2)+(2.76*2)</f>
        <v>8.52</v>
      </c>
      <c r="C34" s="194">
        <f t="shared" ref="C34:C44" si="2">B34*2.8</f>
        <v>23.855999999999998</v>
      </c>
      <c r="E34" t="s">
        <v>476</v>
      </c>
      <c r="F34">
        <f>E32+F32</f>
        <v>70.320000000000007</v>
      </c>
      <c r="I34" t="s">
        <v>475</v>
      </c>
      <c r="J34" s="194">
        <f>C43</f>
        <v>48.44</v>
      </c>
      <c r="L34">
        <v>34.25</v>
      </c>
      <c r="N34">
        <f>4.9+4.9+7.95+7.95</f>
        <v>25.7</v>
      </c>
      <c r="S34">
        <v>4.2</v>
      </c>
    </row>
    <row r="35" spans="1:21" x14ac:dyDescent="0.25">
      <c r="A35" t="s">
        <v>468</v>
      </c>
      <c r="B35">
        <f>(7.91*2)+(4.9*2)</f>
        <v>25.62</v>
      </c>
      <c r="C35" s="194">
        <f t="shared" si="2"/>
        <v>71.736000000000004</v>
      </c>
      <c r="J35" s="194">
        <f>SUM(J30:J34)</f>
        <v>344.82</v>
      </c>
      <c r="L35">
        <v>38.950000000000003</v>
      </c>
      <c r="N35">
        <f>4.45+4.45+4.2+4.2</f>
        <v>17.3</v>
      </c>
      <c r="S35">
        <v>2.4700000000000002</v>
      </c>
    </row>
    <row r="36" spans="1:21" x14ac:dyDescent="0.25">
      <c r="A36" t="s">
        <v>469</v>
      </c>
      <c r="B36">
        <f>10+(6.85*2)</f>
        <v>23.7</v>
      </c>
      <c r="C36" s="194">
        <f t="shared" si="2"/>
        <v>66.36</v>
      </c>
      <c r="J36">
        <f>J35*0.5</f>
        <v>172.41</v>
      </c>
      <c r="L36">
        <v>2.98</v>
      </c>
      <c r="N36">
        <f>5.42+5.42+2.94+2.94</f>
        <v>16.72</v>
      </c>
      <c r="S36">
        <v>2.4700000000000002</v>
      </c>
    </row>
    <row r="37" spans="1:21" x14ac:dyDescent="0.25">
      <c r="A37" t="s">
        <v>470</v>
      </c>
      <c r="B37">
        <f>(5.42*2)+(2.93*2)</f>
        <v>16.7</v>
      </c>
      <c r="C37" s="194">
        <f t="shared" si="2"/>
        <v>46.76</v>
      </c>
      <c r="L37">
        <v>4.1500000000000004</v>
      </c>
      <c r="N37">
        <f>SUM(N30:N36)</f>
        <v>126.56</v>
      </c>
      <c r="S37">
        <v>2.4700000000000002</v>
      </c>
      <c r="U37">
        <f>(2.0865*3.0883)-(1.7865*2.7884)</f>
        <v>1.4622613499999995</v>
      </c>
    </row>
    <row r="38" spans="1:21" x14ac:dyDescent="0.25">
      <c r="A38" t="s">
        <v>471</v>
      </c>
      <c r="B38">
        <f>(2.63*2)+(3.7*2)</f>
        <v>12.66</v>
      </c>
      <c r="C38" s="194">
        <f t="shared" si="2"/>
        <v>35.448</v>
      </c>
      <c r="L38">
        <v>15.92</v>
      </c>
      <c r="N38">
        <f>N37-((0.8*6)+(3))</f>
        <v>118.76</v>
      </c>
      <c r="S38">
        <v>4.5</v>
      </c>
      <c r="U38">
        <f>(7.4186*8.1927)-((1.5*3.0925)+(2.85*3.09825)+(2.4686*4.1974)+(2.4687*3.5452)+(4.5*4.6352))</f>
        <v>7.3374648399999955</v>
      </c>
    </row>
    <row r="39" spans="1:21" x14ac:dyDescent="0.25">
      <c r="A39" t="s">
        <v>472</v>
      </c>
      <c r="B39">
        <f>(3.46*2)+(1.8*2)</f>
        <v>10.52</v>
      </c>
      <c r="C39" s="194">
        <f t="shared" si="2"/>
        <v>29.455999999999996</v>
      </c>
      <c r="L39">
        <f>1.5*2</f>
        <v>3</v>
      </c>
      <c r="S39">
        <v>4.5</v>
      </c>
      <c r="U39">
        <f>U38+U37</f>
        <v>8.7997261899999941</v>
      </c>
    </row>
    <row r="40" spans="1:21" x14ac:dyDescent="0.25">
      <c r="A40" t="s">
        <v>473</v>
      </c>
      <c r="B40">
        <f>(2.85*2)+(3.09*2)</f>
        <v>11.879999999999999</v>
      </c>
      <c r="C40" s="194">
        <f t="shared" si="2"/>
        <v>33.263999999999996</v>
      </c>
      <c r="L40">
        <f>4.82*1.8</f>
        <v>8.6760000000000002</v>
      </c>
      <c r="S40">
        <v>4.6399999999999997</v>
      </c>
      <c r="U40">
        <f>U39*0.15</f>
        <v>1.3199589284999991</v>
      </c>
    </row>
    <row r="41" spans="1:21" x14ac:dyDescent="0.25">
      <c r="A41" t="s">
        <v>555</v>
      </c>
      <c r="B41">
        <f>(1.5*2)+(3.09*2)</f>
        <v>9.18</v>
      </c>
      <c r="C41" s="194">
        <f t="shared" si="2"/>
        <v>25.703999999999997</v>
      </c>
      <c r="L41">
        <f>1.2*3.33</f>
        <v>3.996</v>
      </c>
      <c r="S41">
        <v>4.6399999999999997</v>
      </c>
      <c r="U41">
        <f>U40+S51</f>
        <v>37.419958928500009</v>
      </c>
    </row>
    <row r="42" spans="1:21" x14ac:dyDescent="0.25">
      <c r="A42" t="s">
        <v>474</v>
      </c>
      <c r="B42">
        <f>(4.8*2)+(4.5*2)</f>
        <v>18.600000000000001</v>
      </c>
      <c r="C42" s="194">
        <f t="shared" si="2"/>
        <v>52.08</v>
      </c>
      <c r="L42">
        <f>4.45*4.2</f>
        <v>18.690000000000001</v>
      </c>
      <c r="S42">
        <v>3.54</v>
      </c>
    </row>
    <row r="43" spans="1:21" x14ac:dyDescent="0.25">
      <c r="A43" t="s">
        <v>475</v>
      </c>
      <c r="B43">
        <f>(4.45*2)+(4.2*2)</f>
        <v>17.3</v>
      </c>
      <c r="C43" s="194">
        <f t="shared" si="2"/>
        <v>48.44</v>
      </c>
      <c r="L43">
        <f>SUM(L30:L42)</f>
        <v>175.352</v>
      </c>
      <c r="S43">
        <v>3.54</v>
      </c>
    </row>
    <row r="44" spans="1:21" x14ac:dyDescent="0.25">
      <c r="A44" t="s">
        <v>516</v>
      </c>
      <c r="B44">
        <f>6.13+0.77+1.5+2.72+0.82+3.09+1.12+1.7+1.7+3.63+3.86+8.19+4.6</f>
        <v>39.83</v>
      </c>
      <c r="C44" s="194">
        <f t="shared" si="2"/>
        <v>111.52399999999999</v>
      </c>
      <c r="S44">
        <v>2.08</v>
      </c>
    </row>
    <row r="45" spans="1:21" x14ac:dyDescent="0.25">
      <c r="A45" t="s">
        <v>532</v>
      </c>
      <c r="B45">
        <f>13.09+1.3+8.72</f>
        <v>23.11</v>
      </c>
      <c r="C45" s="194"/>
      <c r="E45">
        <f>C45-((2*0.8)+3)</f>
        <v>-4.5999999999999996</v>
      </c>
      <c r="S45">
        <v>3.09</v>
      </c>
    </row>
    <row r="46" spans="1:21" x14ac:dyDescent="0.25">
      <c r="S46">
        <v>2.78</v>
      </c>
    </row>
    <row r="47" spans="1:21" x14ac:dyDescent="0.25">
      <c r="S47">
        <v>2.78</v>
      </c>
    </row>
    <row r="48" spans="1:21" x14ac:dyDescent="0.25">
      <c r="B48" t="s">
        <v>476</v>
      </c>
      <c r="C48" s="194">
        <f>SUM(C30:C44)</f>
        <v>815.16600000000005</v>
      </c>
      <c r="G48">
        <v>0.5</v>
      </c>
      <c r="S48">
        <v>1.78</v>
      </c>
    </row>
    <row r="49" spans="1:19" x14ac:dyDescent="0.25">
      <c r="C49" s="222">
        <f>C48-F34</f>
        <v>744.846</v>
      </c>
      <c r="D49" s="194"/>
      <c r="G49">
        <v>1.2</v>
      </c>
      <c r="S49">
        <v>1.78</v>
      </c>
    </row>
    <row r="50" spans="1:19" x14ac:dyDescent="0.25">
      <c r="C50" s="194">
        <f>C49+60</f>
        <v>804.846</v>
      </c>
      <c r="G50">
        <v>0.5</v>
      </c>
      <c r="S50">
        <f>SUM(S24:S49)</f>
        <v>90.250000000000014</v>
      </c>
    </row>
    <row r="51" spans="1:19" x14ac:dyDescent="0.25">
      <c r="C51">
        <f>C50+((10.27+15.5+1.95+1.15)*2)</f>
        <v>862.58600000000001</v>
      </c>
      <c r="G51">
        <f>G48*G49*G50</f>
        <v>0.3</v>
      </c>
      <c r="S51">
        <f>S50*R25</f>
        <v>36.100000000000009</v>
      </c>
    </row>
    <row r="52" spans="1:19" x14ac:dyDescent="0.25">
      <c r="G52">
        <f>13*G51</f>
        <v>3.9</v>
      </c>
      <c r="J52">
        <f>7.51+7.22+2.9+4.05+5.23</f>
        <v>26.91</v>
      </c>
    </row>
    <row r="53" spans="1:19" x14ac:dyDescent="0.25">
      <c r="G53">
        <f>0.6*0.6*0.5*4</f>
        <v>0.72</v>
      </c>
      <c r="J53">
        <f>J52*0.15*2</f>
        <v>8.0730000000000004</v>
      </c>
    </row>
    <row r="54" spans="1:19" x14ac:dyDescent="0.25">
      <c r="G54">
        <f>G53+G52</f>
        <v>4.62</v>
      </c>
      <c r="J54" s="161">
        <f>J53+G54+J50</f>
        <v>12.693000000000001</v>
      </c>
    </row>
    <row r="55" spans="1:19" x14ac:dyDescent="0.25">
      <c r="J55">
        <f>U38*0.4</f>
        <v>2.9349859359999986</v>
      </c>
    </row>
    <row r="56" spans="1:19" x14ac:dyDescent="0.25">
      <c r="A56">
        <v>67.239999999999995</v>
      </c>
      <c r="J56">
        <f>J55+J54</f>
        <v>15.627985936</v>
      </c>
    </row>
    <row r="57" spans="1:19" x14ac:dyDescent="0.25">
      <c r="A57">
        <v>8</v>
      </c>
      <c r="J57">
        <f>U37*0.4</f>
        <v>0.58490453999999981</v>
      </c>
    </row>
    <row r="58" spans="1:19" x14ac:dyDescent="0.25">
      <c r="J58" s="226">
        <f>J57+J56</f>
        <v>16.212890475999998</v>
      </c>
    </row>
    <row r="59" spans="1:19" x14ac:dyDescent="0.25">
      <c r="A59">
        <f>A58+A57+A56</f>
        <v>75.239999999999995</v>
      </c>
    </row>
    <row r="60" spans="1:19" x14ac:dyDescent="0.25">
      <c r="J60">
        <f>14*0.1*0.35</f>
        <v>0.49</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workbookViewId="0">
      <selection activeCell="D15" sqref="D15"/>
    </sheetView>
  </sheetViews>
  <sheetFormatPr defaultRowHeight="15" x14ac:dyDescent="0.25"/>
  <sheetData>
    <row r="1" spans="1:18" x14ac:dyDescent="0.25">
      <c r="A1" t="s">
        <v>534</v>
      </c>
      <c r="F1" t="s">
        <v>541</v>
      </c>
      <c r="J1" t="s">
        <v>546</v>
      </c>
      <c r="K1" t="s">
        <v>550</v>
      </c>
      <c r="L1">
        <f>8.19+4.8</f>
        <v>12.989999999999998</v>
      </c>
      <c r="M1">
        <v>1.5</v>
      </c>
      <c r="N1">
        <f>L1*M1</f>
        <v>19.484999999999999</v>
      </c>
      <c r="Q1" t="s">
        <v>553</v>
      </c>
      <c r="R1">
        <v>2.62</v>
      </c>
    </row>
    <row r="2" spans="1:18" x14ac:dyDescent="0.25">
      <c r="A2" t="s">
        <v>535</v>
      </c>
      <c r="B2">
        <v>13</v>
      </c>
      <c r="C2">
        <f>1.2*0.5*0.5</f>
        <v>0.3</v>
      </c>
      <c r="D2">
        <f>B2*C2</f>
        <v>3.9</v>
      </c>
      <c r="F2">
        <f>0.49+2.9+7.22+7.5+4.03+1.58+2.68</f>
        <v>26.4</v>
      </c>
      <c r="G2">
        <f>F2*0.15*1.5</f>
        <v>5.9399999999999995</v>
      </c>
      <c r="K2" t="s">
        <v>548</v>
      </c>
      <c r="L2">
        <f>4.5+4.5+4.8+4.8</f>
        <v>18.600000000000001</v>
      </c>
      <c r="M2">
        <f>M1</f>
        <v>1.5</v>
      </c>
      <c r="N2">
        <f t="shared" ref="N2:N4" si="0">L2*M2</f>
        <v>27.900000000000002</v>
      </c>
      <c r="R2">
        <v>4.3499999999999996</v>
      </c>
    </row>
    <row r="3" spans="1:18" x14ac:dyDescent="0.25">
      <c r="A3" t="s">
        <v>536</v>
      </c>
      <c r="B3">
        <v>4</v>
      </c>
      <c r="C3">
        <f>0.6*0.6*0.5</f>
        <v>0.18</v>
      </c>
      <c r="D3">
        <f>B3*C3</f>
        <v>0.72</v>
      </c>
      <c r="F3">
        <f>3*(0.6*0.6*0.6)</f>
        <v>0.64800000000000002</v>
      </c>
      <c r="K3" t="s">
        <v>549</v>
      </c>
      <c r="L3">
        <f>2.94+2.09+2.94+2.09</f>
        <v>10.059999999999999</v>
      </c>
      <c r="M3">
        <f>M2</f>
        <v>1.5</v>
      </c>
      <c r="N3">
        <f t="shared" si="0"/>
        <v>15.089999999999998</v>
      </c>
      <c r="R3">
        <v>4.8</v>
      </c>
    </row>
    <row r="4" spans="1:18" x14ac:dyDescent="0.25">
      <c r="F4" t="s">
        <v>540</v>
      </c>
      <c r="G4">
        <f>F3+G2</f>
        <v>6.5879999999999992</v>
      </c>
      <c r="K4" t="s">
        <v>547</v>
      </c>
      <c r="L4">
        <f>3.09+3.09+2.85+2.85</f>
        <v>11.879999999999999</v>
      </c>
      <c r="M4">
        <f>M3</f>
        <v>1.5</v>
      </c>
      <c r="N4">
        <f t="shared" si="0"/>
        <v>17.82</v>
      </c>
      <c r="R4">
        <v>8.19</v>
      </c>
    </row>
    <row r="5" spans="1:18" x14ac:dyDescent="0.25">
      <c r="A5" t="s">
        <v>537</v>
      </c>
      <c r="B5">
        <v>17</v>
      </c>
      <c r="C5">
        <f>(0.15*0.3*2.8)</f>
        <v>0.126</v>
      </c>
      <c r="D5">
        <f>C5*B5</f>
        <v>2.1419999999999999</v>
      </c>
      <c r="R5">
        <v>2.62</v>
      </c>
    </row>
    <row r="6" spans="1:18" x14ac:dyDescent="0.25">
      <c r="F6" t="s">
        <v>542</v>
      </c>
      <c r="G6">
        <f>13+6.24+2.32</f>
        <v>21.560000000000002</v>
      </c>
      <c r="R6">
        <v>3.7</v>
      </c>
    </row>
    <row r="7" spans="1:18" x14ac:dyDescent="0.25">
      <c r="A7" t="s">
        <v>539</v>
      </c>
      <c r="B7">
        <f>3.09+3.09+1.79+1.79</f>
        <v>9.76</v>
      </c>
      <c r="C7">
        <f>0.15*0.4</f>
        <v>0.06</v>
      </c>
      <c r="G7">
        <f>G6*0.15*1</f>
        <v>3.2340000000000004</v>
      </c>
      <c r="M7" t="s">
        <v>538</v>
      </c>
      <c r="N7">
        <f>SUM(N1:N4)</f>
        <v>80.295000000000002</v>
      </c>
    </row>
    <row r="8" spans="1:18" x14ac:dyDescent="0.25">
      <c r="B8">
        <f>8.19+8.19+7.12+7.12</f>
        <v>30.62</v>
      </c>
      <c r="R8">
        <v>4.5</v>
      </c>
    </row>
    <row r="9" spans="1:18" x14ac:dyDescent="0.25">
      <c r="B9">
        <f>2.47+7.89+3.09+4.5</f>
        <v>17.95</v>
      </c>
      <c r="R9">
        <v>4.8</v>
      </c>
    </row>
    <row r="10" spans="1:18" x14ac:dyDescent="0.25">
      <c r="A10" t="s">
        <v>540</v>
      </c>
      <c r="B10">
        <f>SUM(B7:B9)</f>
        <v>58.33</v>
      </c>
      <c r="D10">
        <f>B10*C7</f>
        <v>3.4997999999999996</v>
      </c>
      <c r="J10" t="s">
        <v>551</v>
      </c>
      <c r="K10" t="s">
        <v>552</v>
      </c>
      <c r="L10">
        <f>7.42+8.19+4.2+3.54+2.46+2.46+2.46+2.46+3.54+4.2+4.65+3.09+4.5+2.85+1.5+4.5+3.09+3.09+3.09+4.65+3.08+2.08+1.78+2.78+1.78+2.78</f>
        <v>90.220000000000013</v>
      </c>
      <c r="M10">
        <f>L10*0.4</f>
        <v>36.088000000000008</v>
      </c>
      <c r="R10">
        <v>4.8</v>
      </c>
    </row>
    <row r="11" spans="1:18" x14ac:dyDescent="0.25">
      <c r="M11">
        <f>K23</f>
        <v>2.9196758319999989</v>
      </c>
      <c r="R11">
        <v>2.85</v>
      </c>
    </row>
    <row r="12" spans="1:18" x14ac:dyDescent="0.25">
      <c r="A12">
        <f>D10+D5+D3+D2</f>
        <v>10.261799999999999</v>
      </c>
      <c r="R12">
        <v>3.09</v>
      </c>
    </row>
    <row r="13" spans="1:18" x14ac:dyDescent="0.25">
      <c r="M13">
        <f>M11+M10</f>
        <v>39.007675832000004</v>
      </c>
      <c r="R13">
        <v>3.09</v>
      </c>
    </row>
    <row r="14" spans="1:18" x14ac:dyDescent="0.25">
      <c r="R14">
        <v>2.85</v>
      </c>
    </row>
    <row r="15" spans="1:18" x14ac:dyDescent="0.25">
      <c r="C15" t="s">
        <v>538</v>
      </c>
      <c r="D15">
        <f>D5+D3+D2+D10+G4+G7</f>
        <v>20.083800000000004</v>
      </c>
      <c r="K15">
        <f>7.4186*8.1927</f>
        <v>60.77836422</v>
      </c>
      <c r="R15">
        <v>3.09</v>
      </c>
    </row>
    <row r="16" spans="1:18" x14ac:dyDescent="0.25">
      <c r="K16">
        <f>3.54*2.4687</f>
        <v>8.739198</v>
      </c>
      <c r="R16">
        <v>3.09</v>
      </c>
    </row>
    <row r="17" spans="1:18" x14ac:dyDescent="0.25">
      <c r="K17">
        <f>2.4686*4.1974</f>
        <v>10.36170164</v>
      </c>
      <c r="R17">
        <v>1.5</v>
      </c>
    </row>
    <row r="18" spans="1:18" x14ac:dyDescent="0.25">
      <c r="F18" t="s">
        <v>545</v>
      </c>
      <c r="K18">
        <f>4.5*4.6502</f>
        <v>20.925899999999999</v>
      </c>
      <c r="R18">
        <v>1.5</v>
      </c>
    </row>
    <row r="19" spans="1:18" x14ac:dyDescent="0.25">
      <c r="A19" t="s">
        <v>543</v>
      </c>
      <c r="B19">
        <v>6.22</v>
      </c>
      <c r="F19">
        <v>30.6</v>
      </c>
      <c r="K19">
        <f>3.0925*2.85</f>
        <v>8.813625</v>
      </c>
      <c r="R19">
        <v>0.8</v>
      </c>
    </row>
    <row r="20" spans="1:18" x14ac:dyDescent="0.25">
      <c r="B20">
        <v>8.75</v>
      </c>
      <c r="F20">
        <v>8.64</v>
      </c>
      <c r="K20">
        <f>3.0925*1.5</f>
        <v>4.6387499999999999</v>
      </c>
      <c r="R20">
        <v>0.8</v>
      </c>
    </row>
    <row r="21" spans="1:18" x14ac:dyDescent="0.25">
      <c r="B21">
        <v>20.92</v>
      </c>
      <c r="F21">
        <v>6.56</v>
      </c>
      <c r="K21">
        <f>K15-(K16+K17+K18+K19+K20)</f>
        <v>7.2991895799999966</v>
      </c>
      <c r="R21">
        <v>4.9000000000000004</v>
      </c>
    </row>
    <row r="22" spans="1:18" x14ac:dyDescent="0.25">
      <c r="B22">
        <v>10.36</v>
      </c>
      <c r="F22">
        <v>24.49</v>
      </c>
    </row>
    <row r="23" spans="1:18" x14ac:dyDescent="0.25">
      <c r="B23">
        <v>8.81</v>
      </c>
      <c r="F23">
        <v>3</v>
      </c>
      <c r="K23">
        <f>K21*0.4</f>
        <v>2.9196758319999989</v>
      </c>
    </row>
    <row r="24" spans="1:18" x14ac:dyDescent="0.25">
      <c r="B24">
        <v>4.63</v>
      </c>
      <c r="F24">
        <v>15.71</v>
      </c>
    </row>
    <row r="25" spans="1:18" x14ac:dyDescent="0.25">
      <c r="B25">
        <v>4.9800000000000004</v>
      </c>
      <c r="F25">
        <v>4</v>
      </c>
    </row>
    <row r="26" spans="1:18" x14ac:dyDescent="0.25">
      <c r="A26" t="s">
        <v>538</v>
      </c>
      <c r="B26">
        <f>SUM(B19:B25)</f>
        <v>64.67</v>
      </c>
      <c r="F26">
        <v>18.68</v>
      </c>
      <c r="R26">
        <v>1.5</v>
      </c>
    </row>
    <row r="27" spans="1:18" x14ac:dyDescent="0.25">
      <c r="A27" t="s">
        <v>544</v>
      </c>
      <c r="B27">
        <v>0.2</v>
      </c>
      <c r="R27">
        <v>1.5</v>
      </c>
    </row>
    <row r="28" spans="1:18" x14ac:dyDescent="0.25">
      <c r="B28">
        <f>B26*B27</f>
        <v>12.934000000000001</v>
      </c>
      <c r="F28">
        <f>SUM(F19:F26)</f>
        <v>111.68</v>
      </c>
    </row>
    <row r="29" spans="1:18" x14ac:dyDescent="0.25">
      <c r="J29" t="s">
        <v>554</v>
      </c>
      <c r="K29">
        <v>2.98</v>
      </c>
      <c r="R29">
        <v>2.77</v>
      </c>
    </row>
    <row r="30" spans="1:18" x14ac:dyDescent="0.25">
      <c r="K30">
        <v>4.1500000000000004</v>
      </c>
    </row>
    <row r="31" spans="1:18" x14ac:dyDescent="0.25">
      <c r="K31">
        <f>2*1.5</f>
        <v>3</v>
      </c>
    </row>
    <row r="32" spans="1:18" x14ac:dyDescent="0.25">
      <c r="K32">
        <f>38.95</f>
        <v>38.950000000000003</v>
      </c>
    </row>
    <row r="33" spans="11:21" x14ac:dyDescent="0.25">
      <c r="K33">
        <f>34.25</f>
        <v>34.25</v>
      </c>
      <c r="R33">
        <v>2</v>
      </c>
    </row>
    <row r="34" spans="11:21" x14ac:dyDescent="0.25">
      <c r="K34">
        <v>21.6</v>
      </c>
    </row>
    <row r="35" spans="11:21" x14ac:dyDescent="0.25">
      <c r="K35">
        <v>9.69</v>
      </c>
    </row>
    <row r="36" spans="11:21" x14ac:dyDescent="0.25">
      <c r="K36">
        <v>8.81</v>
      </c>
      <c r="R36">
        <v>3.08</v>
      </c>
    </row>
    <row r="37" spans="11:21" x14ac:dyDescent="0.25">
      <c r="K37">
        <v>4.6399999999999997</v>
      </c>
      <c r="R37">
        <v>2.09</v>
      </c>
    </row>
    <row r="38" spans="11:21" x14ac:dyDescent="0.25">
      <c r="K38">
        <v>15.92</v>
      </c>
      <c r="R38">
        <v>2.94</v>
      </c>
    </row>
    <row r="39" spans="11:21" x14ac:dyDescent="0.25">
      <c r="K39">
        <f>1.2*3.33</f>
        <v>3.996</v>
      </c>
      <c r="R39">
        <v>2.09</v>
      </c>
    </row>
    <row r="40" spans="11:21" x14ac:dyDescent="0.25">
      <c r="K40">
        <f>4.2*4.45</f>
        <v>18.690000000000001</v>
      </c>
      <c r="R40">
        <v>0.8</v>
      </c>
    </row>
    <row r="41" spans="11:21" x14ac:dyDescent="0.25">
      <c r="K41">
        <f>SUM(K29:K40)</f>
        <v>166.67599999999999</v>
      </c>
      <c r="R41">
        <v>0.8</v>
      </c>
    </row>
    <row r="42" spans="11:21" x14ac:dyDescent="0.25">
      <c r="K42">
        <f>K41+6</f>
        <v>172.67599999999999</v>
      </c>
      <c r="Q42" t="s">
        <v>540</v>
      </c>
      <c r="R42">
        <f>SUM(R1:R41)</f>
        <v>87.509999999999991</v>
      </c>
      <c r="S42">
        <f>R42*2.8</f>
        <v>245.02799999999996</v>
      </c>
      <c r="U42">
        <f>S42-((4*0.8*2.1)+(0.9*2.1)+(0.6*0.6)+(1.5*2.1)+(3*1.8*1.2)+(0.8*1.2)+(1.5*1.2))</f>
        <v>223.66799999999995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4</vt:i4>
      </vt:variant>
    </vt:vector>
  </HeadingPairs>
  <TitlesOfParts>
    <vt:vector size="11" baseType="lpstr">
      <vt:lpstr>ORÇAMENTO </vt:lpstr>
      <vt:lpstr>Plan3</vt:lpstr>
      <vt:lpstr>Referências</vt:lpstr>
      <vt:lpstr>CRONOGRAMA</vt:lpstr>
      <vt:lpstr>BDI</vt:lpstr>
      <vt:lpstr>Plan1</vt:lpstr>
      <vt:lpstr>Plan2</vt:lpstr>
      <vt:lpstr>BDI!Area_de_impressao</vt:lpstr>
      <vt:lpstr>CRONOGRAMA!Area_de_impressao</vt:lpstr>
      <vt:lpstr>matriz</vt:lpstr>
      <vt:lpstr>matriz2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Francieli Reis</dc:creator>
  <cp:lastModifiedBy>Gabriele Sganzerla Ferreira</cp:lastModifiedBy>
  <cp:lastPrinted>2022-06-29T18:01:18Z</cp:lastPrinted>
  <dcterms:created xsi:type="dcterms:W3CDTF">2017-01-30T11:28:28Z</dcterms:created>
  <dcterms:modified xsi:type="dcterms:W3CDTF">2022-06-29T19:00:39Z</dcterms:modified>
</cp:coreProperties>
</file>