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CAO\NAIANA\PML\PA 240_2024 - CE 89_2024\"/>
    </mc:Choice>
  </mc:AlternateContent>
  <bookViews>
    <workbookView xWindow="0" yWindow="0" windowWidth="28800" windowHeight="12585" tabRatio="801" activeTab="1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BM!$C$15:$C$120</definedName>
    <definedName name="_xlnm._FilterDatabase" localSheetId="5" hidden="1">CÁLCULO!$C$15:$C$120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ORÇAMENTO!$L$15:$L$120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BM!$D$1:$O$135</definedName>
    <definedName name="_xlnm.Print_Area" localSheetId="5">CÁLCULO!$E$1:$AA$128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ORÇAMENTO!$O$1:$Y$137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BM!$C$15:$C$120</definedName>
    <definedName name="BM.firstrow" hidden="1">BM!$15:$15</definedName>
    <definedName name="BM.FormulaMed" hidden="1">BM!$AO$7</definedName>
    <definedName name="BM.lastrow" hidden="1">BM!$120:$120</definedName>
    <definedName name="BM.LinhaPadrão" hidden="1">BM!$14:$14</definedName>
    <definedName name="BM.MaxMed" hidden="1">IF(RegimeExecucao="Global",1,BM!$G1)</definedName>
    <definedName name="BM.MCAIXA.Filter" hidden="1">BM!$C$15:$Z$120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CÁLCULO!$C$15:$C$120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CÁLCULO!$120:$120</definedName>
    <definedName name="CÁLCULO.LinhaPadrão" hidden="1">CÁLCULO!$14:$14</definedName>
    <definedName name="CÁLCULO.margemrow" hidden="1">CÁLCULO!$128:$128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CÁLCULO!$120:$120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CÁLCULO!$120:$120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CÁLCULO!$120:$120</definedName>
    <definedName name="CÁLCULO.NúmeroDeEventos" hidden="1">IF(AUTOEVENTO&lt;&gt;"manual",MAX(CÁLCULO!$M$15:$M$120),MAX(OFFSET(EVENTOS!$C$14:$C$65,1,0)))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IF(AUTOEVENTO="manual",SUMIF(CÁLCULO!$M$15:$M$120,1,ORÇAMENTO!$X$15:$X$120),0)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SUMIF(CÁLCULO!$M$15:$M$120,CRONOPLE!$B1,OFFSET(CÁLCULO!$AA$15:$AA$120,0,CRONOPLE!A$12))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BM!$D$123</definedName>
    <definedName name="Import.BMAFAcumulado" hidden="1">OFFSET(BM!$R$15,1,0):OFFSET(BM!$R$120,-1,0)</definedName>
    <definedName name="Import.BMArred" hidden="1">BM!$A$9</definedName>
    <definedName name="Import.CNPJ" hidden="1">DADOS!$F$39</definedName>
    <definedName name="Import.Código" hidden="1">OFFSET(ORÇAMENTO!$Q$15,1,0):OFFSET(ORÇAMENTO!$Q$120,-1,0)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DADOS!$F$37</definedName>
    <definedName name="Import.CustoUnitário" hidden="1">OFFSET(ORÇAMENTO!$U$15,1,0):OFFSET(ORÇAMENTO!$U$120,-1,0)</definedName>
    <definedName name="Import.DataBase" hidden="1">OFFSET(DADOS!$G$19,0,-1)</definedName>
    <definedName name="Import.DataBaseLicit" hidden="1">OFFSET(DADOS!$G$41,0,-1)</definedName>
    <definedName name="Import.DataEmissaoLicit" hidden="1">DADOS!$F$36</definedName>
    <definedName name="Import.DataInicioObra" hidden="1">DADOS!$F$47</definedName>
    <definedName name="Import.DescLote" hidden="1">DADOS!$F$17</definedName>
    <definedName name="Import.Descrição" hidden="1">OFFSET(ORÇAMENTO!$R$15,1,0):OFFSET(ORÇAMENTO!$R$120,-1,0)</definedName>
    <definedName name="Import.Desoneracao" hidden="1">OFFSET(DADOS!$G$18,0,-1)</definedName>
    <definedName name="Import.empresa" hidden="1">DADOS!$F$38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OFFSET(ORÇAMENTO!$P$15,1,0):OFFSET(ORÇAMENTO!$P$120,-1,0)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OFFSET(ORÇAMENTO!$M$15,1,0):OFFSET(ORÇAMENTO!$M$120,-1,0)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OFFSET(ORÇAMENTO!$V$15,1,0):OFFSET(ORÇAMENTO!$V$120,-1,0)</definedName>
    <definedName name="Import.ORÇAMENTO.DivRecurso" hidden="1">OFFSET(ORÇAMENTO!$Y$15,1,0):OFFSET(ORÇAMENTO!$Y$120,-1,0)</definedName>
    <definedName name="Import.ORÇAMENTO.Obs" hidden="1">ORÇAMENTO!$O$126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OFFSET(CÁLCULO!$P$15,1,1):OFFSET(CÁLCULO!$AA$120,-1,-1)</definedName>
    <definedName name="Import.PLQ.MemCalc" hidden="1">OFFSET(CÁLCULO!$I$15,1,0):OFFSET(CÁLCULO!$I$120,-1,0)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OFFSET(ORÇAMENTO!$AJ$15,1,0):OFFSET(ORÇAMENTO!$AJ$120,-1,0)</definedName>
    <definedName name="import.recurso" hidden="1">DADOS!$F$4</definedName>
    <definedName name="Import.RegimeExecução" hidden="1">OFFSET(DADOS!$G$40,0,-1)</definedName>
    <definedName name="Import.Repasse" hidden="1">DADOS!$F$9</definedName>
    <definedName name="Import.RespFiscalização" hidden="1">DADOS!$F$51:$F$54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TipoArredondamento" hidden="1">DADOS!$F$31</definedName>
    <definedName name="Import.TransfereGOV" hidden="1">DADOS!$F$8</definedName>
    <definedName name="Import.Unidade" hidden="1">OFFSET(ORÇAMENTO!$S$15,1,0):OFFSET(ORÇAMENTO!$S$120,-1,0)</definedName>
    <definedName name="Import.UnitarioLicitado" hidden="1">OFFSET(ORÇAMENTO!$AL$15,1,0):OFFSET(ORÇAMENTO!$AL$120,-1,0)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ORÇAMENTO!$L$15:$L$120</definedName>
    <definedName name="ORÇAMENTO.firstrow" hidden="1">ORÇAMENTO!$15:$15</definedName>
    <definedName name="ORÇAMENTO.Fonte" hidden="1">ORÇAMENTO!$P1</definedName>
    <definedName name="ORÇAMENTO.lastrow" hidden="1">ORÇAMENTO!$120:$120</definedName>
    <definedName name="ORÇAMENTO.LinhaPadrão" hidden="1">ORÇAMENTO!$14:$14</definedName>
    <definedName name="ORÇAMENTO.ListaCrono" hidden="1">OFFSET(ORÇAMENTO!$AD$15,1,0):OFFSET(ORÇAMENTO!$AD$120,-1,0)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OFFSET(ORÇAMENTO!$P$15,1,0):OFFSET(ORÇAMENTO!$S$120,-1,0)</definedName>
    <definedName name="ORÇAMENTO.PasteFormat2" hidden="1">OFFSET(ORÇAMENTO!$U$15,1,0):OFFSET(ORÇAMENTO!$V$120,-1,0)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OFFSET(ORÇAMENTO!$T$15,1,0):OFFSET(ORÇAMENTO!$T$120,-1,0)</definedName>
    <definedName name="ORÇAMENTO.SumCPMANUAL" hidden="1">SUMIF(ORÇAMENTO!$Z$15:$Z$120,"CP",ORÇAMENTO!$AA$15:$AA$120)</definedName>
    <definedName name="ORÇAMENTO.SumINVMANUAL" hidden="1">SUMIF(ORÇAMENTO!$Z$15:$Z$120,"RP",ORÇAMENTO!$X$15:$X$120)+SUMIF(ORÇAMENTO!$Z$15:$Z$120,"CP",ORÇAMENTO!$X$15:$X$120)+SUMIF(ORÇAMENTO!$Z$15:$Z$120,"OU",ORÇAMENTO!$X$15:$X$120)</definedName>
    <definedName name="ORÇAMENTO.SumOUTROSMANUAL" hidden="1">SUMIF(ORÇAMENTO!$Z$15:$Z$120,"OU",ORÇAMENTO!$AB$15:$AB$120)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SUMIF(CÁLCULO!$M$15:$M$120,PLE!$B1,OFFSET(CÁLCULO!$AA$15:$AA$120,0,PLE!A$12))</definedName>
    <definedName name="PO.ValoresBDI" hidden="1">OFFSET(ORÇAMENTO!$AH$15,1,0):OFFSET(ORÇAMENTO!$AH$120,-1,0)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1" i="5" l="1"/>
  <c r="V57" i="8"/>
  <c r="U57" i="8"/>
  <c r="T57" i="8"/>
  <c r="V54" i="8"/>
  <c r="U54" i="8"/>
  <c r="T54" i="8"/>
  <c r="V18" i="8"/>
  <c r="U18" i="8"/>
  <c r="T18" i="8"/>
  <c r="A75" i="5"/>
  <c r="AJ55" i="5"/>
  <c r="A41" i="5"/>
  <c r="A119" i="5" l="1"/>
  <c r="A118" i="5"/>
  <c r="A117" i="5"/>
  <c r="A116" i="5"/>
  <c r="AJ109" i="5"/>
  <c r="AJ108" i="5"/>
  <c r="AJ107" i="5"/>
  <c r="AJ97" i="5" l="1"/>
  <c r="AJ94" i="5"/>
  <c r="AJ95" i="5"/>
  <c r="AJ96" i="5"/>
  <c r="A77" i="5"/>
  <c r="A76" i="5"/>
  <c r="A74" i="5"/>
  <c r="A73" i="5"/>
  <c r="A72" i="5"/>
  <c r="A88" i="5"/>
  <c r="A87" i="5"/>
  <c r="A86" i="5"/>
  <c r="A85" i="5"/>
  <c r="A84" i="5"/>
  <c r="A90" i="5"/>
  <c r="A89" i="5"/>
  <c r="A83" i="5"/>
  <c r="A82" i="5"/>
  <c r="A48" i="5" l="1"/>
  <c r="A47" i="5"/>
  <c r="A46" i="5"/>
  <c r="A45" i="5"/>
  <c r="A40" i="5"/>
  <c r="A39" i="5"/>
  <c r="A38" i="5"/>
  <c r="A37" i="5"/>
  <c r="A36" i="5"/>
  <c r="A35" i="5"/>
  <c r="A34" i="5"/>
  <c r="A33" i="5"/>
  <c r="A32" i="5"/>
  <c r="AJ56" i="5" l="1"/>
  <c r="A24" i="5" l="1"/>
  <c r="A23" i="5"/>
  <c r="A21" i="5"/>
  <c r="A115" i="5"/>
  <c r="A114" i="5"/>
  <c r="A113" i="5"/>
  <c r="A112" i="5"/>
  <c r="A111" i="5"/>
  <c r="A110" i="5"/>
  <c r="A102" i="5"/>
  <c r="A101" i="5"/>
  <c r="A100" i="5"/>
  <c r="A99" i="5"/>
  <c r="A98" i="5"/>
  <c r="A97" i="5"/>
  <c r="A96" i="5"/>
  <c r="A95" i="5"/>
  <c r="A109" i="5"/>
  <c r="A108" i="5"/>
  <c r="A107" i="5"/>
  <c r="A106" i="5"/>
  <c r="A105" i="5"/>
  <c r="A104" i="5"/>
  <c r="A103" i="5"/>
  <c r="A94" i="5"/>
  <c r="A93" i="5"/>
  <c r="A27" i="5"/>
  <c r="A26" i="5"/>
  <c r="A25" i="5"/>
  <c r="A22" i="5"/>
  <c r="A92" i="5" l="1"/>
  <c r="A70" i="5"/>
  <c r="A69" i="5"/>
  <c r="A68" i="5"/>
  <c r="A67" i="5"/>
  <c r="A66" i="5"/>
  <c r="A65" i="5"/>
  <c r="A64" i="5"/>
  <c r="A60" i="5" l="1"/>
  <c r="A59" i="5"/>
  <c r="A58" i="5"/>
  <c r="A57" i="5"/>
  <c r="A49" i="5"/>
  <c r="A44" i="5"/>
  <c r="A43" i="5"/>
  <c r="A42" i="5"/>
  <c r="A29" i="5"/>
  <c r="A28" i="5"/>
  <c r="A52" i="5" l="1"/>
  <c r="A51" i="5"/>
  <c r="H23" i="13" l="1"/>
  <c r="G23" i="13"/>
  <c r="H22" i="13"/>
  <c r="G22" i="13"/>
  <c r="E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E23" i="13" s="1"/>
  <c r="J22" i="11"/>
  <c r="I22" i="13" s="1"/>
  <c r="D22" i="11"/>
  <c r="A22" i="1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A18" i="11"/>
  <c r="J17" i="11"/>
  <c r="I17" i="13" s="1"/>
  <c r="D17" i="11"/>
  <c r="E17" i="13" s="1"/>
  <c r="J16" i="11"/>
  <c r="I16" i="13" s="1"/>
  <c r="D16" i="11"/>
  <c r="A16" i="11" s="1"/>
  <c r="J15" i="11"/>
  <c r="I15" i="13" s="1"/>
  <c r="D15" i="11"/>
  <c r="A15" i="11" s="1"/>
  <c r="J14" i="11"/>
  <c r="I14" i="13" s="1"/>
  <c r="D14" i="11"/>
  <c r="E14" i="13" s="1"/>
  <c r="A14" i="8"/>
  <c r="A17" i="8" s="1"/>
  <c r="A20" i="8" s="1"/>
  <c r="B16" i="10"/>
  <c r="B17" i="10" s="1"/>
  <c r="B18" i="10" s="1"/>
  <c r="B16" i="9"/>
  <c r="B17" i="9" s="1"/>
  <c r="B18" i="9" s="1"/>
  <c r="B19" i="9" s="1"/>
  <c r="B20" i="9" s="1"/>
  <c r="C16" i="7"/>
  <c r="B16" i="7" s="1"/>
  <c r="A91" i="5"/>
  <c r="A81" i="5"/>
  <c r="A80" i="5"/>
  <c r="A79" i="5"/>
  <c r="A78" i="5"/>
  <c r="A71" i="5"/>
  <c r="A63" i="5"/>
  <c r="A62" i="5"/>
  <c r="A61" i="5"/>
  <c r="A56" i="5"/>
  <c r="A55" i="5"/>
  <c r="A54" i="5"/>
  <c r="A53" i="5"/>
  <c r="A50" i="5"/>
  <c r="A31" i="5"/>
  <c r="A30" i="5"/>
  <c r="A20" i="5"/>
  <c r="A19" i="5"/>
  <c r="A18" i="5"/>
  <c r="A17" i="5"/>
  <c r="C16" i="5"/>
  <c r="N16" i="5" s="1"/>
  <c r="A16" i="5"/>
  <c r="P7" i="13"/>
  <c r="E28" i="14" s="1"/>
  <c r="C15" i="14"/>
  <c r="L4" i="13"/>
  <c r="I5" i="12"/>
  <c r="F4" i="11"/>
  <c r="D7" i="10"/>
  <c r="J8" i="8"/>
  <c r="L5" i="4"/>
  <c r="C14" i="15"/>
  <c r="C52" i="3"/>
  <c r="G5" i="6" a="1"/>
  <c r="G5" i="6" s="1"/>
  <c r="Q5" i="5" a="1"/>
  <c r="Q5" i="5" s="1"/>
  <c r="F9" i="5"/>
  <c r="F8" i="5"/>
  <c r="F25" i="2"/>
  <c r="P85" i="4" s="1"/>
  <c r="C51" i="3"/>
  <c r="C47" i="3"/>
  <c r="C43" i="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Z13" i="6" s="1"/>
  <c r="AB13" i="6"/>
  <c r="AB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C19" i="3"/>
  <c r="C15" i="3"/>
  <c r="C14" i="3"/>
  <c r="C12" i="3"/>
  <c r="I36" i="11"/>
  <c r="I35" i="11"/>
  <c r="Z178" i="8" a="1"/>
  <c r="T126" i="6" a="1"/>
  <c r="T128" i="6" s="1"/>
  <c r="I126" i="6" a="1"/>
  <c r="I127" i="6" s="1"/>
  <c r="AB13" i="12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B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L39" i="13"/>
  <c r="S107" i="4"/>
  <c r="S109" i="4" s="1"/>
  <c r="I95" i="4" s="1"/>
  <c r="S67" i="4"/>
  <c r="S69" i="4" s="1"/>
  <c r="I92" i="4" s="1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C3" i="4" s="1"/>
  <c r="J5" i="4"/>
  <c r="N5" i="4"/>
  <c r="J8" i="4"/>
  <c r="C14" i="4"/>
  <c r="A15" i="4"/>
  <c r="C15" i="4" s="1"/>
  <c r="A16" i="4"/>
  <c r="C20" i="4"/>
  <c r="A21" i="4"/>
  <c r="A22" i="4" s="1"/>
  <c r="A23" i="4" s="1"/>
  <c r="A24" i="4" s="1"/>
  <c r="A25" i="4" s="1"/>
  <c r="C25" i="4" s="1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A35" i="4" s="1"/>
  <c r="N35" i="4"/>
  <c r="C38" i="4"/>
  <c r="C39" i="4"/>
  <c r="C40" i="4"/>
  <c r="C41" i="4"/>
  <c r="C42" i="4"/>
  <c r="C43" i="4"/>
  <c r="C44" i="4"/>
  <c r="J38" i="4"/>
  <c r="A45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1" i="4" s="1"/>
  <c r="E2" i="12"/>
  <c r="E1" i="12"/>
  <c r="D5" i="12"/>
  <c r="F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129" i="12"/>
  <c r="E130" i="12"/>
  <c r="K132" i="12" a="1"/>
  <c r="K134" i="12" s="1"/>
  <c r="F1" i="6"/>
  <c r="F2" i="6"/>
  <c r="E5" i="6"/>
  <c r="I5" i="6"/>
  <c r="K5" i="6"/>
  <c r="S5" i="6"/>
  <c r="U5" i="6"/>
  <c r="O13" i="6"/>
  <c r="O15" i="6" s="1"/>
  <c r="B15" i="6"/>
  <c r="C15" i="6"/>
  <c r="D15" i="6"/>
  <c r="E15" i="6"/>
  <c r="B120" i="6"/>
  <c r="C120" i="6"/>
  <c r="F124" i="6"/>
  <c r="R4" i="8"/>
  <c r="R5" i="8"/>
  <c r="Y7" i="8"/>
  <c r="AE7" i="8"/>
  <c r="H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8" i="14"/>
  <c r="C19" i="14"/>
  <c r="B22" i="14"/>
  <c r="B24" i="14"/>
  <c r="B30" i="14"/>
  <c r="B54" i="14"/>
  <c r="B55" i="14"/>
  <c r="R2" i="5"/>
  <c r="O5" i="5"/>
  <c r="R5" i="5"/>
  <c r="S5" i="5"/>
  <c r="O130" i="5"/>
  <c r="R7" i="5"/>
  <c r="S7" i="5"/>
  <c r="V7" i="5"/>
  <c r="W7" i="5"/>
  <c r="X7" i="5"/>
  <c r="R8" i="5"/>
  <c r="S8" i="5"/>
  <c r="U13" i="5"/>
  <c r="V13" i="5"/>
  <c r="AH13" i="5"/>
  <c r="M15" i="5"/>
  <c r="N15" i="5"/>
  <c r="O15" i="5"/>
  <c r="O133" i="5"/>
  <c r="T135" i="5" a="1"/>
  <c r="T135" i="5" s="1"/>
  <c r="B1" i="10"/>
  <c r="H4" i="10"/>
  <c r="V6" i="10"/>
  <c r="AE6" i="10"/>
  <c r="B7" i="10"/>
  <c r="H7" i="10"/>
  <c r="O7" i="10"/>
  <c r="V7" i="10"/>
  <c r="AE7" i="10"/>
  <c r="F12" i="10"/>
  <c r="F11" i="10" s="1"/>
  <c r="B75" i="10"/>
  <c r="W77" i="10" a="1"/>
  <c r="W78" i="10" s="1"/>
  <c r="D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127" i="12"/>
  <c r="I15" i="12"/>
  <c r="O15" i="12"/>
  <c r="M15" i="12"/>
  <c r="J15" i="12" s="1"/>
  <c r="C33" i="4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C45" i="4"/>
  <c r="A46" i="4"/>
  <c r="A47" i="4" s="1"/>
  <c r="A48" i="4" s="1"/>
  <c r="C48" i="4" s="1"/>
  <c r="A28" i="4"/>
  <c r="A29" i="4" s="1"/>
  <c r="C29" i="4" s="1"/>
  <c r="C27" i="4"/>
  <c r="A17" i="4"/>
  <c r="A18" i="4" s="1"/>
  <c r="C16" i="4"/>
  <c r="E12" i="13"/>
  <c r="A49" i="4"/>
  <c r="C49" i="4" s="1"/>
  <c r="O8" i="5"/>
  <c r="C34" i="4" l="1"/>
  <c r="F63" i="7"/>
  <c r="K50" i="4"/>
  <c r="W80" i="10"/>
  <c r="K130" i="4"/>
  <c r="A23" i="11"/>
  <c r="A19" i="4"/>
  <c r="C19" i="4" s="1"/>
  <c r="C18" i="4"/>
  <c r="C47" i="4"/>
  <c r="C23" i="4"/>
  <c r="A14" i="11"/>
  <c r="A30" i="4"/>
  <c r="C46" i="4"/>
  <c r="E16" i="13"/>
  <c r="C28" i="4"/>
  <c r="K135" i="12"/>
  <c r="C21" i="4"/>
  <c r="C22" i="4"/>
  <c r="C17" i="4"/>
  <c r="K132" i="4"/>
  <c r="E15" i="13"/>
  <c r="A17" i="11"/>
  <c r="E21" i="13"/>
  <c r="B39" i="14"/>
  <c r="A23" i="8"/>
  <c r="F23" i="7"/>
  <c r="F17" i="7"/>
  <c r="F16" i="7"/>
  <c r="F18" i="7"/>
  <c r="F30" i="7"/>
  <c r="F36" i="7"/>
  <c r="F38" i="7"/>
  <c r="B16" i="5"/>
  <c r="F43" i="7"/>
  <c r="F49" i="7"/>
  <c r="F50" i="7"/>
  <c r="F29" i="7"/>
  <c r="F56" i="7"/>
  <c r="F58" i="7"/>
  <c r="B19" i="10"/>
  <c r="B21" i="9"/>
  <c r="C17" i="7"/>
  <c r="F37" i="7"/>
  <c r="F57" i="7"/>
  <c r="F24" i="7"/>
  <c r="F44" i="7"/>
  <c r="F64" i="7"/>
  <c r="F31" i="7"/>
  <c r="F51" i="7"/>
  <c r="F45" i="7"/>
  <c r="F19" i="7"/>
  <c r="F39" i="7"/>
  <c r="F59" i="7"/>
  <c r="F25" i="7"/>
  <c r="F26" i="7"/>
  <c r="F46" i="7"/>
  <c r="F32" i="7"/>
  <c r="F52" i="7"/>
  <c r="F33" i="7"/>
  <c r="F53" i="7"/>
  <c r="F40" i="7"/>
  <c r="F27" i="7"/>
  <c r="F47" i="7"/>
  <c r="F20" i="7"/>
  <c r="F34" i="7"/>
  <c r="F54" i="7"/>
  <c r="F60" i="7"/>
  <c r="F21" i="7"/>
  <c r="F41" i="7"/>
  <c r="F61" i="7"/>
  <c r="F28" i="7"/>
  <c r="F48" i="7"/>
  <c r="F35" i="7"/>
  <c r="F55" i="7"/>
  <c r="F22" i="7"/>
  <c r="F42" i="7"/>
  <c r="F62" i="7"/>
  <c r="W79" i="10"/>
  <c r="I16" i="5"/>
  <c r="E16" i="12"/>
  <c r="W16" i="5"/>
  <c r="H16" i="12" s="1"/>
  <c r="AE16" i="5"/>
  <c r="F16" i="5"/>
  <c r="C17" i="5"/>
  <c r="W17" i="5" s="1"/>
  <c r="H17" i="12" s="1"/>
  <c r="G16" i="5"/>
  <c r="H16" i="5"/>
  <c r="K132" i="12"/>
  <c r="D16" i="6"/>
  <c r="A16" i="12"/>
  <c r="B16" i="6"/>
  <c r="A16" i="6" s="1"/>
  <c r="T137" i="5"/>
  <c r="B37" i="14"/>
  <c r="C14" i="14"/>
  <c r="O7" i="13"/>
  <c r="T127" i="6"/>
  <c r="P125" i="4"/>
  <c r="H179" i="8"/>
  <c r="I128" i="6"/>
  <c r="I126" i="6"/>
  <c r="AX12" i="6"/>
  <c r="AC13" i="6"/>
  <c r="AN13" i="6"/>
  <c r="B14" i="5"/>
  <c r="F14" i="5"/>
  <c r="I80" i="4"/>
  <c r="G15" i="9"/>
  <c r="M15" i="6"/>
  <c r="L35" i="13"/>
  <c r="F14" i="7"/>
  <c r="F15" i="7"/>
  <c r="A15" i="10" s="1"/>
  <c r="H15" i="10"/>
  <c r="N15" i="12"/>
  <c r="I86" i="4"/>
  <c r="I88" i="4"/>
  <c r="I83" i="4"/>
  <c r="S110" i="4"/>
  <c r="H5" i="5" s="1"/>
  <c r="X8" i="5" s="1"/>
  <c r="I55" i="4"/>
  <c r="I69" i="4"/>
  <c r="I12" i="10"/>
  <c r="H12" i="9"/>
  <c r="I12" i="9" s="1"/>
  <c r="I70" i="4"/>
  <c r="I63" i="4"/>
  <c r="I82" i="4"/>
  <c r="I56" i="4"/>
  <c r="I58" i="4"/>
  <c r="I67" i="4"/>
  <c r="L15" i="12"/>
  <c r="K15" i="12" s="1"/>
  <c r="I72" i="4"/>
  <c r="I60" i="4"/>
  <c r="I78" i="4"/>
  <c r="I71" i="4"/>
  <c r="I66" i="4"/>
  <c r="I116" i="4"/>
  <c r="I79" i="4"/>
  <c r="I130" i="4"/>
  <c r="I76" i="4"/>
  <c r="I122" i="4"/>
  <c r="N10" i="12"/>
  <c r="I104" i="4"/>
  <c r="I119" i="4"/>
  <c r="S30" i="4"/>
  <c r="F5" i="5" s="1"/>
  <c r="AH75" i="5" s="1"/>
  <c r="A36" i="4"/>
  <c r="C35" i="4"/>
  <c r="C30" i="4"/>
  <c r="A31" i="4"/>
  <c r="C31" i="4" s="1"/>
  <c r="AZ12" i="6"/>
  <c r="BA13" i="6"/>
  <c r="I112" i="4"/>
  <c r="I117" i="4"/>
  <c r="I126" i="4"/>
  <c r="I121" i="4"/>
  <c r="I96" i="4"/>
  <c r="I109" i="4"/>
  <c r="I105" i="4"/>
  <c r="I115" i="4"/>
  <c r="I98" i="4"/>
  <c r="I125" i="4"/>
  <c r="I113" i="4"/>
  <c r="I111" i="4"/>
  <c r="I101" i="4"/>
  <c r="I132" i="4"/>
  <c r="I108" i="4"/>
  <c r="I103" i="4"/>
  <c r="I129" i="4"/>
  <c r="I100" i="4"/>
  <c r="I127" i="4"/>
  <c r="I124" i="4"/>
  <c r="I107" i="4"/>
  <c r="I106" i="4"/>
  <c r="I94" i="4"/>
  <c r="I118" i="4"/>
  <c r="I131" i="4"/>
  <c r="I128" i="4"/>
  <c r="I114" i="4"/>
  <c r="I102" i="4"/>
  <c r="I120" i="4"/>
  <c r="I97" i="4"/>
  <c r="I123" i="4"/>
  <c r="C24" i="4"/>
  <c r="I110" i="4"/>
  <c r="I99" i="4"/>
  <c r="Z179" i="8"/>
  <c r="Z180" i="8"/>
  <c r="Z178" i="8"/>
  <c r="P45" i="4"/>
  <c r="K14" i="5"/>
  <c r="J14" i="5"/>
  <c r="H14" i="5"/>
  <c r="A14" i="12"/>
  <c r="D14" i="5"/>
  <c r="B14" i="12" s="1"/>
  <c r="AD14" i="5"/>
  <c r="E14" i="5"/>
  <c r="G14" i="5"/>
  <c r="AE14" i="5"/>
  <c r="N14" i="5"/>
  <c r="I62" i="4"/>
  <c r="I74" i="4"/>
  <c r="I68" i="4"/>
  <c r="I61" i="4"/>
  <c r="I64" i="4"/>
  <c r="I87" i="4"/>
  <c r="I89" i="4"/>
  <c r="I57" i="4"/>
  <c r="I73" i="4"/>
  <c r="I93" i="4"/>
  <c r="I85" i="4"/>
  <c r="I84" i="4"/>
  <c r="I77" i="4"/>
  <c r="I65" i="4"/>
  <c r="I54" i="4"/>
  <c r="I59" i="4"/>
  <c r="I90" i="4"/>
  <c r="I81" i="4"/>
  <c r="I75" i="4"/>
  <c r="I91" i="4"/>
  <c r="E133" i="12"/>
  <c r="B78" i="10"/>
  <c r="F127" i="6"/>
  <c r="O136" i="5"/>
  <c r="D36" i="11"/>
  <c r="M8" i="12"/>
  <c r="AO7" i="12"/>
  <c r="AY12" i="6"/>
  <c r="W77" i="10"/>
  <c r="A4" i="4"/>
  <c r="K51" i="4"/>
  <c r="K133" i="12"/>
  <c r="S70" i="4"/>
  <c r="G5" i="5" s="1"/>
  <c r="W8" i="5" s="1"/>
  <c r="K91" i="4"/>
  <c r="T126" i="6"/>
  <c r="K90" i="4"/>
  <c r="T136" i="5"/>
  <c r="AH41" i="5" l="1"/>
  <c r="AH116" i="5"/>
  <c r="AH117" i="5"/>
  <c r="AH118" i="5"/>
  <c r="AH119" i="5"/>
  <c r="AH72" i="5"/>
  <c r="AH73" i="5"/>
  <c r="AH74" i="5"/>
  <c r="AH76" i="5"/>
  <c r="AH77" i="5"/>
  <c r="AH84" i="5"/>
  <c r="AH85" i="5"/>
  <c r="AH86" i="5"/>
  <c r="AH87" i="5"/>
  <c r="AH88" i="5"/>
  <c r="AH82" i="5"/>
  <c r="AH83" i="5"/>
  <c r="AH89" i="5"/>
  <c r="AH90" i="5"/>
  <c r="AH45" i="5"/>
  <c r="AH46" i="5"/>
  <c r="AH47" i="5"/>
  <c r="AH48" i="5"/>
  <c r="AH37" i="5"/>
  <c r="AH38" i="5"/>
  <c r="AH39" i="5"/>
  <c r="AH40" i="5"/>
  <c r="AH32" i="5"/>
  <c r="AH33" i="5"/>
  <c r="AH34" i="5"/>
  <c r="AH35" i="5"/>
  <c r="AH36" i="5"/>
  <c r="AH21" i="5"/>
  <c r="AH24" i="5"/>
  <c r="AH23" i="5"/>
  <c r="AH111" i="5"/>
  <c r="AH112" i="5"/>
  <c r="AH113" i="5"/>
  <c r="AH114" i="5"/>
  <c r="AH115" i="5"/>
  <c r="AH110" i="5"/>
  <c r="AH96" i="5"/>
  <c r="AH97" i="5"/>
  <c r="AH98" i="5"/>
  <c r="AH99" i="5"/>
  <c r="AH100" i="5"/>
  <c r="AH101" i="5"/>
  <c r="AH102" i="5"/>
  <c r="AH95" i="5"/>
  <c r="AH103" i="5"/>
  <c r="AH104" i="5"/>
  <c r="AH105" i="5"/>
  <c r="AH106" i="5"/>
  <c r="AH107" i="5"/>
  <c r="AH108" i="5"/>
  <c r="AH93" i="5"/>
  <c r="AH109" i="5"/>
  <c r="AH94" i="5"/>
  <c r="AH22" i="5"/>
  <c r="AN22" i="5" s="1"/>
  <c r="AH25" i="5"/>
  <c r="AH26" i="5"/>
  <c r="AH27" i="5"/>
  <c r="AH92" i="5"/>
  <c r="AH66" i="5"/>
  <c r="AN66" i="5" s="1"/>
  <c r="AH67" i="5"/>
  <c r="AH68" i="5"/>
  <c r="AN68" i="5" s="1"/>
  <c r="AH69" i="5"/>
  <c r="AH64" i="5"/>
  <c r="AH70" i="5"/>
  <c r="AH65" i="5"/>
  <c r="AH57" i="5"/>
  <c r="AN57" i="5" s="1"/>
  <c r="AH58" i="5"/>
  <c r="AH59" i="5"/>
  <c r="AH60" i="5"/>
  <c r="AH43" i="5"/>
  <c r="AH44" i="5"/>
  <c r="AH49" i="5"/>
  <c r="AH42" i="5"/>
  <c r="AN42" i="5" s="1"/>
  <c r="AH28" i="5"/>
  <c r="AH29" i="5"/>
  <c r="AH51" i="5"/>
  <c r="AH52" i="5"/>
  <c r="E16" i="5"/>
  <c r="E17" i="5" s="1"/>
  <c r="F16" i="6"/>
  <c r="B42" i="14"/>
  <c r="A26" i="8"/>
  <c r="F17" i="5"/>
  <c r="AE17" i="5"/>
  <c r="H17" i="5"/>
  <c r="B17" i="7"/>
  <c r="C18" i="7"/>
  <c r="B22" i="9"/>
  <c r="B20" i="10"/>
  <c r="B17" i="5"/>
  <c r="G17" i="5"/>
  <c r="E17" i="12"/>
  <c r="I17" i="5"/>
  <c r="N17" i="5"/>
  <c r="D17" i="6" s="1"/>
  <c r="B17" i="6"/>
  <c r="A17" i="6" s="1"/>
  <c r="C18" i="5"/>
  <c r="A17" i="12"/>
  <c r="AD16" i="5"/>
  <c r="AN16" i="6"/>
  <c r="AM16" i="6"/>
  <c r="BG16" i="6"/>
  <c r="BF16" i="6"/>
  <c r="BE16" i="6"/>
  <c r="BC16" i="6"/>
  <c r="BB16" i="6"/>
  <c r="BA16" i="6"/>
  <c r="AZ16" i="6"/>
  <c r="AY16" i="6"/>
  <c r="AX16" i="6"/>
  <c r="BD16" i="6"/>
  <c r="AS16" i="6"/>
  <c r="AR16" i="6"/>
  <c r="AQ16" i="6"/>
  <c r="AP16" i="6"/>
  <c r="AO16" i="6"/>
  <c r="N16" i="6"/>
  <c r="AU16" i="6"/>
  <c r="AT16" i="6"/>
  <c r="M16" i="6"/>
  <c r="AV16" i="6"/>
  <c r="H16" i="6"/>
  <c r="T16" i="5" s="1"/>
  <c r="G16" i="12" s="1"/>
  <c r="G16" i="6"/>
  <c r="AH78" i="5"/>
  <c r="AH80" i="5"/>
  <c r="AH63" i="5"/>
  <c r="AH61" i="5"/>
  <c r="AN61" i="5" s="1"/>
  <c r="AH79" i="5"/>
  <c r="AH62" i="5"/>
  <c r="AH91" i="5"/>
  <c r="AH56" i="5"/>
  <c r="AH55" i="5"/>
  <c r="AH19" i="5"/>
  <c r="AH54" i="5"/>
  <c r="AH53" i="5"/>
  <c r="AN53" i="5" s="1"/>
  <c r="AH17" i="5"/>
  <c r="AN17" i="5" s="1"/>
  <c r="AH71" i="5"/>
  <c r="AH31" i="5"/>
  <c r="AH81" i="5"/>
  <c r="AH16" i="5"/>
  <c r="AN16" i="5" s="1"/>
  <c r="AH18" i="5"/>
  <c r="AH50" i="5"/>
  <c r="AH30" i="5"/>
  <c r="AH20" i="5"/>
  <c r="AC12" i="6"/>
  <c r="AD13" i="6"/>
  <c r="H11" i="9"/>
  <c r="AO13" i="6"/>
  <c r="AN12" i="6"/>
  <c r="B8" i="14"/>
  <c r="I10" i="13"/>
  <c r="I11" i="9"/>
  <c r="J12" i="9"/>
  <c r="I11" i="10"/>
  <c r="J12" i="10"/>
  <c r="AH14" i="5"/>
  <c r="V8" i="5"/>
  <c r="D14" i="6"/>
  <c r="BB13" i="6"/>
  <c r="C4" i="4"/>
  <c r="A5" i="4"/>
  <c r="J14" i="12"/>
  <c r="L14" i="12"/>
  <c r="C36" i="4"/>
  <c r="A37" i="4"/>
  <c r="C37" i="4" s="1"/>
  <c r="A18" i="12" l="1"/>
  <c r="J18" i="12" s="1"/>
  <c r="A14" i="13"/>
  <c r="B14" i="11"/>
  <c r="G14" i="11" s="1"/>
  <c r="F14" i="13" s="1"/>
  <c r="AD18" i="5"/>
  <c r="AE18" i="5"/>
  <c r="N18" i="5"/>
  <c r="D18" i="6" s="1"/>
  <c r="F17" i="6"/>
  <c r="D18" i="5"/>
  <c r="B18" i="12" s="1"/>
  <c r="H18" i="5"/>
  <c r="AD17" i="5"/>
  <c r="A29" i="8"/>
  <c r="C19" i="7"/>
  <c r="B18" i="7"/>
  <c r="F18" i="5"/>
  <c r="J18" i="5"/>
  <c r="K18" i="5"/>
  <c r="B18" i="5"/>
  <c r="B18" i="6"/>
  <c r="G18" i="5"/>
  <c r="B21" i="10"/>
  <c r="C19" i="5"/>
  <c r="B23" i="9"/>
  <c r="AC16" i="6"/>
  <c r="E18" i="5"/>
  <c r="AN17" i="6"/>
  <c r="AM17" i="6"/>
  <c r="BG17" i="6"/>
  <c r="BF17" i="6"/>
  <c r="BE17" i="6"/>
  <c r="BC17" i="6"/>
  <c r="BB17" i="6"/>
  <c r="BA17" i="6"/>
  <c r="AZ17" i="6"/>
  <c r="AY17" i="6"/>
  <c r="AX17" i="6"/>
  <c r="AU17" i="6"/>
  <c r="AT17" i="6"/>
  <c r="AS17" i="6"/>
  <c r="AR17" i="6"/>
  <c r="AQ17" i="6"/>
  <c r="AP17" i="6"/>
  <c r="AO17" i="6"/>
  <c r="BD17" i="6"/>
  <c r="AV17" i="6"/>
  <c r="N17" i="6"/>
  <c r="M17" i="6"/>
  <c r="H17" i="6"/>
  <c r="T17" i="5" s="1"/>
  <c r="G17" i="12" s="1"/>
  <c r="G17" i="6"/>
  <c r="AB16" i="6"/>
  <c r="AE13" i="6"/>
  <c r="AF13" i="6" s="1"/>
  <c r="AD12" i="6"/>
  <c r="AD16" i="6" s="1"/>
  <c r="AO12" i="6"/>
  <c r="AP13" i="6"/>
  <c r="K12" i="10"/>
  <c r="J11" i="10"/>
  <c r="K12" i="9"/>
  <c r="W14" i="5"/>
  <c r="H14" i="12" s="1"/>
  <c r="AN14" i="5"/>
  <c r="BC13" i="6"/>
  <c r="BB12" i="6"/>
  <c r="A14" i="6"/>
  <c r="N14" i="6" s="1"/>
  <c r="K14" i="12"/>
  <c r="C5" i="4"/>
  <c r="A6" i="4"/>
  <c r="AC3" i="6"/>
  <c r="L18" i="12" l="1"/>
  <c r="K18" i="12" s="1"/>
  <c r="C14" i="13"/>
  <c r="K14" i="13" s="1"/>
  <c r="K14" i="11"/>
  <c r="J14" i="13" s="1"/>
  <c r="F19" i="5"/>
  <c r="D19" i="5"/>
  <c r="B19" i="12" s="1"/>
  <c r="J19" i="5"/>
  <c r="A19" i="12"/>
  <c r="L19" i="12" s="1"/>
  <c r="E19" i="5"/>
  <c r="AD19" i="5"/>
  <c r="B19" i="6"/>
  <c r="A18" i="6"/>
  <c r="N18" i="6" s="1"/>
  <c r="A32" i="8"/>
  <c r="AC17" i="6"/>
  <c r="G19" i="5"/>
  <c r="H19" i="5"/>
  <c r="K19" i="5"/>
  <c r="AB17" i="6"/>
  <c r="AE19" i="5"/>
  <c r="B19" i="5"/>
  <c r="B22" i="10"/>
  <c r="B24" i="9"/>
  <c r="N19" i="5"/>
  <c r="D19" i="6" s="1"/>
  <c r="C20" i="7"/>
  <c r="B19" i="7"/>
  <c r="H18" i="6"/>
  <c r="T18" i="5" s="1"/>
  <c r="AD17" i="6"/>
  <c r="AD3" i="6"/>
  <c r="AB3" i="6"/>
  <c r="AQ13" i="6"/>
  <c r="L12" i="9"/>
  <c r="K11" i="9"/>
  <c r="M14" i="6"/>
  <c r="AX14" i="6" s="1"/>
  <c r="L12" i="10"/>
  <c r="AF12" i="6"/>
  <c r="AG13" i="6"/>
  <c r="A7" i="4"/>
  <c r="C7" i="4" s="1"/>
  <c r="C6" i="4"/>
  <c r="BC12" i="6"/>
  <c r="BD13" i="6"/>
  <c r="J19" i="12" l="1"/>
  <c r="K19" i="12" s="1"/>
  <c r="M18" i="6"/>
  <c r="BC18" i="6" s="1"/>
  <c r="A35" i="8"/>
  <c r="C21" i="7"/>
  <c r="B20" i="7"/>
  <c r="B25" i="9"/>
  <c r="B23" i="10"/>
  <c r="AF16" i="6"/>
  <c r="AF17" i="6"/>
  <c r="H19" i="6"/>
  <c r="T19" i="5" s="1"/>
  <c r="A19" i="6"/>
  <c r="G18" i="12"/>
  <c r="AO14" i="6"/>
  <c r="BD14" i="6"/>
  <c r="AQ12" i="6"/>
  <c r="AR13" i="6"/>
  <c r="AR14" i="6" s="1"/>
  <c r="BE14" i="6"/>
  <c r="AZ14" i="6"/>
  <c r="BC14" i="6"/>
  <c r="BA14" i="6"/>
  <c r="AP14" i="6"/>
  <c r="AQ14" i="6"/>
  <c r="AN14" i="6"/>
  <c r="AM14" i="6"/>
  <c r="AY14" i="6"/>
  <c r="BF14" i="6"/>
  <c r="BG14" i="6"/>
  <c r="L11" i="9"/>
  <c r="M12" i="9"/>
  <c r="BB14" i="6"/>
  <c r="L11" i="10"/>
  <c r="M12" i="10"/>
  <c r="AH13" i="6"/>
  <c r="AG12" i="6"/>
  <c r="BD12" i="6"/>
  <c r="BE13" i="6"/>
  <c r="Z69" i="4"/>
  <c r="Y29" i="4"/>
  <c r="Z21" i="4"/>
  <c r="Y64" i="4"/>
  <c r="X21" i="4"/>
  <c r="Y24" i="4"/>
  <c r="X103" i="4"/>
  <c r="Y102" i="4"/>
  <c r="Y101" i="4"/>
  <c r="Y21" i="4"/>
  <c r="X105" i="4"/>
  <c r="Y103" i="4"/>
  <c r="Z62" i="4"/>
  <c r="X29" i="4"/>
  <c r="X109" i="4"/>
  <c r="X101" i="4"/>
  <c r="Z23" i="4"/>
  <c r="Y62" i="4"/>
  <c r="X62" i="4"/>
  <c r="Z109" i="4"/>
  <c r="Z103" i="4"/>
  <c r="Z102" i="4"/>
  <c r="Z24" i="4"/>
  <c r="X61" i="4"/>
  <c r="Z63" i="4"/>
  <c r="X23" i="4"/>
  <c r="X65" i="4"/>
  <c r="Z105" i="4"/>
  <c r="Y104" i="4"/>
  <c r="Z61" i="4"/>
  <c r="Z29" i="4"/>
  <c r="Y65" i="4"/>
  <c r="Y109" i="4"/>
  <c r="Z104" i="4"/>
  <c r="Y69" i="4"/>
  <c r="X25" i="4"/>
  <c r="Z25" i="4"/>
  <c r="X22" i="4"/>
  <c r="X63" i="4"/>
  <c r="Y25" i="4"/>
  <c r="Y22" i="4"/>
  <c r="Z65" i="4"/>
  <c r="X69" i="4"/>
  <c r="U69" i="4" s="1"/>
  <c r="Y61" i="4"/>
  <c r="X102" i="4"/>
  <c r="X104" i="4"/>
  <c r="X64" i="4"/>
  <c r="Y105" i="4"/>
  <c r="Y63" i="4"/>
  <c r="Z22" i="4"/>
  <c r="Z101" i="4"/>
  <c r="Z64" i="4"/>
  <c r="X24" i="4"/>
  <c r="Y23" i="4"/>
  <c r="AN18" i="6" l="1"/>
  <c r="AP18" i="6"/>
  <c r="AC18" i="6"/>
  <c r="BE18" i="6"/>
  <c r="AZ18" i="6"/>
  <c r="AB18" i="6"/>
  <c r="AY18" i="6"/>
  <c r="BA18" i="6"/>
  <c r="AF18" i="6"/>
  <c r="AO18" i="6"/>
  <c r="AX18" i="6"/>
  <c r="M19" i="6"/>
  <c r="AG19" i="6" s="1"/>
  <c r="AQ18" i="6"/>
  <c r="BD18" i="6"/>
  <c r="AD18" i="6"/>
  <c r="AM18" i="6"/>
  <c r="A38" i="8"/>
  <c r="BB18" i="6"/>
  <c r="AR18" i="6"/>
  <c r="B24" i="10"/>
  <c r="B26" i="9"/>
  <c r="C22" i="7"/>
  <c r="B21" i="7"/>
  <c r="N19" i="6"/>
  <c r="AG16" i="6"/>
  <c r="AG17" i="6"/>
  <c r="AG18" i="6"/>
  <c r="G19" i="12"/>
  <c r="U109" i="4"/>
  <c r="K112" i="4" s="1"/>
  <c r="AS13" i="6"/>
  <c r="AS18" i="6" s="1"/>
  <c r="AR12" i="6"/>
  <c r="M11" i="10"/>
  <c r="N12" i="10"/>
  <c r="M11" i="9"/>
  <c r="N12" i="9"/>
  <c r="AH12" i="6"/>
  <c r="AI13" i="6"/>
  <c r="U29" i="4"/>
  <c r="J72" i="4"/>
  <c r="K72" i="4"/>
  <c r="BF13" i="6"/>
  <c r="BF18" i="6" s="1"/>
  <c r="BE12" i="6"/>
  <c r="AQ19" i="6" l="1"/>
  <c r="BB19" i="6"/>
  <c r="AZ19" i="6"/>
  <c r="AX19" i="6"/>
  <c r="AC19" i="6"/>
  <c r="AY19" i="6"/>
  <c r="BA19" i="6"/>
  <c r="AF19" i="6"/>
  <c r="AB19" i="6"/>
  <c r="AD19" i="6"/>
  <c r="BE19" i="6"/>
  <c r="BD19" i="6"/>
  <c r="AP19" i="6"/>
  <c r="AM19" i="6"/>
  <c r="AO19" i="6"/>
  <c r="AR19" i="6"/>
  <c r="AN19" i="6"/>
  <c r="BC19" i="6"/>
  <c r="A41" i="8"/>
  <c r="B27" i="9"/>
  <c r="B22" i="7"/>
  <c r="C23" i="7"/>
  <c r="AS19" i="6"/>
  <c r="B25" i="10"/>
  <c r="BF19" i="6"/>
  <c r="AH16" i="6"/>
  <c r="AH17" i="6"/>
  <c r="AH18" i="6"/>
  <c r="AH19" i="6"/>
  <c r="J112" i="4"/>
  <c r="AS14" i="6"/>
  <c r="AT13" i="6"/>
  <c r="AS12" i="6"/>
  <c r="O12" i="9"/>
  <c r="N11" i="9"/>
  <c r="O12" i="10"/>
  <c r="N11" i="10"/>
  <c r="AI12" i="6"/>
  <c r="AJ13" i="6"/>
  <c r="K32" i="4"/>
  <c r="J32" i="4"/>
  <c r="BG13" i="6"/>
  <c r="BF12" i="6"/>
  <c r="C20" i="5" l="1"/>
  <c r="A44" i="8"/>
  <c r="B26" i="10"/>
  <c r="B23" i="7"/>
  <c r="C24" i="7"/>
  <c r="B28" i="9"/>
  <c r="AI16" i="6"/>
  <c r="AI17" i="6"/>
  <c r="AI18" i="6"/>
  <c r="AI19" i="6"/>
  <c r="AT18" i="6"/>
  <c r="AT19" i="6"/>
  <c r="BG18" i="6"/>
  <c r="BG19" i="6"/>
  <c r="AT12" i="6"/>
  <c r="AU13" i="6"/>
  <c r="AT14" i="6"/>
  <c r="P12" i="10"/>
  <c r="O11" i="10"/>
  <c r="O11" i="9"/>
  <c r="P12" i="9"/>
  <c r="AJ12" i="6"/>
  <c r="AK13" i="6"/>
  <c r="AK12" i="6" s="1"/>
  <c r="BG12" i="6"/>
  <c r="C21" i="5" l="1"/>
  <c r="K20" i="5"/>
  <c r="B20" i="6"/>
  <c r="AE20" i="5"/>
  <c r="F20" i="5"/>
  <c r="J20" i="5"/>
  <c r="H20" i="5"/>
  <c r="E20" i="5"/>
  <c r="A20" i="12"/>
  <c r="B20" i="5"/>
  <c r="G20" i="5"/>
  <c r="AD20" i="5"/>
  <c r="D20" i="5"/>
  <c r="B20" i="12" s="1"/>
  <c r="N20" i="5"/>
  <c r="D20" i="6" s="1"/>
  <c r="A47" i="8"/>
  <c r="C25" i="7"/>
  <c r="B24" i="7"/>
  <c r="B27" i="10"/>
  <c r="B29" i="9"/>
  <c r="AK16" i="6"/>
  <c r="AK17" i="6"/>
  <c r="AK18" i="6"/>
  <c r="AK19" i="6"/>
  <c r="AJ16" i="6"/>
  <c r="AJ17" i="6"/>
  <c r="AJ18" i="6"/>
  <c r="AJ19" i="6"/>
  <c r="AU18" i="6"/>
  <c r="AU19" i="6"/>
  <c r="AU12" i="6"/>
  <c r="AV13" i="6"/>
  <c r="AU14" i="6"/>
  <c r="Q12" i="9"/>
  <c r="P11" i="9"/>
  <c r="Q12" i="10"/>
  <c r="P11" i="10"/>
  <c r="K21" i="5" l="1"/>
  <c r="J21" i="5"/>
  <c r="AE21" i="5"/>
  <c r="AD21" i="5"/>
  <c r="H21" i="5"/>
  <c r="A21" i="12"/>
  <c r="G21" i="5"/>
  <c r="N21" i="5"/>
  <c r="F21" i="5"/>
  <c r="E21" i="5"/>
  <c r="D21" i="5"/>
  <c r="B21" i="12" s="1"/>
  <c r="B21" i="5"/>
  <c r="B21" i="6"/>
  <c r="A20" i="6"/>
  <c r="N20" i="6" s="1"/>
  <c r="H20" i="6"/>
  <c r="L20" i="12"/>
  <c r="J20" i="12"/>
  <c r="A50" i="8"/>
  <c r="B30" i="9"/>
  <c r="B28" i="10"/>
  <c r="C26" i="7"/>
  <c r="B25" i="7"/>
  <c r="AV18" i="6"/>
  <c r="AV19" i="6"/>
  <c r="AV12" i="6"/>
  <c r="AV14" i="6"/>
  <c r="Q11" i="10"/>
  <c r="R12" i="10"/>
  <c r="R12" i="9"/>
  <c r="Q11" i="9"/>
  <c r="C22" i="5" l="1"/>
  <c r="W22" i="5" s="1"/>
  <c r="H22" i="12" s="1"/>
  <c r="D21" i="6"/>
  <c r="A21" i="6" s="1"/>
  <c r="L21" i="12"/>
  <c r="J21" i="12"/>
  <c r="M20" i="6"/>
  <c r="AN20" i="6" s="1"/>
  <c r="K20" i="12"/>
  <c r="T20" i="5"/>
  <c r="G20" i="12" s="1"/>
  <c r="A53" i="8"/>
  <c r="B29" i="10"/>
  <c r="C27" i="7"/>
  <c r="B26" i="7"/>
  <c r="B31" i="9"/>
  <c r="R11" i="9"/>
  <c r="S12" i="9"/>
  <c r="R11" i="10"/>
  <c r="S12" i="10"/>
  <c r="E22" i="5" l="1"/>
  <c r="F22" i="5"/>
  <c r="AD22" i="5"/>
  <c r="G22" i="5"/>
  <c r="H22" i="5"/>
  <c r="B22" i="5"/>
  <c r="N22" i="5"/>
  <c r="D22" i="6" s="1"/>
  <c r="H22" i="6" s="1"/>
  <c r="T22" i="5" s="1"/>
  <c r="G22" i="12" s="1"/>
  <c r="A22" i="12"/>
  <c r="AE22" i="5"/>
  <c r="C23" i="5"/>
  <c r="K21" i="12"/>
  <c r="B22" i="6"/>
  <c r="A22" i="6" s="1"/>
  <c r="N21" i="6"/>
  <c r="M21" i="6"/>
  <c r="BG21" i="6" s="1"/>
  <c r="H21" i="6"/>
  <c r="T21" i="5" s="1"/>
  <c r="F22" i="6"/>
  <c r="E22" i="12"/>
  <c r="AZ20" i="6"/>
  <c r="BB20" i="6"/>
  <c r="AM20" i="6"/>
  <c r="AO20" i="6"/>
  <c r="AQ20" i="6"/>
  <c r="AR20" i="6"/>
  <c r="AT20" i="6"/>
  <c r="BE20" i="6"/>
  <c r="AS20" i="6"/>
  <c r="AU20" i="6"/>
  <c r="BG20" i="6"/>
  <c r="AP20" i="6"/>
  <c r="BC20" i="6"/>
  <c r="AX20" i="6"/>
  <c r="BF20" i="6"/>
  <c r="BD20" i="6"/>
  <c r="AI20" i="6"/>
  <c r="AV20" i="6"/>
  <c r="BA20" i="6"/>
  <c r="AY20" i="6"/>
  <c r="AH20" i="6"/>
  <c r="AC20" i="6"/>
  <c r="AG20" i="6"/>
  <c r="AK20" i="6"/>
  <c r="AB20" i="6"/>
  <c r="AD20" i="6"/>
  <c r="AF20" i="6"/>
  <c r="AJ20" i="6"/>
  <c r="A56" i="8"/>
  <c r="B30" i="10"/>
  <c r="B32" i="9"/>
  <c r="C28" i="7"/>
  <c r="B27" i="7"/>
  <c r="T12" i="10"/>
  <c r="S11" i="10"/>
  <c r="S11" i="9"/>
  <c r="T12" i="9"/>
  <c r="G22" i="6" l="1"/>
  <c r="AD23" i="5"/>
  <c r="H23" i="5"/>
  <c r="G23" i="5"/>
  <c r="D23" i="5"/>
  <c r="B23" i="12" s="1"/>
  <c r="J23" i="5"/>
  <c r="AE23" i="5"/>
  <c r="F23" i="5"/>
  <c r="E23" i="5"/>
  <c r="B23" i="5"/>
  <c r="C24" i="5"/>
  <c r="K23" i="5"/>
  <c r="B23" i="6"/>
  <c r="A23" i="12"/>
  <c r="N23" i="5"/>
  <c r="BB21" i="6"/>
  <c r="AQ21" i="6"/>
  <c r="AK21" i="6"/>
  <c r="BC21" i="6"/>
  <c r="AR21" i="6"/>
  <c r="AM21" i="6"/>
  <c r="AB21" i="6"/>
  <c r="BD21" i="6"/>
  <c r="AS21" i="6"/>
  <c r="AN21" i="6"/>
  <c r="AG21" i="6"/>
  <c r="BE21" i="6"/>
  <c r="AC21" i="6"/>
  <c r="AF21" i="6"/>
  <c r="AT21" i="6"/>
  <c r="AJ21" i="6"/>
  <c r="AY21" i="6"/>
  <c r="AO21" i="6"/>
  <c r="AD21" i="6"/>
  <c r="BF21" i="6"/>
  <c r="AU21" i="6"/>
  <c r="AH21" i="6"/>
  <c r="AX21" i="6"/>
  <c r="AZ21" i="6"/>
  <c r="G21" i="12"/>
  <c r="AV21" i="6"/>
  <c r="AI21" i="6"/>
  <c r="AP21" i="6"/>
  <c r="BA21" i="6"/>
  <c r="N22" i="6"/>
  <c r="M22" i="6"/>
  <c r="A59" i="8"/>
  <c r="B33" i="9"/>
  <c r="C29" i="7"/>
  <c r="B28" i="7"/>
  <c r="B31" i="10"/>
  <c r="U12" i="10"/>
  <c r="T11" i="10"/>
  <c r="T11" i="9"/>
  <c r="U12" i="9"/>
  <c r="D23" i="6" l="1"/>
  <c r="A23" i="6" s="1"/>
  <c r="L23" i="12"/>
  <c r="J23" i="12"/>
  <c r="J24" i="5"/>
  <c r="AE24" i="5"/>
  <c r="D24" i="5"/>
  <c r="B24" i="12" s="1"/>
  <c r="B24" i="6"/>
  <c r="AD24" i="5"/>
  <c r="H24" i="5"/>
  <c r="G24" i="5"/>
  <c r="F24" i="5"/>
  <c r="A24" i="12"/>
  <c r="E24" i="5"/>
  <c r="B24" i="5"/>
  <c r="N24" i="5"/>
  <c r="K24" i="5"/>
  <c r="C25" i="5"/>
  <c r="BC22" i="6"/>
  <c r="AT22" i="6"/>
  <c r="BB22" i="6"/>
  <c r="AS22" i="6"/>
  <c r="BA22" i="6"/>
  <c r="AR22" i="6"/>
  <c r="AZ22" i="6"/>
  <c r="AQ22" i="6"/>
  <c r="AY22" i="6"/>
  <c r="BG22" i="6"/>
  <c r="AG22" i="6"/>
  <c r="AP22" i="6"/>
  <c r="AX22" i="6"/>
  <c r="BF22" i="6"/>
  <c r="BE22" i="6"/>
  <c r="AV22" i="6"/>
  <c r="AO22" i="6"/>
  <c r="AN22" i="6"/>
  <c r="BD22" i="6"/>
  <c r="AU22" i="6"/>
  <c r="AM22" i="6"/>
  <c r="AC22" i="6"/>
  <c r="AI22" i="6"/>
  <c r="AK22" i="6"/>
  <c r="AD22" i="6"/>
  <c r="AF22" i="6"/>
  <c r="AH22" i="6"/>
  <c r="AB22" i="6"/>
  <c r="AJ22" i="6"/>
  <c r="A62" i="8"/>
  <c r="B34" i="9"/>
  <c r="B32" i="10"/>
  <c r="B29" i="7"/>
  <c r="C30" i="7"/>
  <c r="V12" i="10"/>
  <c r="U11" i="10"/>
  <c r="V12" i="9"/>
  <c r="U11" i="9"/>
  <c r="K23" i="12" l="1"/>
  <c r="L24" i="12"/>
  <c r="J24" i="12"/>
  <c r="N23" i="6"/>
  <c r="M23" i="6"/>
  <c r="AV23" i="6" s="1"/>
  <c r="H23" i="6"/>
  <c r="T23" i="5" s="1"/>
  <c r="D24" i="6"/>
  <c r="A24" i="6" s="1"/>
  <c r="H25" i="5"/>
  <c r="A25" i="12"/>
  <c r="G25" i="5"/>
  <c r="F25" i="5"/>
  <c r="AD25" i="5"/>
  <c r="E25" i="5"/>
  <c r="K25" i="5"/>
  <c r="AE25" i="5"/>
  <c r="D25" i="5"/>
  <c r="B25" i="12" s="1"/>
  <c r="B25" i="6"/>
  <c r="C26" i="5"/>
  <c r="N25" i="5"/>
  <c r="D25" i="6" s="1"/>
  <c r="J25" i="5"/>
  <c r="B25" i="5"/>
  <c r="A65" i="8"/>
  <c r="B33" i="10"/>
  <c r="B35" i="9"/>
  <c r="B30" i="7"/>
  <c r="C31" i="7"/>
  <c r="W12" i="9"/>
  <c r="V11" i="9"/>
  <c r="W12" i="10"/>
  <c r="V11" i="10"/>
  <c r="K24" i="12" l="1"/>
  <c r="AK23" i="6"/>
  <c r="J25" i="12"/>
  <c r="L25" i="12"/>
  <c r="BC23" i="6"/>
  <c r="AR23" i="6"/>
  <c r="AM23" i="6"/>
  <c r="AU23" i="6"/>
  <c r="BD23" i="6"/>
  <c r="AB23" i="6"/>
  <c r="AN23" i="6"/>
  <c r="AS23" i="6"/>
  <c r="AF23" i="6"/>
  <c r="BE23" i="6"/>
  <c r="AC23" i="6"/>
  <c r="N24" i="6"/>
  <c r="M24" i="6"/>
  <c r="AU24" i="6" s="1"/>
  <c r="H24" i="6"/>
  <c r="T24" i="5" s="1"/>
  <c r="AX23" i="6"/>
  <c r="AT23" i="6"/>
  <c r="BB23" i="6"/>
  <c r="H25" i="6"/>
  <c r="AG23" i="6"/>
  <c r="AO23" i="6"/>
  <c r="AD26" i="5"/>
  <c r="H26" i="5"/>
  <c r="G26" i="5"/>
  <c r="B26" i="6"/>
  <c r="F26" i="5"/>
  <c r="K26" i="5"/>
  <c r="E26" i="5"/>
  <c r="D26" i="5"/>
  <c r="B26" i="12" s="1"/>
  <c r="B26" i="5"/>
  <c r="C27" i="5"/>
  <c r="A26" i="12"/>
  <c r="N26" i="5"/>
  <c r="D26" i="6" s="1"/>
  <c r="J26" i="5"/>
  <c r="AE26" i="5"/>
  <c r="AY23" i="6"/>
  <c r="BF23" i="6"/>
  <c r="AQ23" i="6"/>
  <c r="A25" i="6"/>
  <c r="N25" i="6" s="1"/>
  <c r="AH23" i="6"/>
  <c r="AD23" i="6"/>
  <c r="G23" i="12"/>
  <c r="AZ23" i="6"/>
  <c r="AI23" i="6"/>
  <c r="AP23" i="6"/>
  <c r="BA23" i="6"/>
  <c r="BG23" i="6"/>
  <c r="AJ23" i="6"/>
  <c r="A68" i="8"/>
  <c r="C32" i="7"/>
  <c r="B31" i="7"/>
  <c r="B36" i="9"/>
  <c r="B34" i="10"/>
  <c r="W11" i="10"/>
  <c r="X12" i="10"/>
  <c r="W11" i="9"/>
  <c r="X12" i="9"/>
  <c r="AV24" i="6" l="1"/>
  <c r="K25" i="12"/>
  <c r="AO24" i="6"/>
  <c r="BF24" i="6"/>
  <c r="AF24" i="6"/>
  <c r="G24" i="12"/>
  <c r="AX24" i="6"/>
  <c r="AP24" i="6"/>
  <c r="AG24" i="6"/>
  <c r="M25" i="6"/>
  <c r="BG24" i="6"/>
  <c r="AY24" i="6"/>
  <c r="AH24" i="6"/>
  <c r="H26" i="6"/>
  <c r="T25" i="5"/>
  <c r="G25" i="12" s="1"/>
  <c r="AQ24" i="6"/>
  <c r="AZ24" i="6"/>
  <c r="L26" i="12"/>
  <c r="J26" i="12"/>
  <c r="AM24" i="6"/>
  <c r="F27" i="5"/>
  <c r="E27" i="5"/>
  <c r="D27" i="5"/>
  <c r="B27" i="12" s="1"/>
  <c r="B27" i="6"/>
  <c r="N27" i="5"/>
  <c r="D27" i="6" s="1"/>
  <c r="K27" i="5"/>
  <c r="A27" i="12"/>
  <c r="J27" i="5"/>
  <c r="B27" i="5"/>
  <c r="AE27" i="5"/>
  <c r="AD27" i="5"/>
  <c r="H27" i="5"/>
  <c r="G27" i="5"/>
  <c r="AR24" i="6"/>
  <c r="AI24" i="6"/>
  <c r="AB24" i="6"/>
  <c r="BA24" i="6"/>
  <c r="AS24" i="6"/>
  <c r="AJ24" i="6"/>
  <c r="AC24" i="6"/>
  <c r="BB24" i="6"/>
  <c r="BD24" i="6"/>
  <c r="AT24" i="6"/>
  <c r="AK24" i="6"/>
  <c r="AN24" i="6"/>
  <c r="AD24" i="6"/>
  <c r="BC24" i="6"/>
  <c r="A26" i="6"/>
  <c r="M26" i="6" s="1"/>
  <c r="BE24" i="6"/>
  <c r="A71" i="8"/>
  <c r="B37" i="9"/>
  <c r="B35" i="10"/>
  <c r="B32" i="7"/>
  <c r="C33" i="7"/>
  <c r="X11" i="9"/>
  <c r="Y12" i="9"/>
  <c r="Y12" i="10"/>
  <c r="X11" i="10"/>
  <c r="K26" i="12" l="1"/>
  <c r="AC26" i="6"/>
  <c r="AT26" i="6"/>
  <c r="AY26" i="6"/>
  <c r="AZ26" i="6"/>
  <c r="BD26" i="6"/>
  <c r="AO26" i="6"/>
  <c r="AS26" i="6"/>
  <c r="AI26" i="6"/>
  <c r="AB26" i="6"/>
  <c r="AG26" i="6"/>
  <c r="AQ26" i="6"/>
  <c r="AF26" i="6"/>
  <c r="BG26" i="6"/>
  <c r="BE26" i="6"/>
  <c r="AH26" i="6"/>
  <c r="AU26" i="6"/>
  <c r="BB26" i="6"/>
  <c r="AR26" i="6"/>
  <c r="AJ26" i="6"/>
  <c r="AV26" i="6"/>
  <c r="BF26" i="6"/>
  <c r="AX26" i="6"/>
  <c r="AN26" i="6"/>
  <c r="BC26" i="6"/>
  <c r="AP26" i="6"/>
  <c r="AM26" i="6"/>
  <c r="BA26" i="6"/>
  <c r="BD25" i="6"/>
  <c r="AZ25" i="6"/>
  <c r="AR25" i="6"/>
  <c r="BB25" i="6"/>
  <c r="AM25" i="6"/>
  <c r="AO25" i="6"/>
  <c r="AS25" i="6"/>
  <c r="AX25" i="6"/>
  <c r="AQ25" i="6"/>
  <c r="AT25" i="6"/>
  <c r="AN25" i="6"/>
  <c r="BG25" i="6"/>
  <c r="AP25" i="6"/>
  <c r="AU25" i="6"/>
  <c r="AY25" i="6"/>
  <c r="BC25" i="6"/>
  <c r="AV25" i="6"/>
  <c r="AB25" i="6"/>
  <c r="BA25" i="6"/>
  <c r="AG25" i="6"/>
  <c r="BF25" i="6"/>
  <c r="BE25" i="6"/>
  <c r="AK25" i="6"/>
  <c r="AD25" i="6"/>
  <c r="J27" i="12"/>
  <c r="L27" i="12"/>
  <c r="AC25" i="6"/>
  <c r="AI25" i="6"/>
  <c r="AF25" i="6"/>
  <c r="H27" i="6"/>
  <c r="AJ25" i="6"/>
  <c r="A27" i="6"/>
  <c r="N27" i="6" s="1"/>
  <c r="N26" i="6"/>
  <c r="T26" i="5"/>
  <c r="G26" i="12" s="1"/>
  <c r="AD26" i="6"/>
  <c r="AK26" i="6"/>
  <c r="AH25" i="6"/>
  <c r="A74" i="8"/>
  <c r="B36" i="10"/>
  <c r="C34" i="7"/>
  <c r="B33" i="7"/>
  <c r="B38" i="9"/>
  <c r="Y11" i="10"/>
  <c r="Z12" i="10"/>
  <c r="Y11" i="9"/>
  <c r="Z12" i="9"/>
  <c r="K27" i="12" l="1"/>
  <c r="M27" i="6"/>
  <c r="AG27" i="6" s="1"/>
  <c r="T27" i="5"/>
  <c r="G27" i="12" s="1"/>
  <c r="F42" i="6"/>
  <c r="A77" i="8"/>
  <c r="C35" i="7"/>
  <c r="B34" i="7"/>
  <c r="B39" i="9"/>
  <c r="B37" i="10"/>
  <c r="Z11" i="10"/>
  <c r="AA12" i="10"/>
  <c r="Z11" i="9"/>
  <c r="AA12" i="9"/>
  <c r="AK27" i="6" l="1"/>
  <c r="AB27" i="6"/>
  <c r="AI27" i="6"/>
  <c r="AJ27" i="6"/>
  <c r="AP27" i="6"/>
  <c r="AV27" i="6"/>
  <c r="AX27" i="6"/>
  <c r="AY27" i="6"/>
  <c r="AR27" i="6"/>
  <c r="BF27" i="6"/>
  <c r="BB27" i="6"/>
  <c r="BC27" i="6"/>
  <c r="AQ27" i="6"/>
  <c r="AU27" i="6"/>
  <c r="AT27" i="6"/>
  <c r="AN27" i="6"/>
  <c r="BA27" i="6"/>
  <c r="BE27" i="6"/>
  <c r="BD27" i="6"/>
  <c r="BG27" i="6"/>
  <c r="AM27" i="6"/>
  <c r="AZ27" i="6"/>
  <c r="AS27" i="6"/>
  <c r="AO27" i="6"/>
  <c r="AC27" i="6"/>
  <c r="AF27" i="6"/>
  <c r="AH27" i="6"/>
  <c r="AD27" i="6"/>
  <c r="E42" i="12"/>
  <c r="A80" i="8"/>
  <c r="B35" i="7"/>
  <c r="C36" i="7"/>
  <c r="B40" i="9"/>
  <c r="B38" i="10"/>
  <c r="AB12" i="10"/>
  <c r="AA11" i="10"/>
  <c r="AB12" i="9"/>
  <c r="AA11" i="9"/>
  <c r="E28" i="12" l="1"/>
  <c r="F28" i="6"/>
  <c r="A83" i="8"/>
  <c r="B41" i="9"/>
  <c r="B39" i="10"/>
  <c r="B36" i="7"/>
  <c r="C37" i="7"/>
  <c r="AB11" i="10"/>
  <c r="AC12" i="10"/>
  <c r="AC12" i="9"/>
  <c r="AB11" i="9"/>
  <c r="A86" i="8" l="1"/>
  <c r="B42" i="9"/>
  <c r="C38" i="7"/>
  <c r="B37" i="7"/>
  <c r="B40" i="10"/>
  <c r="AC11" i="10"/>
  <c r="AD12" i="10"/>
  <c r="AC11" i="9"/>
  <c r="AD12" i="9"/>
  <c r="C28" i="5" l="1"/>
  <c r="A89" i="8"/>
  <c r="B41" i="10"/>
  <c r="C39" i="7"/>
  <c r="B38" i="7"/>
  <c r="B43" i="9"/>
  <c r="AD11" i="9"/>
  <c r="AE12" i="9"/>
  <c r="AE11" i="9" s="1"/>
  <c r="AE12" i="10"/>
  <c r="AD11" i="10"/>
  <c r="AF28" i="5"/>
  <c r="AG28" i="5" l="1"/>
  <c r="U28" i="5" s="1"/>
  <c r="AN28" i="5" s="1"/>
  <c r="S28" i="5"/>
  <c r="F28" i="12" s="1"/>
  <c r="AD28" i="5"/>
  <c r="H28" i="5"/>
  <c r="A28" i="12"/>
  <c r="C29" i="5"/>
  <c r="G28" i="5"/>
  <c r="B28" i="6"/>
  <c r="A28" i="6" s="1"/>
  <c r="F28" i="5"/>
  <c r="E28" i="5"/>
  <c r="B28" i="5"/>
  <c r="AE28" i="5"/>
  <c r="N28" i="5"/>
  <c r="D28" i="6" s="1"/>
  <c r="W28" i="5"/>
  <c r="H28" i="12" s="1"/>
  <c r="A92" i="8"/>
  <c r="B42" i="10"/>
  <c r="C40" i="7"/>
  <c r="B39" i="7"/>
  <c r="B44" i="9"/>
  <c r="AE11" i="10"/>
  <c r="AF12" i="10"/>
  <c r="AF11" i="10" s="1"/>
  <c r="D29" i="5" l="1"/>
  <c r="B29" i="12" s="1"/>
  <c r="K29" i="5"/>
  <c r="B29" i="5"/>
  <c r="F29" i="5"/>
  <c r="A29" i="12"/>
  <c r="G29" i="5"/>
  <c r="C30" i="5"/>
  <c r="AE29" i="5"/>
  <c r="J29" i="5"/>
  <c r="AD29" i="5"/>
  <c r="N29" i="5"/>
  <c r="D29" i="6" s="1"/>
  <c r="H29" i="5"/>
  <c r="E29" i="5"/>
  <c r="B29" i="6"/>
  <c r="AP28" i="6"/>
  <c r="G28" i="6"/>
  <c r="BA28" i="6"/>
  <c r="H28" i="6"/>
  <c r="T28" i="5" s="1"/>
  <c r="G28" i="12" s="1"/>
  <c r="AO28" i="6"/>
  <c r="AZ28" i="6"/>
  <c r="AN28" i="6"/>
  <c r="AS28" i="6"/>
  <c r="AM28" i="6"/>
  <c r="AQ28" i="6"/>
  <c r="BB28" i="6"/>
  <c r="AU28" i="6"/>
  <c r="BC28" i="6"/>
  <c r="BD28" i="6"/>
  <c r="AV28" i="6"/>
  <c r="AX28" i="6"/>
  <c r="BG28" i="6"/>
  <c r="AY28" i="6"/>
  <c r="AR28" i="6"/>
  <c r="AT28" i="6"/>
  <c r="BF28" i="6"/>
  <c r="M28" i="6"/>
  <c r="BE28" i="6" s="1"/>
  <c r="A95" i="8"/>
  <c r="B45" i="9"/>
  <c r="C41" i="7"/>
  <c r="B40" i="7"/>
  <c r="B43" i="10"/>
  <c r="AB28" i="6" l="1"/>
  <c r="AD28" i="6"/>
  <c r="AI28" i="6"/>
  <c r="AG28" i="6"/>
  <c r="AH28" i="6"/>
  <c r="AJ28" i="6"/>
  <c r="A29" i="6"/>
  <c r="M29" i="6" s="1"/>
  <c r="AM29" i="6" s="1"/>
  <c r="AC28" i="6"/>
  <c r="H29" i="6"/>
  <c r="T29" i="5" s="1"/>
  <c r="G29" i="12" s="1"/>
  <c r="AK28" i="6"/>
  <c r="AF28" i="6"/>
  <c r="K30" i="5"/>
  <c r="H30" i="5"/>
  <c r="C31" i="5"/>
  <c r="C32" i="5" s="1"/>
  <c r="D30" i="5"/>
  <c r="B30" i="12" s="1"/>
  <c r="N30" i="5"/>
  <c r="D30" i="6" s="1"/>
  <c r="G30" i="5"/>
  <c r="F30" i="5"/>
  <c r="E30" i="5"/>
  <c r="AD30" i="5"/>
  <c r="A30" i="12"/>
  <c r="AE30" i="5"/>
  <c r="B30" i="6"/>
  <c r="J30" i="5"/>
  <c r="B30" i="5"/>
  <c r="L29" i="12"/>
  <c r="J29" i="12"/>
  <c r="A98" i="8"/>
  <c r="C42" i="7"/>
  <c r="B41" i="7"/>
  <c r="B44" i="10"/>
  <c r="B46" i="9"/>
  <c r="K32" i="5" l="1"/>
  <c r="J32" i="5"/>
  <c r="AE32" i="5"/>
  <c r="B32" i="6"/>
  <c r="AD32" i="5"/>
  <c r="D32" i="5"/>
  <c r="B32" i="12" s="1"/>
  <c r="C33" i="5"/>
  <c r="A32" i="12"/>
  <c r="N32" i="5"/>
  <c r="K29" i="12"/>
  <c r="BC29" i="6"/>
  <c r="AC29" i="6"/>
  <c r="AU29" i="6"/>
  <c r="AP29" i="6"/>
  <c r="AQ29" i="6"/>
  <c r="AY29" i="6"/>
  <c r="BF29" i="6"/>
  <c r="AJ29" i="6"/>
  <c r="AO29" i="6"/>
  <c r="BG29" i="6"/>
  <c r="AT29" i="6"/>
  <c r="AG29" i="6"/>
  <c r="AX29" i="6"/>
  <c r="AR29" i="6"/>
  <c r="AD29" i="6"/>
  <c r="AK29" i="6"/>
  <c r="A30" i="6"/>
  <c r="M30" i="6" s="1"/>
  <c r="AQ30" i="6" s="1"/>
  <c r="AB29" i="6"/>
  <c r="BA29" i="6"/>
  <c r="AS29" i="6"/>
  <c r="AZ29" i="6"/>
  <c r="AN29" i="6"/>
  <c r="BB29" i="6"/>
  <c r="BD29" i="6"/>
  <c r="AV29" i="6"/>
  <c r="BE29" i="6"/>
  <c r="J30" i="12"/>
  <c r="L30" i="12"/>
  <c r="H30" i="6"/>
  <c r="T30" i="5" s="1"/>
  <c r="G30" i="12" s="1"/>
  <c r="AH29" i="6"/>
  <c r="AF29" i="6"/>
  <c r="K31" i="5"/>
  <c r="G31" i="5"/>
  <c r="G32" i="5" s="1"/>
  <c r="A31" i="12"/>
  <c r="AD31" i="5"/>
  <c r="B31" i="6"/>
  <c r="AE31" i="5"/>
  <c r="B31" i="5"/>
  <c r="B32" i="5" s="1"/>
  <c r="J31" i="5"/>
  <c r="F31" i="5"/>
  <c r="F32" i="5" s="1"/>
  <c r="H31" i="5"/>
  <c r="H32" i="5" s="1"/>
  <c r="E31" i="5"/>
  <c r="E32" i="5" s="1"/>
  <c r="N31" i="5"/>
  <c r="D31" i="6" s="1"/>
  <c r="D31" i="5"/>
  <c r="B31" i="12" s="1"/>
  <c r="AI29" i="6"/>
  <c r="A101" i="8"/>
  <c r="B47" i="9"/>
  <c r="B45" i="10"/>
  <c r="B42" i="7"/>
  <c r="C43" i="7"/>
  <c r="D32" i="6" l="1"/>
  <c r="L32" i="12"/>
  <c r="J32" i="12"/>
  <c r="N33" i="5"/>
  <c r="K33" i="5"/>
  <c r="J33" i="5"/>
  <c r="AE33" i="5"/>
  <c r="AD33" i="5"/>
  <c r="H33" i="5"/>
  <c r="A33" i="12"/>
  <c r="G33" i="5"/>
  <c r="F33" i="5"/>
  <c r="E33" i="5"/>
  <c r="D33" i="5"/>
  <c r="B33" i="12" s="1"/>
  <c r="B33" i="6"/>
  <c r="B33" i="5"/>
  <c r="C34" i="5"/>
  <c r="K30" i="12"/>
  <c r="AX30" i="6"/>
  <c r="AR30" i="6"/>
  <c r="BG30" i="6"/>
  <c r="BF30" i="6"/>
  <c r="AZ30" i="6"/>
  <c r="AF30" i="6"/>
  <c r="AV30" i="6"/>
  <c r="AY30" i="6"/>
  <c r="AU30" i="6"/>
  <c r="AM30" i="6"/>
  <c r="BB30" i="6"/>
  <c r="AN30" i="6"/>
  <c r="BC30" i="6"/>
  <c r="AP30" i="6"/>
  <c r="AH30" i="6"/>
  <c r="AT30" i="6"/>
  <c r="AS30" i="6"/>
  <c r="BD30" i="6"/>
  <c r="BE30" i="6"/>
  <c r="AO30" i="6"/>
  <c r="BA30" i="6"/>
  <c r="AI30" i="6"/>
  <c r="AB30" i="6"/>
  <c r="AC30" i="6"/>
  <c r="AJ30" i="6"/>
  <c r="AK30" i="6"/>
  <c r="H31" i="6"/>
  <c r="T31" i="5" s="1"/>
  <c r="G31" i="12" s="1"/>
  <c r="A31" i="6"/>
  <c r="M31" i="6" s="1"/>
  <c r="AQ31" i="6" s="1"/>
  <c r="J31" i="12"/>
  <c r="L31" i="12"/>
  <c r="AG30" i="6"/>
  <c r="AD30" i="6"/>
  <c r="A104" i="8"/>
  <c r="B43" i="7"/>
  <c r="C44" i="7"/>
  <c r="B46" i="10"/>
  <c r="B48" i="9"/>
  <c r="K32" i="12" l="1"/>
  <c r="D33" i="6"/>
  <c r="L33" i="12"/>
  <c r="J33" i="12"/>
  <c r="A32" i="6"/>
  <c r="H32" i="6"/>
  <c r="T32" i="5" s="1"/>
  <c r="A34" i="12"/>
  <c r="N34" i="5"/>
  <c r="B34" i="6"/>
  <c r="K34" i="5"/>
  <c r="J34" i="5"/>
  <c r="AE34" i="5"/>
  <c r="AD34" i="5"/>
  <c r="H34" i="5"/>
  <c r="G34" i="5"/>
  <c r="F34" i="5"/>
  <c r="E34" i="5"/>
  <c r="D34" i="5"/>
  <c r="B34" i="12" s="1"/>
  <c r="B34" i="5"/>
  <c r="C35" i="5"/>
  <c r="AB31" i="6"/>
  <c r="AC31" i="6"/>
  <c r="BE31" i="6"/>
  <c r="AO31" i="6"/>
  <c r="K31" i="12"/>
  <c r="AK31" i="6"/>
  <c r="AR31" i="6"/>
  <c r="AV31" i="6"/>
  <c r="AT31" i="6"/>
  <c r="AI31" i="6"/>
  <c r="AJ31" i="6"/>
  <c r="AX31" i="6"/>
  <c r="AY31" i="6"/>
  <c r="AF31" i="6"/>
  <c r="AS31" i="6"/>
  <c r="AH31" i="6"/>
  <c r="AD31" i="6"/>
  <c r="BA31" i="6"/>
  <c r="AP31" i="6"/>
  <c r="AM31" i="6"/>
  <c r="BC31" i="6"/>
  <c r="BB31" i="6"/>
  <c r="BD31" i="6"/>
  <c r="BG31" i="6"/>
  <c r="BF31" i="6"/>
  <c r="AN31" i="6"/>
  <c r="AU31" i="6"/>
  <c r="AG31" i="6"/>
  <c r="AZ31" i="6"/>
  <c r="A107" i="8"/>
  <c r="B44" i="7"/>
  <c r="C45" i="7"/>
  <c r="B47" i="10"/>
  <c r="B49" i="9"/>
  <c r="A33" i="6" l="1"/>
  <c r="N33" i="6" s="1"/>
  <c r="K33" i="12"/>
  <c r="L34" i="12"/>
  <c r="J34" i="12"/>
  <c r="G32" i="12"/>
  <c r="M32" i="6"/>
  <c r="AH32" i="6" s="1"/>
  <c r="B35" i="5"/>
  <c r="C36" i="5"/>
  <c r="C37" i="5" s="1"/>
  <c r="N35" i="5"/>
  <c r="K35" i="5"/>
  <c r="J35" i="5"/>
  <c r="AE35" i="5"/>
  <c r="AD35" i="5"/>
  <c r="H35" i="5"/>
  <c r="A35" i="12"/>
  <c r="G35" i="5"/>
  <c r="B35" i="6"/>
  <c r="F35" i="5"/>
  <c r="E35" i="5"/>
  <c r="D35" i="5"/>
  <c r="B35" i="12" s="1"/>
  <c r="N32" i="6"/>
  <c r="H33" i="6"/>
  <c r="T33" i="5" s="1"/>
  <c r="D34" i="6"/>
  <c r="A110" i="8"/>
  <c r="B50" i="9"/>
  <c r="B48" i="10"/>
  <c r="C46" i="7"/>
  <c r="B45" i="7"/>
  <c r="A34" i="6" l="1"/>
  <c r="M34" i="6" s="1"/>
  <c r="BA34" i="6" s="1"/>
  <c r="K37" i="5"/>
  <c r="J37" i="5"/>
  <c r="AE37" i="5"/>
  <c r="B37" i="6"/>
  <c r="AD37" i="5"/>
  <c r="D37" i="5"/>
  <c r="B37" i="12" s="1"/>
  <c r="C38" i="5"/>
  <c r="A37" i="12"/>
  <c r="N37" i="5"/>
  <c r="M33" i="6"/>
  <c r="BG33" i="6" s="1"/>
  <c r="AK32" i="6"/>
  <c r="AC32" i="6"/>
  <c r="AJ32" i="6"/>
  <c r="AB32" i="6"/>
  <c r="K34" i="12"/>
  <c r="BB32" i="6"/>
  <c r="AS32" i="6"/>
  <c r="BA32" i="6"/>
  <c r="AR32" i="6"/>
  <c r="AZ32" i="6"/>
  <c r="AQ32" i="6"/>
  <c r="AY32" i="6"/>
  <c r="BG32" i="6"/>
  <c r="AP32" i="6"/>
  <c r="AX32" i="6"/>
  <c r="BF32" i="6"/>
  <c r="BE32" i="6"/>
  <c r="AV32" i="6"/>
  <c r="AO32" i="6"/>
  <c r="AN32" i="6"/>
  <c r="BD32" i="6"/>
  <c r="AU32" i="6"/>
  <c r="AM32" i="6"/>
  <c r="BC32" i="6"/>
  <c r="AT32" i="6"/>
  <c r="AG32" i="6"/>
  <c r="L35" i="12"/>
  <c r="J35" i="12"/>
  <c r="AF32" i="6"/>
  <c r="AD32" i="6"/>
  <c r="H34" i="6"/>
  <c r="T34" i="5" s="1"/>
  <c r="AI32" i="6"/>
  <c r="G33" i="12"/>
  <c r="D35" i="6"/>
  <c r="D36" i="5"/>
  <c r="B36" i="12" s="1"/>
  <c r="B36" i="5"/>
  <c r="B37" i="5" s="1"/>
  <c r="B36" i="6"/>
  <c r="A36" i="12"/>
  <c r="N36" i="5"/>
  <c r="K36" i="5"/>
  <c r="J36" i="5"/>
  <c r="AE36" i="5"/>
  <c r="AD36" i="5"/>
  <c r="H36" i="5"/>
  <c r="H37" i="5" s="1"/>
  <c r="G36" i="5"/>
  <c r="G37" i="5" s="1"/>
  <c r="F36" i="5"/>
  <c r="F37" i="5" s="1"/>
  <c r="E36" i="5"/>
  <c r="E37" i="5" s="1"/>
  <c r="A113" i="8"/>
  <c r="C47" i="7"/>
  <c r="B46" i="7"/>
  <c r="B49" i="10"/>
  <c r="B51" i="9"/>
  <c r="N34" i="6" l="1"/>
  <c r="A35" i="6"/>
  <c r="N35" i="6" s="1"/>
  <c r="AZ33" i="6"/>
  <c r="AH33" i="6"/>
  <c r="BF33" i="6"/>
  <c r="BE33" i="6"/>
  <c r="D37" i="6"/>
  <c r="AV33" i="6"/>
  <c r="BC33" i="6"/>
  <c r="L37" i="12"/>
  <c r="J37" i="12"/>
  <c r="N38" i="5"/>
  <c r="K38" i="5"/>
  <c r="J38" i="5"/>
  <c r="AE38" i="5"/>
  <c r="AD38" i="5"/>
  <c r="H38" i="5"/>
  <c r="A38" i="12"/>
  <c r="G38" i="5"/>
  <c r="F38" i="5"/>
  <c r="E38" i="5"/>
  <c r="D38" i="5"/>
  <c r="B38" i="12" s="1"/>
  <c r="B38" i="6"/>
  <c r="B38" i="5"/>
  <c r="C39" i="5"/>
  <c r="AI33" i="6"/>
  <c r="AS33" i="6"/>
  <c r="AF33" i="6"/>
  <c r="AR33" i="6"/>
  <c r="AO33" i="6"/>
  <c r="AM33" i="6"/>
  <c r="AU33" i="6"/>
  <c r="AT33" i="6"/>
  <c r="AG33" i="6"/>
  <c r="AC33" i="6"/>
  <c r="AN33" i="6"/>
  <c r="BA33" i="6"/>
  <c r="AY33" i="6"/>
  <c r="AB33" i="6"/>
  <c r="AX33" i="6"/>
  <c r="AD33" i="6"/>
  <c r="AQ33" i="6"/>
  <c r="BD33" i="6"/>
  <c r="AK33" i="6"/>
  <c r="BB33" i="6"/>
  <c r="AJ33" i="6"/>
  <c r="AP33" i="6"/>
  <c r="AM34" i="6"/>
  <c r="BD34" i="6"/>
  <c r="BG34" i="6"/>
  <c r="AS34" i="6"/>
  <c r="AC34" i="6"/>
  <c r="AD34" i="6"/>
  <c r="K35" i="12"/>
  <c r="AU34" i="6"/>
  <c r="BB34" i="6"/>
  <c r="AT34" i="6"/>
  <c r="AK34" i="6"/>
  <c r="BC34" i="6"/>
  <c r="AN34" i="6"/>
  <c r="AO34" i="6"/>
  <c r="AV34" i="6"/>
  <c r="BE34" i="6"/>
  <c r="BF34" i="6"/>
  <c r="AF34" i="6"/>
  <c r="G34" i="12"/>
  <c r="AX34" i="6"/>
  <c r="L36" i="12"/>
  <c r="J36" i="12"/>
  <c r="AP34" i="6"/>
  <c r="AG34" i="6"/>
  <c r="AY34" i="6"/>
  <c r="AH34" i="6"/>
  <c r="AQ34" i="6"/>
  <c r="AZ34" i="6"/>
  <c r="AI34" i="6"/>
  <c r="H35" i="6"/>
  <c r="T35" i="5" s="1"/>
  <c r="AR34" i="6"/>
  <c r="D36" i="6"/>
  <c r="AB34" i="6"/>
  <c r="AJ34" i="6"/>
  <c r="A116" i="8"/>
  <c r="B50" i="10"/>
  <c r="C48" i="7"/>
  <c r="B47" i="7"/>
  <c r="B52" i="9"/>
  <c r="M35" i="6" l="1"/>
  <c r="AT35" i="6" s="1"/>
  <c r="K37" i="12"/>
  <c r="L38" i="12"/>
  <c r="J38" i="12"/>
  <c r="A39" i="12"/>
  <c r="N39" i="5"/>
  <c r="B39" i="6"/>
  <c r="K39" i="5"/>
  <c r="J39" i="5"/>
  <c r="AE39" i="5"/>
  <c r="AD39" i="5"/>
  <c r="H39" i="5"/>
  <c r="G39" i="5"/>
  <c r="F39" i="5"/>
  <c r="E39" i="5"/>
  <c r="D39" i="5"/>
  <c r="B39" i="12" s="1"/>
  <c r="B39" i="5"/>
  <c r="C40" i="5"/>
  <c r="C41" i="5" s="1"/>
  <c r="H37" i="6"/>
  <c r="T37" i="5" s="1"/>
  <c r="D38" i="6"/>
  <c r="G35" i="12"/>
  <c r="H36" i="6"/>
  <c r="T36" i="5" s="1"/>
  <c r="K36" i="12"/>
  <c r="A36" i="6"/>
  <c r="A119" i="8"/>
  <c r="B53" i="9"/>
  <c r="C49" i="7"/>
  <c r="B48" i="7"/>
  <c r="B51" i="10"/>
  <c r="AO35" i="6" l="1"/>
  <c r="AG35" i="6"/>
  <c r="AV35" i="6"/>
  <c r="AX35" i="6"/>
  <c r="AR35" i="6"/>
  <c r="BB35" i="6"/>
  <c r="AF35" i="6"/>
  <c r="AU35" i="6"/>
  <c r="BE35" i="6"/>
  <c r="AJ35" i="6"/>
  <c r="AD35" i="6"/>
  <c r="AQ35" i="6"/>
  <c r="AN35" i="6"/>
  <c r="BD35" i="6"/>
  <c r="BA35" i="6"/>
  <c r="AC35" i="6"/>
  <c r="AI35" i="6"/>
  <c r="AM35" i="6"/>
  <c r="BG35" i="6"/>
  <c r="AS35" i="6"/>
  <c r="AZ35" i="6"/>
  <c r="BC35" i="6"/>
  <c r="AP35" i="6"/>
  <c r="AB35" i="6"/>
  <c r="AH35" i="6"/>
  <c r="AK35" i="6"/>
  <c r="AD41" i="5"/>
  <c r="D41" i="5"/>
  <c r="B41" i="12" s="1"/>
  <c r="B41" i="6"/>
  <c r="A41" i="12"/>
  <c r="N41" i="5"/>
  <c r="K41" i="5"/>
  <c r="J41" i="5"/>
  <c r="AE41" i="5"/>
  <c r="AY35" i="6"/>
  <c r="BF35" i="6"/>
  <c r="B40" i="5"/>
  <c r="B41" i="5" s="1"/>
  <c r="N40" i="5"/>
  <c r="K40" i="5"/>
  <c r="J40" i="5"/>
  <c r="AE40" i="5"/>
  <c r="AD40" i="5"/>
  <c r="H40" i="5"/>
  <c r="H41" i="5" s="1"/>
  <c r="A40" i="12"/>
  <c r="G40" i="5"/>
  <c r="G41" i="5" s="1"/>
  <c r="B40" i="6"/>
  <c r="F40" i="5"/>
  <c r="F41" i="5" s="1"/>
  <c r="E40" i="5"/>
  <c r="E41" i="5" s="1"/>
  <c r="D40" i="5"/>
  <c r="B40" i="12" s="1"/>
  <c r="G37" i="12"/>
  <c r="N36" i="6"/>
  <c r="A37" i="6"/>
  <c r="D39" i="6"/>
  <c r="L39" i="12"/>
  <c r="J39" i="12"/>
  <c r="K38" i="12"/>
  <c r="H38" i="6"/>
  <c r="T38" i="5" s="1"/>
  <c r="M36" i="6"/>
  <c r="AG36" i="6" s="1"/>
  <c r="G36" i="12"/>
  <c r="A122" i="8"/>
  <c r="B52" i="10"/>
  <c r="B49" i="7"/>
  <c r="C50" i="7"/>
  <c r="B54" i="9"/>
  <c r="D41" i="6" l="1"/>
  <c r="L41" i="12"/>
  <c r="J41" i="12"/>
  <c r="BF36" i="6"/>
  <c r="AR36" i="6"/>
  <c r="AI36" i="6"/>
  <c r="BA36" i="6"/>
  <c r="AS36" i="6"/>
  <c r="AF36" i="6"/>
  <c r="AT36" i="6"/>
  <c r="BB36" i="6"/>
  <c r="AK36" i="6"/>
  <c r="AJ36" i="6"/>
  <c r="AQ36" i="6"/>
  <c r="AX36" i="6"/>
  <c r="K39" i="12"/>
  <c r="AC36" i="6"/>
  <c r="AZ36" i="6"/>
  <c r="AB36" i="6"/>
  <c r="BG36" i="6"/>
  <c r="H39" i="6"/>
  <c r="T39" i="5" s="1"/>
  <c r="A38" i="6"/>
  <c r="N37" i="6"/>
  <c r="M37" i="6"/>
  <c r="G38" i="12"/>
  <c r="D40" i="6"/>
  <c r="L40" i="12"/>
  <c r="J40" i="12"/>
  <c r="BE36" i="6"/>
  <c r="AV36" i="6"/>
  <c r="AO36" i="6"/>
  <c r="AN36" i="6"/>
  <c r="AH36" i="6"/>
  <c r="BD36" i="6"/>
  <c r="AU36" i="6"/>
  <c r="AY36" i="6"/>
  <c r="AM36" i="6"/>
  <c r="AD36" i="6"/>
  <c r="BC36" i="6"/>
  <c r="AP36" i="6"/>
  <c r="A125" i="8"/>
  <c r="B55" i="9"/>
  <c r="B53" i="10"/>
  <c r="B50" i="7"/>
  <c r="C51" i="7"/>
  <c r="K41" i="12" l="1"/>
  <c r="H41" i="6"/>
  <c r="T41" i="5" s="1"/>
  <c r="K40" i="12"/>
  <c r="C42" i="5"/>
  <c r="BE37" i="6"/>
  <c r="AV37" i="6"/>
  <c r="AO37" i="6"/>
  <c r="AN37" i="6"/>
  <c r="BD37" i="6"/>
  <c r="AU37" i="6"/>
  <c r="AQ37" i="6"/>
  <c r="AM37" i="6"/>
  <c r="BC37" i="6"/>
  <c r="AT37" i="6"/>
  <c r="AK37" i="6"/>
  <c r="BB37" i="6"/>
  <c r="AS37" i="6"/>
  <c r="AJ37" i="6"/>
  <c r="AB37" i="6"/>
  <c r="BA37" i="6"/>
  <c r="AR37" i="6"/>
  <c r="AZ37" i="6"/>
  <c r="AY37" i="6"/>
  <c r="BG37" i="6"/>
  <c r="AG37" i="6"/>
  <c r="AP37" i="6"/>
  <c r="AX37" i="6"/>
  <c r="BF37" i="6"/>
  <c r="AH37" i="6"/>
  <c r="AC37" i="6"/>
  <c r="AF37" i="6"/>
  <c r="AI37" i="6"/>
  <c r="AD37" i="6"/>
  <c r="N38" i="6"/>
  <c r="M38" i="6"/>
  <c r="A39" i="6"/>
  <c r="H40" i="6"/>
  <c r="T40" i="5" s="1"/>
  <c r="G39" i="12"/>
  <c r="A128" i="8"/>
  <c r="B54" i="10"/>
  <c r="B56" i="9"/>
  <c r="C52" i="7"/>
  <c r="B51" i="7"/>
  <c r="AF42" i="5"/>
  <c r="G41" i="12" l="1"/>
  <c r="AG42" i="5"/>
  <c r="S42" i="5"/>
  <c r="F42" i="12" s="1"/>
  <c r="A40" i="6"/>
  <c r="A41" i="6" s="1"/>
  <c r="N39" i="6"/>
  <c r="M39" i="6"/>
  <c r="AT38" i="6"/>
  <c r="BD38" i="6"/>
  <c r="AM38" i="6"/>
  <c r="AS38" i="6"/>
  <c r="BC38" i="6"/>
  <c r="AR38" i="6"/>
  <c r="BB38" i="6"/>
  <c r="AQ38" i="6"/>
  <c r="BA38" i="6"/>
  <c r="BG38" i="6"/>
  <c r="AZ38" i="6"/>
  <c r="AP38" i="6"/>
  <c r="AY38" i="6"/>
  <c r="AF38" i="6"/>
  <c r="BF38" i="6"/>
  <c r="AV38" i="6"/>
  <c r="AO38" i="6"/>
  <c r="AX38" i="6"/>
  <c r="AU38" i="6"/>
  <c r="BE38" i="6"/>
  <c r="AN38" i="6"/>
  <c r="AH38" i="6"/>
  <c r="AD38" i="6"/>
  <c r="AC38" i="6"/>
  <c r="AI38" i="6"/>
  <c r="AG38" i="6"/>
  <c r="AJ38" i="6"/>
  <c r="AK38" i="6"/>
  <c r="AB38" i="6"/>
  <c r="G40" i="12"/>
  <c r="W42" i="5"/>
  <c r="H42" i="12" s="1"/>
  <c r="N42" i="5"/>
  <c r="D42" i="6" s="1"/>
  <c r="E42" i="5"/>
  <c r="AD42" i="5"/>
  <c r="G42" i="5"/>
  <c r="AE42" i="5"/>
  <c r="A42" i="12"/>
  <c r="C43" i="5"/>
  <c r="F42" i="5"/>
  <c r="H42" i="5"/>
  <c r="B42" i="5"/>
  <c r="B42" i="6"/>
  <c r="A42" i="6" s="1"/>
  <c r="A131" i="8"/>
  <c r="C53" i="7"/>
  <c r="B52" i="7"/>
  <c r="B57" i="9"/>
  <c r="B55" i="10"/>
  <c r="N41" i="6" l="1"/>
  <c r="M41" i="6"/>
  <c r="H43" i="5"/>
  <c r="B43" i="5"/>
  <c r="AD43" i="5"/>
  <c r="E43" i="5"/>
  <c r="A43" i="12"/>
  <c r="N43" i="5"/>
  <c r="D43" i="6" s="1"/>
  <c r="AE43" i="5"/>
  <c r="F43" i="5"/>
  <c r="B43" i="6"/>
  <c r="C44" i="5"/>
  <c r="G43" i="5"/>
  <c r="AV42" i="6"/>
  <c r="AY42" i="6"/>
  <c r="H42" i="6"/>
  <c r="T42" i="5" s="1"/>
  <c r="G42" i="12" s="1"/>
  <c r="BF42" i="6"/>
  <c r="BB42" i="6"/>
  <c r="BG42" i="6"/>
  <c r="AN42" i="6"/>
  <c r="AS42" i="6"/>
  <c r="BD42" i="6"/>
  <c r="BE42" i="6"/>
  <c r="BC42" i="6"/>
  <c r="AZ42" i="6"/>
  <c r="M42" i="6"/>
  <c r="AX42" i="6"/>
  <c r="G42" i="6"/>
  <c r="AO42" i="6"/>
  <c r="AR42" i="6"/>
  <c r="AT42" i="6"/>
  <c r="AP42" i="6"/>
  <c r="AU42" i="6"/>
  <c r="AQ42" i="6"/>
  <c r="AM42" i="6"/>
  <c r="BA42" i="6"/>
  <c r="AP39" i="6"/>
  <c r="AX39" i="6"/>
  <c r="BF39" i="6"/>
  <c r="BE39" i="6"/>
  <c r="AV39" i="6"/>
  <c r="AO39" i="6"/>
  <c r="AN39" i="6"/>
  <c r="BD39" i="6"/>
  <c r="AU39" i="6"/>
  <c r="AM39" i="6"/>
  <c r="BC39" i="6"/>
  <c r="AT39" i="6"/>
  <c r="BB39" i="6"/>
  <c r="AS39" i="6"/>
  <c r="AJ39" i="6"/>
  <c r="AB39" i="6"/>
  <c r="BA39" i="6"/>
  <c r="AR39" i="6"/>
  <c r="AI39" i="6"/>
  <c r="AZ39" i="6"/>
  <c r="AQ39" i="6"/>
  <c r="AH39" i="6"/>
  <c r="AY39" i="6"/>
  <c r="BG39" i="6"/>
  <c r="AF39" i="6"/>
  <c r="AG39" i="6"/>
  <c r="AD39" i="6"/>
  <c r="AC39" i="6"/>
  <c r="AK39" i="6"/>
  <c r="N40" i="6"/>
  <c r="M40" i="6"/>
  <c r="A134" i="8"/>
  <c r="B56" i="10"/>
  <c r="B58" i="9"/>
  <c r="C54" i="7"/>
  <c r="B53" i="7"/>
  <c r="AT41" i="6" l="1"/>
  <c r="BC41" i="6"/>
  <c r="AR41" i="6"/>
  <c r="AS41" i="6"/>
  <c r="BA41" i="6"/>
  <c r="AQ41" i="6"/>
  <c r="BB41" i="6"/>
  <c r="BG41" i="6"/>
  <c r="AZ41" i="6"/>
  <c r="AP41" i="6"/>
  <c r="AY41" i="6"/>
  <c r="BF41" i="6"/>
  <c r="AG41" i="6"/>
  <c r="AO41" i="6"/>
  <c r="AX41" i="6"/>
  <c r="AF41" i="6"/>
  <c r="BE41" i="6"/>
  <c r="AV41" i="6"/>
  <c r="AN41" i="6"/>
  <c r="BD41" i="6"/>
  <c r="AU41" i="6"/>
  <c r="AM41" i="6"/>
  <c r="AD41" i="6"/>
  <c r="AH41" i="6"/>
  <c r="AJ41" i="6"/>
  <c r="AI41" i="6"/>
  <c r="AB41" i="6"/>
  <c r="AK41" i="6"/>
  <c r="AC41" i="6"/>
  <c r="C45" i="5"/>
  <c r="A43" i="6"/>
  <c r="AK42" i="6"/>
  <c r="AB42" i="6"/>
  <c r="AH42" i="6"/>
  <c r="AG42" i="6"/>
  <c r="AD42" i="6"/>
  <c r="AU40" i="6"/>
  <c r="BE40" i="6"/>
  <c r="AN40" i="6"/>
  <c r="AT40" i="6"/>
  <c r="BD40" i="6"/>
  <c r="AM40" i="6"/>
  <c r="AY40" i="6"/>
  <c r="AS40" i="6"/>
  <c r="BC40" i="6"/>
  <c r="AR40" i="6"/>
  <c r="BB40" i="6"/>
  <c r="AQ40" i="6"/>
  <c r="BA40" i="6"/>
  <c r="BG40" i="6"/>
  <c r="AZ40" i="6"/>
  <c r="AP40" i="6"/>
  <c r="BF40" i="6"/>
  <c r="AV40" i="6"/>
  <c r="AO40" i="6"/>
  <c r="AX40" i="6"/>
  <c r="AK40" i="6"/>
  <c r="AB40" i="6"/>
  <c r="AG40" i="6"/>
  <c r="AJ40" i="6"/>
  <c r="AH40" i="6"/>
  <c r="AC40" i="6"/>
  <c r="AD40" i="6"/>
  <c r="AI40" i="6"/>
  <c r="AF40" i="6"/>
  <c r="B44" i="6"/>
  <c r="A44" i="12"/>
  <c r="F44" i="5"/>
  <c r="G44" i="5"/>
  <c r="N44" i="5"/>
  <c r="D44" i="6" s="1"/>
  <c r="H44" i="5"/>
  <c r="E44" i="5"/>
  <c r="B44" i="5"/>
  <c r="K44" i="5"/>
  <c r="J44" i="5"/>
  <c r="AD44" i="5"/>
  <c r="AE44" i="5"/>
  <c r="D44" i="5"/>
  <c r="B44" i="12" s="1"/>
  <c r="AI42" i="6"/>
  <c r="H43" i="6"/>
  <c r="T43" i="5" s="1"/>
  <c r="G43" i="12" s="1"/>
  <c r="AC42" i="6"/>
  <c r="AJ42" i="6"/>
  <c r="AF42" i="6"/>
  <c r="A137" i="8"/>
  <c r="C55" i="7"/>
  <c r="B54" i="7"/>
  <c r="B59" i="9"/>
  <c r="B57" i="10"/>
  <c r="N45" i="5" l="1"/>
  <c r="K45" i="5"/>
  <c r="J45" i="5"/>
  <c r="AE45" i="5"/>
  <c r="AD45" i="5"/>
  <c r="H45" i="5"/>
  <c r="A45" i="12"/>
  <c r="G45" i="5"/>
  <c r="F45" i="5"/>
  <c r="E45" i="5"/>
  <c r="D45" i="5"/>
  <c r="B45" i="12" s="1"/>
  <c r="B45" i="6"/>
  <c r="B45" i="5"/>
  <c r="C46" i="5"/>
  <c r="M43" i="6"/>
  <c r="AN43" i="6" s="1"/>
  <c r="H44" i="6"/>
  <c r="T44" i="5" s="1"/>
  <c r="G44" i="12" s="1"/>
  <c r="J44" i="12"/>
  <c r="L44" i="12"/>
  <c r="A44" i="6"/>
  <c r="A140" i="8"/>
  <c r="B60" i="9"/>
  <c r="B58" i="10"/>
  <c r="C56" i="7"/>
  <c r="B55" i="7"/>
  <c r="D45" i="6" l="1"/>
  <c r="L45" i="12"/>
  <c r="J45" i="12"/>
  <c r="A46" i="12"/>
  <c r="N46" i="5"/>
  <c r="B46" i="6"/>
  <c r="K46" i="5"/>
  <c r="J46" i="5"/>
  <c r="AE46" i="5"/>
  <c r="AD46" i="5"/>
  <c r="H46" i="5"/>
  <c r="G46" i="5"/>
  <c r="F46" i="5"/>
  <c r="E46" i="5"/>
  <c r="D46" i="5"/>
  <c r="B46" i="12" s="1"/>
  <c r="B46" i="5"/>
  <c r="C47" i="5"/>
  <c r="AH43" i="6"/>
  <c r="AZ43" i="6"/>
  <c r="AK43" i="6"/>
  <c r="AS43" i="6"/>
  <c r="AQ43" i="6"/>
  <c r="AB43" i="6"/>
  <c r="AJ43" i="6"/>
  <c r="AI43" i="6"/>
  <c r="AF43" i="6"/>
  <c r="M44" i="6"/>
  <c r="BD44" i="6" s="1"/>
  <c r="AX43" i="6"/>
  <c r="AP43" i="6"/>
  <c r="AO43" i="6"/>
  <c r="AG43" i="6"/>
  <c r="BE43" i="6"/>
  <c r="AU43" i="6"/>
  <c r="AV43" i="6"/>
  <c r="BC43" i="6"/>
  <c r="BD43" i="6"/>
  <c r="AR43" i="6"/>
  <c r="AT43" i="6"/>
  <c r="BF43" i="6"/>
  <c r="AC43" i="6"/>
  <c r="BG43" i="6"/>
  <c r="AY43" i="6"/>
  <c r="BA43" i="6"/>
  <c r="AM43" i="6"/>
  <c r="BB43" i="6"/>
  <c r="AD43" i="6"/>
  <c r="K44" i="12"/>
  <c r="A143" i="8"/>
  <c r="B56" i="7"/>
  <c r="C57" i="7"/>
  <c r="B59" i="10"/>
  <c r="B61" i="9"/>
  <c r="K45" i="12" l="1"/>
  <c r="AR44" i="6"/>
  <c r="L46" i="12"/>
  <c r="J46" i="12"/>
  <c r="H45" i="6"/>
  <c r="T45" i="5" s="1"/>
  <c r="B47" i="5"/>
  <c r="C48" i="5"/>
  <c r="N47" i="5"/>
  <c r="K47" i="5"/>
  <c r="J47" i="5"/>
  <c r="AE47" i="5"/>
  <c r="AD47" i="5"/>
  <c r="H47" i="5"/>
  <c r="A47" i="12"/>
  <c r="G47" i="5"/>
  <c r="B47" i="6"/>
  <c r="F47" i="5"/>
  <c r="E47" i="5"/>
  <c r="D47" i="5"/>
  <c r="B47" i="12" s="1"/>
  <c r="A45" i="6"/>
  <c r="N45" i="6" s="1"/>
  <c r="D46" i="6"/>
  <c r="AG44" i="6"/>
  <c r="BG44" i="6"/>
  <c r="AP44" i="6"/>
  <c r="AJ44" i="6"/>
  <c r="AV44" i="6"/>
  <c r="AH44" i="6"/>
  <c r="AD44" i="6"/>
  <c r="AC44" i="6"/>
  <c r="AN44" i="6"/>
  <c r="AO44" i="6"/>
  <c r="AU44" i="6"/>
  <c r="BC44" i="6"/>
  <c r="AF44" i="6"/>
  <c r="AI44" i="6"/>
  <c r="BE44" i="6"/>
  <c r="AX44" i="6"/>
  <c r="AZ44" i="6"/>
  <c r="AT44" i="6"/>
  <c r="AM44" i="6"/>
  <c r="BB44" i="6"/>
  <c r="AQ44" i="6"/>
  <c r="AY44" i="6"/>
  <c r="AB44" i="6"/>
  <c r="AK44" i="6"/>
  <c r="BA44" i="6"/>
  <c r="AS44" i="6"/>
  <c r="BF44" i="6"/>
  <c r="F61" i="6"/>
  <c r="E61" i="12"/>
  <c r="A146" i="8"/>
  <c r="B62" i="9"/>
  <c r="B60" i="10"/>
  <c r="B57" i="7"/>
  <c r="C58" i="7"/>
  <c r="K46" i="12" l="1"/>
  <c r="G45" i="12"/>
  <c r="L47" i="12"/>
  <c r="J47" i="12"/>
  <c r="H46" i="6"/>
  <c r="T46" i="5" s="1"/>
  <c r="M45" i="6"/>
  <c r="AF45" i="6" s="1"/>
  <c r="A46" i="6"/>
  <c r="D47" i="6"/>
  <c r="D48" i="5"/>
  <c r="B48" i="12" s="1"/>
  <c r="B48" i="5"/>
  <c r="B48" i="6"/>
  <c r="A48" i="12"/>
  <c r="N48" i="5"/>
  <c r="K48" i="5"/>
  <c r="J48" i="5"/>
  <c r="AE48" i="5"/>
  <c r="AD48" i="5"/>
  <c r="H48" i="5"/>
  <c r="G48" i="5"/>
  <c r="F48" i="5"/>
  <c r="E48" i="5"/>
  <c r="C49" i="5"/>
  <c r="E57" i="12"/>
  <c r="F57" i="6"/>
  <c r="A149" i="8"/>
  <c r="C59" i="7"/>
  <c r="B58" i="7"/>
  <c r="B61" i="10"/>
  <c r="B63" i="9"/>
  <c r="A47" i="6" l="1"/>
  <c r="M47" i="6" s="1"/>
  <c r="AU47" i="6" s="1"/>
  <c r="K47" i="12"/>
  <c r="AU45" i="6"/>
  <c r="BE45" i="6"/>
  <c r="AN45" i="6"/>
  <c r="AT45" i="6"/>
  <c r="BD45" i="6"/>
  <c r="AM45" i="6"/>
  <c r="AS45" i="6"/>
  <c r="BC45" i="6"/>
  <c r="AR45" i="6"/>
  <c r="BB45" i="6"/>
  <c r="AQ45" i="6"/>
  <c r="BA45" i="6"/>
  <c r="BG45" i="6"/>
  <c r="AZ45" i="6"/>
  <c r="AP45" i="6"/>
  <c r="AY45" i="6"/>
  <c r="BF45" i="6"/>
  <c r="AG45" i="6"/>
  <c r="AV45" i="6"/>
  <c r="AO45" i="6"/>
  <c r="AX45" i="6"/>
  <c r="AC45" i="6"/>
  <c r="AI45" i="6"/>
  <c r="AH45" i="6"/>
  <c r="AB45" i="6"/>
  <c r="AK45" i="6"/>
  <c r="G46" i="12"/>
  <c r="D48" i="6"/>
  <c r="H47" i="6"/>
  <c r="T47" i="5" s="1"/>
  <c r="M46" i="6"/>
  <c r="AJ46" i="6" s="1"/>
  <c r="AD45" i="6"/>
  <c r="L48" i="12"/>
  <c r="J48" i="12"/>
  <c r="G49" i="5"/>
  <c r="F49" i="5"/>
  <c r="J49" i="5"/>
  <c r="AE49" i="5"/>
  <c r="H49" i="5"/>
  <c r="A49" i="12"/>
  <c r="D49" i="5"/>
  <c r="B49" i="12" s="1"/>
  <c r="B49" i="5"/>
  <c r="E49" i="5"/>
  <c r="AD49" i="5"/>
  <c r="B49" i="6"/>
  <c r="N49" i="5"/>
  <c r="D49" i="6" s="1"/>
  <c r="K49" i="5"/>
  <c r="N46" i="6"/>
  <c r="AJ45" i="6"/>
  <c r="A152" i="8"/>
  <c r="C60" i="7"/>
  <c r="B59" i="7"/>
  <c r="B64" i="9"/>
  <c r="B62" i="10"/>
  <c r="N47" i="6" l="1"/>
  <c r="A48" i="6"/>
  <c r="A49" i="6" s="1"/>
  <c r="M49" i="6" s="1"/>
  <c r="AX49" i="6" s="1"/>
  <c r="K48" i="12"/>
  <c r="AB46" i="6"/>
  <c r="AG47" i="6"/>
  <c r="AY47" i="6"/>
  <c r="AH47" i="6"/>
  <c r="AZ47" i="6"/>
  <c r="AI47" i="6"/>
  <c r="BF47" i="6"/>
  <c r="AP47" i="6"/>
  <c r="BG47" i="6"/>
  <c r="AF47" i="6"/>
  <c r="AX47" i="6"/>
  <c r="AO47" i="6"/>
  <c r="AV47" i="6"/>
  <c r="G47" i="12"/>
  <c r="H48" i="6"/>
  <c r="T48" i="5" s="1"/>
  <c r="H49" i="6"/>
  <c r="T49" i="5" s="1"/>
  <c r="G49" i="12" s="1"/>
  <c r="BA47" i="6"/>
  <c r="AQ47" i="6"/>
  <c r="AJ47" i="6"/>
  <c r="L49" i="12"/>
  <c r="J49" i="12"/>
  <c r="BB47" i="6"/>
  <c r="AR47" i="6"/>
  <c r="AK47" i="6"/>
  <c r="AB47" i="6"/>
  <c r="BB46" i="6"/>
  <c r="AS46" i="6"/>
  <c r="BA46" i="6"/>
  <c r="AR46" i="6"/>
  <c r="AZ46" i="6"/>
  <c r="AQ46" i="6"/>
  <c r="AH46" i="6"/>
  <c r="AY46" i="6"/>
  <c r="BG46" i="6"/>
  <c r="AG46" i="6"/>
  <c r="AP46" i="6"/>
  <c r="AX46" i="6"/>
  <c r="AF46" i="6"/>
  <c r="BF46" i="6"/>
  <c r="BE46" i="6"/>
  <c r="AV46" i="6"/>
  <c r="AO46" i="6"/>
  <c r="AN46" i="6"/>
  <c r="BD46" i="6"/>
  <c r="AU46" i="6"/>
  <c r="AM46" i="6"/>
  <c r="AD46" i="6"/>
  <c r="BC46" i="6"/>
  <c r="AT46" i="6"/>
  <c r="AK46" i="6"/>
  <c r="AC46" i="6"/>
  <c r="BC47" i="6"/>
  <c r="AS47" i="6"/>
  <c r="AM47" i="6"/>
  <c r="AC47" i="6"/>
  <c r="BD47" i="6"/>
  <c r="AT47" i="6"/>
  <c r="AI46" i="6"/>
  <c r="AN47" i="6"/>
  <c r="AD47" i="6"/>
  <c r="BE47" i="6"/>
  <c r="A155" i="8"/>
  <c r="B63" i="10"/>
  <c r="C61" i="7"/>
  <c r="B60" i="7"/>
  <c r="M48" i="6" l="1"/>
  <c r="BA48" i="6" s="1"/>
  <c r="N48" i="6"/>
  <c r="K49" i="12"/>
  <c r="AP49" i="6"/>
  <c r="AO49" i="6"/>
  <c r="AV49" i="6"/>
  <c r="BE49" i="6"/>
  <c r="AC49" i="6"/>
  <c r="AJ49" i="6"/>
  <c r="BA49" i="6"/>
  <c r="AG49" i="6"/>
  <c r="AQ49" i="6"/>
  <c r="AK49" i="6"/>
  <c r="BG49" i="6"/>
  <c r="AI49" i="6"/>
  <c r="BD49" i="6"/>
  <c r="AB49" i="6"/>
  <c r="AZ49" i="6"/>
  <c r="AU49" i="6"/>
  <c r="G48" i="12"/>
  <c r="AH49" i="6"/>
  <c r="AY49" i="6"/>
  <c r="AN49" i="6"/>
  <c r="AF49" i="6"/>
  <c r="BB49" i="6"/>
  <c r="AM49" i="6"/>
  <c r="BC49" i="6"/>
  <c r="AS49" i="6"/>
  <c r="BF49" i="6"/>
  <c r="AR49" i="6"/>
  <c r="AD49" i="6"/>
  <c r="AT49" i="6"/>
  <c r="A158" i="8"/>
  <c r="C62" i="7"/>
  <c r="B61" i="7"/>
  <c r="B64" i="10"/>
  <c r="AB48" i="6" l="1"/>
  <c r="AM48" i="6"/>
  <c r="AD48" i="6"/>
  <c r="AS48" i="6"/>
  <c r="BF48" i="6"/>
  <c r="BC48" i="6"/>
  <c r="AT48" i="6"/>
  <c r="AY48" i="6"/>
  <c r="BE48" i="6"/>
  <c r="AX48" i="6"/>
  <c r="AO48" i="6"/>
  <c r="AK48" i="6"/>
  <c r="AV48" i="6"/>
  <c r="AZ48" i="6"/>
  <c r="AH48" i="6"/>
  <c r="AN48" i="6"/>
  <c r="BG48" i="6"/>
  <c r="AR48" i="6"/>
  <c r="AC48" i="6"/>
  <c r="AG48" i="6"/>
  <c r="AP48" i="6"/>
  <c r="AU48" i="6"/>
  <c r="AF48" i="6"/>
  <c r="AQ48" i="6"/>
  <c r="AI48" i="6"/>
  <c r="BD48" i="6"/>
  <c r="BB48" i="6"/>
  <c r="AJ48" i="6"/>
  <c r="A161" i="8"/>
  <c r="B62" i="7"/>
  <c r="C63" i="7"/>
  <c r="B63" i="7" l="1"/>
  <c r="C64" i="7"/>
  <c r="B64" i="7" s="1"/>
  <c r="C50" i="5" l="1"/>
  <c r="AE50" i="5" l="1"/>
  <c r="B50" i="6"/>
  <c r="A50" i="6" s="1"/>
  <c r="A50" i="12"/>
  <c r="G50" i="5"/>
  <c r="AD50" i="5"/>
  <c r="N50" i="5"/>
  <c r="D50" i="6" s="1"/>
  <c r="C51" i="5"/>
  <c r="H50" i="5"/>
  <c r="E50" i="5"/>
  <c r="F50" i="5"/>
  <c r="B50" i="5"/>
  <c r="C52" i="5" l="1"/>
  <c r="F51" i="5"/>
  <c r="B51" i="6"/>
  <c r="A51" i="12"/>
  <c r="B51" i="5"/>
  <c r="N51" i="5"/>
  <c r="D51" i="6" s="1"/>
  <c r="AE51" i="5"/>
  <c r="K51" i="5"/>
  <c r="AD51" i="5"/>
  <c r="D51" i="5"/>
  <c r="B51" i="12" s="1"/>
  <c r="E51" i="5"/>
  <c r="G51" i="5"/>
  <c r="H51" i="5"/>
  <c r="J51" i="5"/>
  <c r="AU50" i="6"/>
  <c r="AQ50" i="6"/>
  <c r="BC50" i="6"/>
  <c r="BF50" i="6"/>
  <c r="AS50" i="6"/>
  <c r="AM50" i="6"/>
  <c r="BG50" i="6"/>
  <c r="AO50" i="6"/>
  <c r="M50" i="6"/>
  <c r="AT50" i="6" s="1"/>
  <c r="H50" i="6"/>
  <c r="T50" i="5" s="1"/>
  <c r="G50" i="12" s="1"/>
  <c r="AN50" i="6"/>
  <c r="AZ50" i="6"/>
  <c r="AY50" i="6"/>
  <c r="AX50" i="6"/>
  <c r="BE50" i="6"/>
  <c r="AR50" i="6"/>
  <c r="AV50" i="6"/>
  <c r="BB50" i="6"/>
  <c r="AP50" i="6"/>
  <c r="BD50" i="6"/>
  <c r="BA50" i="6"/>
  <c r="AK50" i="6" l="1"/>
  <c r="AG50" i="6"/>
  <c r="AD50" i="6"/>
  <c r="A51" i="6"/>
  <c r="M51" i="6" s="1"/>
  <c r="BD51" i="6" s="1"/>
  <c r="AF50" i="6"/>
  <c r="AB50" i="6"/>
  <c r="AC50" i="6"/>
  <c r="D52" i="5"/>
  <c r="B52" i="12" s="1"/>
  <c r="B52" i="6"/>
  <c r="N52" i="5"/>
  <c r="D52" i="6" s="1"/>
  <c r="G52" i="5"/>
  <c r="AE52" i="5"/>
  <c r="E52" i="5"/>
  <c r="F52" i="5"/>
  <c r="B52" i="5"/>
  <c r="A52" i="12"/>
  <c r="AD52" i="5"/>
  <c r="J52" i="5"/>
  <c r="K52" i="5"/>
  <c r="H52" i="5"/>
  <c r="AH50" i="6"/>
  <c r="H51" i="6"/>
  <c r="T51" i="5" s="1"/>
  <c r="G51" i="12" s="1"/>
  <c r="AI50" i="6"/>
  <c r="AJ50" i="6"/>
  <c r="L51" i="12"/>
  <c r="J51" i="12"/>
  <c r="AE12" i="6"/>
  <c r="H14" i="6"/>
  <c r="AJ14" i="6" s="1"/>
  <c r="K11" i="10"/>
  <c r="AP12" i="6"/>
  <c r="J11" i="9"/>
  <c r="BA12" i="6"/>
  <c r="AE41" i="6" l="1"/>
  <c r="BG51" i="6"/>
  <c r="AZ51" i="6"/>
  <c r="AR51" i="6"/>
  <c r="AT51" i="6"/>
  <c r="AX51" i="6"/>
  <c r="AS51" i="6"/>
  <c r="BC51" i="6"/>
  <c r="AV51" i="6"/>
  <c r="AU51" i="6"/>
  <c r="BB51" i="6"/>
  <c r="AH51" i="6"/>
  <c r="AC51" i="6"/>
  <c r="AM51" i="6"/>
  <c r="AO51" i="6"/>
  <c r="AY51" i="6"/>
  <c r="AF51" i="6"/>
  <c r="AG51" i="6"/>
  <c r="BE51" i="6"/>
  <c r="BA51" i="6"/>
  <c r="AQ51" i="6"/>
  <c r="AP51" i="6"/>
  <c r="AN51" i="6"/>
  <c r="AB51" i="6"/>
  <c r="BF51" i="6"/>
  <c r="AK51" i="6"/>
  <c r="AJ51" i="6"/>
  <c r="L52" i="12"/>
  <c r="J52" i="12"/>
  <c r="AE45" i="6"/>
  <c r="AE46" i="6"/>
  <c r="AE47" i="6"/>
  <c r="AE48" i="6"/>
  <c r="K51" i="12"/>
  <c r="H52" i="6"/>
  <c r="T52" i="5" s="1"/>
  <c r="G52" i="12" s="1"/>
  <c r="A52" i="6"/>
  <c r="M52" i="6" s="1"/>
  <c r="BA52" i="6" s="1"/>
  <c r="AI51" i="6"/>
  <c r="AD51" i="6"/>
  <c r="AE37" i="6"/>
  <c r="AE38" i="6"/>
  <c r="AE39" i="6"/>
  <c r="AE40" i="6"/>
  <c r="AE32" i="6"/>
  <c r="AE33" i="6"/>
  <c r="AE34" i="6"/>
  <c r="AE35" i="6"/>
  <c r="AE36" i="6"/>
  <c r="AE21" i="6"/>
  <c r="AE23" i="6"/>
  <c r="AE24" i="6"/>
  <c r="AE22" i="6"/>
  <c r="AE25" i="6"/>
  <c r="AE26" i="6"/>
  <c r="AE27" i="6"/>
  <c r="AE43" i="6"/>
  <c r="AE44" i="6"/>
  <c r="AE49" i="6"/>
  <c r="AE42" i="6"/>
  <c r="AE28" i="6"/>
  <c r="AE29" i="6"/>
  <c r="AE51" i="6"/>
  <c r="AE16" i="6"/>
  <c r="AE17" i="6"/>
  <c r="AE18" i="6"/>
  <c r="AE19" i="6"/>
  <c r="AE20" i="6"/>
  <c r="AE30" i="6"/>
  <c r="AE31" i="6"/>
  <c r="AE50" i="6"/>
  <c r="AK14" i="6"/>
  <c r="T14" i="5"/>
  <c r="AB14" i="6"/>
  <c r="AE14" i="6"/>
  <c r="AD14" i="6"/>
  <c r="AH14" i="6"/>
  <c r="AC14" i="6"/>
  <c r="AG14" i="6"/>
  <c r="AI14" i="6"/>
  <c r="AF14" i="6"/>
  <c r="AX52" i="6" l="1"/>
  <c r="K52" i="12"/>
  <c r="AE52" i="6"/>
  <c r="AF52" i="6"/>
  <c r="AK52" i="6"/>
  <c r="AR52" i="6"/>
  <c r="AO52" i="6"/>
  <c r="AN52" i="6"/>
  <c r="BB52" i="6"/>
  <c r="AC52" i="6"/>
  <c r="BG52" i="6"/>
  <c r="AI52" i="6"/>
  <c r="AS52" i="6"/>
  <c r="AB52" i="6"/>
  <c r="AV52" i="6"/>
  <c r="AQ52" i="6"/>
  <c r="AG52" i="6"/>
  <c r="BC52" i="6"/>
  <c r="AD52" i="6"/>
  <c r="AT52" i="6"/>
  <c r="AZ52" i="6"/>
  <c r="BD52" i="6"/>
  <c r="AY52" i="6"/>
  <c r="AH52" i="6"/>
  <c r="BE52" i="6"/>
  <c r="AM52" i="6"/>
  <c r="AJ52" i="6"/>
  <c r="AU52" i="6"/>
  <c r="AP52" i="6"/>
  <c r="BF52" i="6"/>
  <c r="G14" i="12"/>
  <c r="X14" i="5"/>
  <c r="I14" i="12" l="1"/>
  <c r="L14" i="5"/>
  <c r="I14" i="5"/>
  <c r="Z14" i="5"/>
  <c r="AM14" i="5"/>
  <c r="C53" i="5" l="1"/>
  <c r="AA14" i="5"/>
  <c r="AB14" i="5"/>
  <c r="O14" i="5"/>
  <c r="C14" i="6"/>
  <c r="O14" i="12"/>
  <c r="M14" i="12"/>
  <c r="C14" i="12"/>
  <c r="AO14" i="12"/>
  <c r="W53" i="5" l="1"/>
  <c r="H53" i="12" s="1"/>
  <c r="I53" i="5"/>
  <c r="B53" i="5"/>
  <c r="AD53" i="5"/>
  <c r="F53" i="5"/>
  <c r="B53" i="6"/>
  <c r="A53" i="6" s="1"/>
  <c r="H53" i="5"/>
  <c r="E53" i="5"/>
  <c r="AE53" i="5"/>
  <c r="A53" i="12"/>
  <c r="N53" i="5"/>
  <c r="D53" i="6" s="1"/>
  <c r="G53" i="5"/>
  <c r="C54" i="5"/>
  <c r="N14" i="12"/>
  <c r="Y14" i="12"/>
  <c r="D14" i="12"/>
  <c r="E14" i="6"/>
  <c r="K54" i="5" l="1"/>
  <c r="N54" i="5"/>
  <c r="D54" i="6" s="1"/>
  <c r="D54" i="5"/>
  <c r="B54" i="12" s="1"/>
  <c r="C55" i="5"/>
  <c r="AD54" i="5"/>
  <c r="G54" i="5"/>
  <c r="A54" i="12"/>
  <c r="B54" i="5"/>
  <c r="J54" i="5"/>
  <c r="E54" i="5"/>
  <c r="F54" i="5"/>
  <c r="AE54" i="5"/>
  <c r="B54" i="6"/>
  <c r="H54" i="5"/>
  <c r="AO53" i="6"/>
  <c r="BD53" i="6"/>
  <c r="H53" i="6"/>
  <c r="T53" i="5" s="1"/>
  <c r="G53" i="12" s="1"/>
  <c r="AZ53" i="6"/>
  <c r="BE53" i="6"/>
  <c r="AM53" i="6"/>
  <c r="AT53" i="6"/>
  <c r="AP53" i="6"/>
  <c r="AR53" i="6"/>
  <c r="BB53" i="6"/>
  <c r="AY53" i="6"/>
  <c r="AQ53" i="6"/>
  <c r="AU53" i="6"/>
  <c r="AX53" i="6"/>
  <c r="BA53" i="6"/>
  <c r="BG53" i="6"/>
  <c r="AN53" i="6"/>
  <c r="M53" i="6"/>
  <c r="BC53" i="6"/>
  <c r="AV53" i="6"/>
  <c r="BF53" i="6"/>
  <c r="AS53" i="6"/>
  <c r="W14" i="12"/>
  <c r="X14" i="12"/>
  <c r="AF53" i="6" l="1"/>
  <c r="J54" i="12"/>
  <c r="L54" i="12"/>
  <c r="AI53" i="6"/>
  <c r="E55" i="5"/>
  <c r="D55" i="5"/>
  <c r="B55" i="12" s="1"/>
  <c r="J55" i="5"/>
  <c r="N55" i="5"/>
  <c r="D55" i="6" s="1"/>
  <c r="AD55" i="5"/>
  <c r="B55" i="6"/>
  <c r="B55" i="5"/>
  <c r="C56" i="5"/>
  <c r="H55" i="5"/>
  <c r="K55" i="5"/>
  <c r="AE55" i="5"/>
  <c r="F55" i="5"/>
  <c r="A55" i="12"/>
  <c r="G55" i="5"/>
  <c r="AE53" i="6"/>
  <c r="H54" i="6"/>
  <c r="T54" i="5" s="1"/>
  <c r="G54" i="12" s="1"/>
  <c r="AC53" i="6"/>
  <c r="AJ53" i="6"/>
  <c r="AD53" i="6"/>
  <c r="AG53" i="6"/>
  <c r="A54" i="6"/>
  <c r="M54" i="6" s="1"/>
  <c r="AZ54" i="6" s="1"/>
  <c r="AK53" i="6"/>
  <c r="AB53" i="6"/>
  <c r="AH53" i="6"/>
  <c r="U14" i="12"/>
  <c r="V14" i="12"/>
  <c r="T14" i="12"/>
  <c r="K54" i="12" l="1"/>
  <c r="AN54" i="6"/>
  <c r="AC54" i="6"/>
  <c r="L55" i="12"/>
  <c r="J55" i="12"/>
  <c r="AM54" i="6"/>
  <c r="AK54" i="6"/>
  <c r="BE54" i="6"/>
  <c r="AS54" i="6"/>
  <c r="AQ54" i="6"/>
  <c r="AO54" i="6"/>
  <c r="AG54" i="6"/>
  <c r="BB54" i="6"/>
  <c r="BF54" i="6"/>
  <c r="AT54" i="6"/>
  <c r="G56" i="5"/>
  <c r="H56" i="5"/>
  <c r="F56" i="5"/>
  <c r="B56" i="6"/>
  <c r="J56" i="5"/>
  <c r="K56" i="5"/>
  <c r="A56" i="12"/>
  <c r="E56" i="5"/>
  <c r="B56" i="5"/>
  <c r="N56" i="5"/>
  <c r="D56" i="6" s="1"/>
  <c r="AD56" i="5"/>
  <c r="D56" i="5"/>
  <c r="B56" i="12" s="1"/>
  <c r="AE56" i="5"/>
  <c r="AJ54" i="6"/>
  <c r="AD54" i="6"/>
  <c r="AB54" i="6"/>
  <c r="AE54" i="6"/>
  <c r="A55" i="6"/>
  <c r="M55" i="6" s="1"/>
  <c r="BD55" i="6" s="1"/>
  <c r="AX54" i="6"/>
  <c r="BC54" i="6"/>
  <c r="AF54" i="6"/>
  <c r="BG54" i="6"/>
  <c r="H55" i="6"/>
  <c r="T55" i="5" s="1"/>
  <c r="G55" i="12" s="1"/>
  <c r="AY54" i="6"/>
  <c r="AR54" i="6"/>
  <c r="BD54" i="6"/>
  <c r="AI54" i="6"/>
  <c r="AU54" i="6"/>
  <c r="AP54" i="6"/>
  <c r="AH54" i="6"/>
  <c r="BA54" i="6"/>
  <c r="AV54" i="6"/>
  <c r="AE3" i="6"/>
  <c r="T6" i="6" s="1"/>
  <c r="BB55" i="6" l="1"/>
  <c r="AV55" i="6"/>
  <c r="AO55" i="6"/>
  <c r="AH55" i="6"/>
  <c r="AZ55" i="6"/>
  <c r="AT55" i="6"/>
  <c r="AK55" i="6"/>
  <c r="AB55" i="6"/>
  <c r="AM55" i="6"/>
  <c r="BF55" i="6"/>
  <c r="AJ55" i="6"/>
  <c r="AC55" i="6"/>
  <c r="AF55" i="6"/>
  <c r="BC55" i="6"/>
  <c r="AU55" i="6"/>
  <c r="AX55" i="6"/>
  <c r="AG55" i="6"/>
  <c r="BG55" i="6"/>
  <c r="AI55" i="6"/>
  <c r="AR55" i="6"/>
  <c r="K55" i="12"/>
  <c r="AY55" i="6"/>
  <c r="H56" i="6"/>
  <c r="T56" i="5" s="1"/>
  <c r="G56" i="12" s="1"/>
  <c r="AP55" i="6"/>
  <c r="AN55" i="6"/>
  <c r="J56" i="12"/>
  <c r="L56" i="12"/>
  <c r="AD55" i="6"/>
  <c r="AQ55" i="6"/>
  <c r="BA55" i="6"/>
  <c r="BE55" i="6"/>
  <c r="A56" i="6"/>
  <c r="M56" i="6" s="1"/>
  <c r="AN56" i="6" s="1"/>
  <c r="AS55" i="6"/>
  <c r="AE55" i="6"/>
  <c r="K17" i="5"/>
  <c r="AX56" i="6" l="1"/>
  <c r="AM56" i="6"/>
  <c r="BF56" i="6"/>
  <c r="AZ56" i="6"/>
  <c r="AS56" i="6"/>
  <c r="BD56" i="6"/>
  <c r="AC56" i="6"/>
  <c r="AF56" i="6"/>
  <c r="AP56" i="6"/>
  <c r="AJ56" i="6"/>
  <c r="AB56" i="6"/>
  <c r="AO56" i="6"/>
  <c r="AU56" i="6"/>
  <c r="AT56" i="6"/>
  <c r="BC56" i="6"/>
  <c r="BA56" i="6"/>
  <c r="AK56" i="6"/>
  <c r="AY56" i="6"/>
  <c r="BG56" i="6"/>
  <c r="AV56" i="6"/>
  <c r="AE56" i="6"/>
  <c r="BB56" i="6"/>
  <c r="AG56" i="6"/>
  <c r="BE56" i="6"/>
  <c r="K56" i="12"/>
  <c r="AI56" i="6"/>
  <c r="AH56" i="6"/>
  <c r="AQ56" i="6"/>
  <c r="AR56" i="6"/>
  <c r="AD56" i="6"/>
  <c r="AH16" i="13"/>
  <c r="AG16" i="13"/>
  <c r="AF18" i="13"/>
  <c r="AF16" i="13"/>
  <c r="AC18" i="13"/>
  <c r="AG18" i="13"/>
  <c r="AH18" i="13"/>
  <c r="AD18" i="13"/>
  <c r="AG22" i="13"/>
  <c r="AC15" i="13"/>
  <c r="AG15" i="13"/>
  <c r="AH15" i="13"/>
  <c r="AD15" i="13"/>
  <c r="AH20" i="13"/>
  <c r="AG23" i="13"/>
  <c r="AF21" i="13"/>
  <c r="AH23" i="13"/>
  <c r="AC21" i="13"/>
  <c r="AH17" i="13"/>
  <c r="AH19" i="13"/>
  <c r="AD19" i="13"/>
  <c r="AG19" i="13"/>
  <c r="AE15" i="13"/>
  <c r="AC16" i="13"/>
  <c r="AE19" i="13"/>
  <c r="AD16" i="13"/>
  <c r="AF19" i="13"/>
  <c r="AD17" i="13"/>
  <c r="AC22" i="13"/>
  <c r="AC20" i="13"/>
  <c r="AC23" i="13"/>
  <c r="AC17" i="13"/>
  <c r="AH22" i="13"/>
  <c r="AH21" i="13"/>
  <c r="AE20" i="13"/>
  <c r="AD23" i="13"/>
  <c r="AE17" i="13"/>
  <c r="AD22" i="13"/>
  <c r="AE21" i="13"/>
  <c r="AF20" i="13"/>
  <c r="AF23" i="13"/>
  <c r="AF17" i="13"/>
  <c r="AE22" i="13"/>
  <c r="AG21" i="13"/>
  <c r="AG20" i="13"/>
  <c r="AC12" i="13"/>
  <c r="AH12" i="13"/>
  <c r="AG12" i="13"/>
  <c r="AE12" i="13"/>
  <c r="AF12" i="13"/>
  <c r="C57" i="5" l="1"/>
  <c r="M12" i="6"/>
  <c r="AF57" i="5"/>
  <c r="AG57" i="5" l="1"/>
  <c r="S57" i="5"/>
  <c r="F57" i="12" s="1"/>
  <c r="AE57" i="5"/>
  <c r="E57" i="5"/>
  <c r="W57" i="5"/>
  <c r="H57" i="12" s="1"/>
  <c r="F57" i="5"/>
  <c r="K53" i="5" s="1"/>
  <c r="N57" i="5"/>
  <c r="D57" i="6" s="1"/>
  <c r="G57" i="5"/>
  <c r="A57" i="12"/>
  <c r="H57" i="5"/>
  <c r="C58" i="5"/>
  <c r="AD57" i="5"/>
  <c r="B57" i="6"/>
  <c r="A57" i="6" s="1"/>
  <c r="B57" i="5"/>
  <c r="AF15" i="13"/>
  <c r="AD12" i="13"/>
  <c r="AG17" i="13"/>
  <c r="AF22" i="13"/>
  <c r="AC19" i="13"/>
  <c r="AE23" i="13"/>
  <c r="AE18" i="13"/>
  <c r="AE16" i="13"/>
  <c r="AD20" i="13"/>
  <c r="AH14" i="13"/>
  <c r="AE14" i="13"/>
  <c r="J58" i="5" l="1"/>
  <c r="G58" i="5"/>
  <c r="H58" i="5"/>
  <c r="B58" i="6"/>
  <c r="K58" i="5"/>
  <c r="AE58" i="5"/>
  <c r="D58" i="5"/>
  <c r="B58" i="12" s="1"/>
  <c r="B58" i="5"/>
  <c r="F58" i="5"/>
  <c r="C59" i="5"/>
  <c r="A58" i="12"/>
  <c r="E58" i="5"/>
  <c r="AD58" i="5"/>
  <c r="N58" i="5"/>
  <c r="D58" i="6" s="1"/>
  <c r="AY57" i="6"/>
  <c r="BD57" i="6"/>
  <c r="BF57" i="6"/>
  <c r="AN57" i="6"/>
  <c r="AU57" i="6"/>
  <c r="BB57" i="6"/>
  <c r="BE57" i="6"/>
  <c r="H57" i="6"/>
  <c r="T57" i="5" s="1"/>
  <c r="G57" i="12" s="1"/>
  <c r="AS57" i="6"/>
  <c r="AR57" i="6"/>
  <c r="BC57" i="6"/>
  <c r="AX57" i="6"/>
  <c r="G57" i="6"/>
  <c r="AM57" i="6"/>
  <c r="AQ57" i="6"/>
  <c r="AO57" i="6"/>
  <c r="BA57" i="6"/>
  <c r="AV57" i="6"/>
  <c r="AT57" i="6"/>
  <c r="AP57" i="6"/>
  <c r="M57" i="6"/>
  <c r="BG57" i="6" s="1"/>
  <c r="AZ57" i="6"/>
  <c r="K50" i="5"/>
  <c r="AD14" i="13"/>
  <c r="AG14" i="13"/>
  <c r="AF14" i="13"/>
  <c r="AC14" i="13"/>
  <c r="A58" i="6" l="1"/>
  <c r="M58" i="6" s="1"/>
  <c r="AX58" i="6" s="1"/>
  <c r="AB57" i="6"/>
  <c r="AH57" i="6"/>
  <c r="AF57" i="6"/>
  <c r="AC57" i="6"/>
  <c r="AG57" i="6"/>
  <c r="AK57" i="6"/>
  <c r="H58" i="6"/>
  <c r="T58" i="5" s="1"/>
  <c r="G58" i="12" s="1"/>
  <c r="AI57" i="6"/>
  <c r="AE57" i="6"/>
  <c r="L58" i="12"/>
  <c r="J58" i="12"/>
  <c r="AJ57" i="6"/>
  <c r="C60" i="5"/>
  <c r="G59" i="5"/>
  <c r="A59" i="12"/>
  <c r="D59" i="5"/>
  <c r="B59" i="12" s="1"/>
  <c r="K59" i="5"/>
  <c r="E59" i="5"/>
  <c r="F59" i="5"/>
  <c r="J59" i="5"/>
  <c r="AD59" i="5"/>
  <c r="B59" i="5"/>
  <c r="N59" i="5"/>
  <c r="D59" i="6" s="1"/>
  <c r="B59" i="6"/>
  <c r="AE59" i="5"/>
  <c r="H59" i="5"/>
  <c r="AD57" i="6"/>
  <c r="AS58" i="6" l="1"/>
  <c r="AC58" i="6"/>
  <c r="AJ58" i="6"/>
  <c r="AR58" i="6"/>
  <c r="BE58" i="6"/>
  <c r="AE58" i="6"/>
  <c r="AV58" i="6"/>
  <c r="AK58" i="6"/>
  <c r="AM58" i="6"/>
  <c r="BC58" i="6"/>
  <c r="BB58" i="6"/>
  <c r="AY58" i="6"/>
  <c r="AH58" i="6"/>
  <c r="AQ58" i="6"/>
  <c r="B60" i="5"/>
  <c r="K60" i="5"/>
  <c r="J60" i="5"/>
  <c r="B60" i="6"/>
  <c r="D60" i="5"/>
  <c r="B60" i="12" s="1"/>
  <c r="N60" i="5"/>
  <c r="D60" i="6" s="1"/>
  <c r="A60" i="12"/>
  <c r="AE60" i="5"/>
  <c r="H60" i="5"/>
  <c r="F60" i="5"/>
  <c r="AD60" i="5"/>
  <c r="E60" i="5"/>
  <c r="G60" i="5"/>
  <c r="A59" i="6"/>
  <c r="M59" i="6" s="1"/>
  <c r="AO59" i="6" s="1"/>
  <c r="AD58" i="6"/>
  <c r="AN58" i="6"/>
  <c r="H59" i="6"/>
  <c r="T59" i="5" s="1"/>
  <c r="G59" i="12" s="1"/>
  <c r="AP58" i="6"/>
  <c r="BD58" i="6"/>
  <c r="BA58" i="6"/>
  <c r="AZ58" i="6"/>
  <c r="AF58" i="6"/>
  <c r="BG58" i="6"/>
  <c r="AO58" i="6"/>
  <c r="AB58" i="6"/>
  <c r="K58" i="12"/>
  <c r="BF58" i="6"/>
  <c r="L59" i="12"/>
  <c r="J59" i="12"/>
  <c r="AU58" i="6"/>
  <c r="AI58" i="6"/>
  <c r="AT58" i="6"/>
  <c r="AG58" i="6"/>
  <c r="K59" i="12" l="1"/>
  <c r="AH59" i="6"/>
  <c r="AY59" i="6"/>
  <c r="BG59" i="6"/>
  <c r="BC59" i="6"/>
  <c r="AG59" i="6"/>
  <c r="AJ59" i="6"/>
  <c r="AT59" i="6"/>
  <c r="AQ59" i="6"/>
  <c r="BB59" i="6"/>
  <c r="AS59" i="6"/>
  <c r="AV59" i="6"/>
  <c r="BD59" i="6"/>
  <c r="AC59" i="6"/>
  <c r="AP59" i="6"/>
  <c r="AE59" i="6"/>
  <c r="BE59" i="6"/>
  <c r="AK59" i="6"/>
  <c r="AF59" i="6"/>
  <c r="AR59" i="6"/>
  <c r="AX59" i="6"/>
  <c r="L60" i="12"/>
  <c r="J60" i="12"/>
  <c r="H60" i="6"/>
  <c r="T60" i="5" s="1"/>
  <c r="G60" i="12" s="1"/>
  <c r="AZ59" i="6"/>
  <c r="BA59" i="6"/>
  <c r="AU59" i="6"/>
  <c r="A60" i="6"/>
  <c r="M60" i="6" s="1"/>
  <c r="AN60" i="6" s="1"/>
  <c r="AI59" i="6"/>
  <c r="AB59" i="6"/>
  <c r="BF59" i="6"/>
  <c r="AD59" i="6"/>
  <c r="AN59" i="6"/>
  <c r="AM59" i="6"/>
  <c r="BE60" i="6" l="1"/>
  <c r="AO60" i="6"/>
  <c r="AZ60" i="6"/>
  <c r="AV60" i="6"/>
  <c r="AT60" i="6"/>
  <c r="AQ60" i="6"/>
  <c r="AU60" i="6"/>
  <c r="AY60" i="6"/>
  <c r="BG60" i="6"/>
  <c r="BA60" i="6"/>
  <c r="AD60" i="6"/>
  <c r="AM60" i="6"/>
  <c r="BC60" i="6"/>
  <c r="AC60" i="6"/>
  <c r="AR60" i="6"/>
  <c r="AS60" i="6"/>
  <c r="AJ60" i="6"/>
  <c r="AF60" i="6"/>
  <c r="AB60" i="6"/>
  <c r="AX60" i="6"/>
  <c r="AG60" i="6"/>
  <c r="K60" i="12"/>
  <c r="C61" i="5"/>
  <c r="AI60" i="6"/>
  <c r="AP60" i="6"/>
  <c r="BF60" i="6"/>
  <c r="BB60" i="6"/>
  <c r="AE60" i="6"/>
  <c r="BD60" i="6"/>
  <c r="AK60" i="6"/>
  <c r="AH60" i="6"/>
  <c r="AE61" i="5" l="1"/>
  <c r="E61" i="5"/>
  <c r="F61" i="5"/>
  <c r="AD61" i="5"/>
  <c r="G61" i="5"/>
  <c r="W61" i="5"/>
  <c r="H61" i="12" s="1"/>
  <c r="I61" i="5"/>
  <c r="N61" i="5"/>
  <c r="D61" i="6" s="1"/>
  <c r="H61" i="5"/>
  <c r="A61" i="12"/>
  <c r="B61" i="6"/>
  <c r="A61" i="6" s="1"/>
  <c r="C62" i="5"/>
  <c r="B61" i="5"/>
  <c r="AD21" i="13"/>
  <c r="G62" i="5" l="1"/>
  <c r="B62" i="5"/>
  <c r="A62" i="12"/>
  <c r="H62" i="5"/>
  <c r="D62" i="5"/>
  <c r="B62" i="12" s="1"/>
  <c r="E62" i="5"/>
  <c r="F62" i="5"/>
  <c r="K62" i="5"/>
  <c r="N62" i="5"/>
  <c r="D62" i="6" s="1"/>
  <c r="C63" i="5"/>
  <c r="AE62" i="5"/>
  <c r="AD62" i="5"/>
  <c r="B62" i="6"/>
  <c r="J62" i="5"/>
  <c r="AN61" i="6"/>
  <c r="BG61" i="6"/>
  <c r="BF61" i="6"/>
  <c r="AP61" i="6"/>
  <c r="G61" i="6"/>
  <c r="BA61" i="6"/>
  <c r="AV61" i="6"/>
  <c r="AT61" i="6"/>
  <c r="AM61" i="6"/>
  <c r="AY61" i="6"/>
  <c r="AQ61" i="6"/>
  <c r="BD61" i="6"/>
  <c r="BC61" i="6"/>
  <c r="AZ61" i="6"/>
  <c r="AR61" i="6"/>
  <c r="AU61" i="6"/>
  <c r="H61" i="6"/>
  <c r="T61" i="5" s="1"/>
  <c r="G61" i="12" s="1"/>
  <c r="AX61" i="6"/>
  <c r="BE61" i="6"/>
  <c r="M61" i="6"/>
  <c r="BB61" i="6"/>
  <c r="AS61" i="6"/>
  <c r="AO61" i="6"/>
  <c r="AE61" i="6" l="1"/>
  <c r="AC61" i="6"/>
  <c r="AH61" i="6"/>
  <c r="A62" i="6"/>
  <c r="M62" i="6" s="1"/>
  <c r="AO62" i="6" s="1"/>
  <c r="C64" i="5"/>
  <c r="E63" i="5"/>
  <c r="B63" i="5"/>
  <c r="F63" i="5"/>
  <c r="N63" i="5"/>
  <c r="D63" i="6" s="1"/>
  <c r="J63" i="5"/>
  <c r="D63" i="5"/>
  <c r="B63" i="12" s="1"/>
  <c r="B63" i="6"/>
  <c r="K63" i="5"/>
  <c r="A63" i="12"/>
  <c r="AD63" i="5"/>
  <c r="AE63" i="5"/>
  <c r="H63" i="5"/>
  <c r="G63" i="5"/>
  <c r="H62" i="6"/>
  <c r="T62" i="5" s="1"/>
  <c r="G62" i="12" s="1"/>
  <c r="AI61" i="6"/>
  <c r="AK61" i="6"/>
  <c r="AJ61" i="6"/>
  <c r="AD61" i="6"/>
  <c r="J62" i="12"/>
  <c r="L62" i="12"/>
  <c r="AB61" i="6"/>
  <c r="AG61" i="6"/>
  <c r="AF61" i="6"/>
  <c r="K62" i="12" l="1"/>
  <c r="B64" i="5"/>
  <c r="F64" i="5"/>
  <c r="G64" i="5"/>
  <c r="H64" i="5"/>
  <c r="A63" i="6"/>
  <c r="M63" i="6" s="1"/>
  <c r="AP63" i="6" s="1"/>
  <c r="BD62" i="6"/>
  <c r="BG62" i="6"/>
  <c r="AT62" i="6"/>
  <c r="AZ62" i="6"/>
  <c r="AS62" i="6"/>
  <c r="BB62" i="6"/>
  <c r="BC62" i="6"/>
  <c r="BE62" i="6"/>
  <c r="AV62" i="6"/>
  <c r="AP62" i="6"/>
  <c r="AQ62" i="6"/>
  <c r="AX62" i="6"/>
  <c r="AN62" i="6"/>
  <c r="AY62" i="6"/>
  <c r="AM62" i="6"/>
  <c r="BF62" i="6"/>
  <c r="AR62" i="6"/>
  <c r="AU62" i="6"/>
  <c r="BA62" i="6"/>
  <c r="AG62" i="6"/>
  <c r="AB62" i="6"/>
  <c r="L63" i="12"/>
  <c r="J63" i="12"/>
  <c r="AJ62" i="6"/>
  <c r="AH62" i="6"/>
  <c r="AK62" i="6"/>
  <c r="H63" i="6"/>
  <c r="T63" i="5" s="1"/>
  <c r="G63" i="12" s="1"/>
  <c r="AI62" i="6"/>
  <c r="AD62" i="6"/>
  <c r="AE62" i="6"/>
  <c r="AC62" i="6"/>
  <c r="E64" i="5"/>
  <c r="AF62" i="6"/>
  <c r="D64" i="5"/>
  <c r="B64" i="12" s="1"/>
  <c r="C65" i="5"/>
  <c r="B64" i="6"/>
  <c r="A64" i="12"/>
  <c r="N64" i="5"/>
  <c r="D64" i="6" s="1"/>
  <c r="K64" i="5"/>
  <c r="J64" i="5"/>
  <c r="AD64" i="5"/>
  <c r="AE64" i="5"/>
  <c r="BE63" i="6" l="1"/>
  <c r="AX63" i="6"/>
  <c r="AM63" i="6"/>
  <c r="AZ63" i="6"/>
  <c r="BA63" i="6"/>
  <c r="AN63" i="6"/>
  <c r="BF63" i="6"/>
  <c r="BB63" i="6"/>
  <c r="AY63" i="6"/>
  <c r="AS63" i="6"/>
  <c r="AO63" i="6"/>
  <c r="AD63" i="6"/>
  <c r="AQ63" i="6"/>
  <c r="BG63" i="6"/>
  <c r="AV63" i="6"/>
  <c r="AR63" i="6"/>
  <c r="AT63" i="6"/>
  <c r="AJ63" i="6"/>
  <c r="BD63" i="6"/>
  <c r="BC63" i="6"/>
  <c r="AU63" i="6"/>
  <c r="AB63" i="6"/>
  <c r="K63" i="12"/>
  <c r="AE63" i="6"/>
  <c r="H64" i="6"/>
  <c r="T64" i="5" s="1"/>
  <c r="G64" i="12" s="1"/>
  <c r="A64" i="6"/>
  <c r="N64" i="6" s="1"/>
  <c r="B65" i="6"/>
  <c r="J65" i="5"/>
  <c r="N65" i="5"/>
  <c r="D65" i="6" s="1"/>
  <c r="AE65" i="5"/>
  <c r="B65" i="5"/>
  <c r="AD65" i="5"/>
  <c r="E65" i="5"/>
  <c r="H65" i="5"/>
  <c r="G65" i="5"/>
  <c r="F65" i="5"/>
  <c r="A65" i="12"/>
  <c r="D65" i="5"/>
  <c r="B65" i="12" s="1"/>
  <c r="K65" i="5"/>
  <c r="AI63" i="6"/>
  <c r="AH63" i="6"/>
  <c r="AG63" i="6"/>
  <c r="L64" i="12"/>
  <c r="J64" i="12"/>
  <c r="AC63" i="6"/>
  <c r="AF63" i="6"/>
  <c r="AK63" i="6"/>
  <c r="K43" i="5"/>
  <c r="J43" i="5"/>
  <c r="K42" i="5"/>
  <c r="K64" i="12" l="1"/>
  <c r="L65" i="12"/>
  <c r="J65" i="12"/>
  <c r="H65" i="6"/>
  <c r="A65" i="6"/>
  <c r="N65" i="6" s="1"/>
  <c r="M64" i="6"/>
  <c r="C66" i="5"/>
  <c r="D43" i="5"/>
  <c r="B43" i="12" s="1"/>
  <c r="AF66" i="5"/>
  <c r="K65" i="12" l="1"/>
  <c r="AG66" i="5"/>
  <c r="S66" i="5"/>
  <c r="F66" i="12" s="1"/>
  <c r="AG64" i="6"/>
  <c r="BD64" i="6"/>
  <c r="AJ64" i="6"/>
  <c r="AI64" i="6"/>
  <c r="BE64" i="6"/>
  <c r="AE64" i="6"/>
  <c r="AP64" i="6"/>
  <c r="AQ64" i="6"/>
  <c r="AV64" i="6"/>
  <c r="AC64" i="6"/>
  <c r="AH64" i="6"/>
  <c r="AY64" i="6"/>
  <c r="BB64" i="6"/>
  <c r="AZ64" i="6"/>
  <c r="AB64" i="6"/>
  <c r="AF64" i="6"/>
  <c r="AX64" i="6"/>
  <c r="BC64" i="6"/>
  <c r="AS64" i="6"/>
  <c r="BA64" i="6"/>
  <c r="AU64" i="6"/>
  <c r="AO64" i="6"/>
  <c r="AM64" i="6"/>
  <c r="AD64" i="6"/>
  <c r="BG64" i="6"/>
  <c r="AT64" i="6"/>
  <c r="AR64" i="6"/>
  <c r="BF64" i="6"/>
  <c r="AN64" i="6"/>
  <c r="AK64" i="6"/>
  <c r="M65" i="6"/>
  <c r="AH65" i="6" s="1"/>
  <c r="T65" i="5"/>
  <c r="G65" i="12" s="1"/>
  <c r="AE66" i="5"/>
  <c r="E66" i="5"/>
  <c r="AD66" i="5"/>
  <c r="H66" i="5"/>
  <c r="F66" i="5"/>
  <c r="G66" i="5"/>
  <c r="W66" i="5"/>
  <c r="H66" i="12" s="1"/>
  <c r="N66" i="5"/>
  <c r="D66" i="6" s="1"/>
  <c r="AT66" i="6" s="1"/>
  <c r="A66" i="12"/>
  <c r="B66" i="6"/>
  <c r="A66" i="6" s="1"/>
  <c r="B66" i="5"/>
  <c r="C67" i="5"/>
  <c r="AC65" i="6" l="1"/>
  <c r="AQ66" i="6"/>
  <c r="AV66" i="6"/>
  <c r="AO66" i="6"/>
  <c r="BG66" i="6"/>
  <c r="AZ66" i="6"/>
  <c r="AR66" i="6"/>
  <c r="BA66" i="6"/>
  <c r="AS66" i="6"/>
  <c r="AY66" i="6"/>
  <c r="BB66" i="6"/>
  <c r="AM66" i="6"/>
  <c r="BD66" i="6"/>
  <c r="AK65" i="6"/>
  <c r="AI65" i="6"/>
  <c r="E66" i="12"/>
  <c r="F66" i="6"/>
  <c r="AD65" i="6"/>
  <c r="AF65" i="6"/>
  <c r="F67" i="5"/>
  <c r="B67" i="5"/>
  <c r="AD67" i="5"/>
  <c r="E67" i="5"/>
  <c r="D67" i="5"/>
  <c r="B67" i="12" s="1"/>
  <c r="K67" i="5"/>
  <c r="AE67" i="5"/>
  <c r="A67" i="12"/>
  <c r="N67" i="5"/>
  <c r="D67" i="6" s="1"/>
  <c r="G67" i="5"/>
  <c r="H67" i="5"/>
  <c r="B67" i="6"/>
  <c r="J67" i="5"/>
  <c r="AX66" i="6"/>
  <c r="AU66" i="6"/>
  <c r="AG65" i="6"/>
  <c r="BC66" i="6"/>
  <c r="AN66" i="6"/>
  <c r="BF66" i="6"/>
  <c r="BE66" i="6"/>
  <c r="AP66" i="6"/>
  <c r="AJ65" i="6"/>
  <c r="H66" i="6"/>
  <c r="G66" i="6"/>
  <c r="N66" i="6"/>
  <c r="M66" i="6"/>
  <c r="BF65" i="6"/>
  <c r="AM65" i="6"/>
  <c r="AU65" i="6"/>
  <c r="BB65" i="6"/>
  <c r="AR65" i="6"/>
  <c r="AV65" i="6"/>
  <c r="AQ65" i="6"/>
  <c r="AN65" i="6"/>
  <c r="AT65" i="6"/>
  <c r="AO65" i="6"/>
  <c r="BC65" i="6"/>
  <c r="AZ65" i="6"/>
  <c r="AY65" i="6"/>
  <c r="BD65" i="6"/>
  <c r="AS65" i="6"/>
  <c r="BG65" i="6"/>
  <c r="BA65" i="6"/>
  <c r="AE65" i="6"/>
  <c r="AP65" i="6"/>
  <c r="AB65" i="6"/>
  <c r="BE65" i="6"/>
  <c r="AX65" i="6"/>
  <c r="L43" i="12"/>
  <c r="J43" i="12"/>
  <c r="A67" i="6" l="1"/>
  <c r="N67" i="6" s="1"/>
  <c r="T66" i="5"/>
  <c r="G66" i="12" s="1"/>
  <c r="AF66" i="6"/>
  <c r="AD66" i="6"/>
  <c r="AB66" i="6"/>
  <c r="AC66" i="6"/>
  <c r="AK66" i="6"/>
  <c r="AI66" i="6"/>
  <c r="J67" i="12"/>
  <c r="L67" i="12"/>
  <c r="AE66" i="6"/>
  <c r="AJ66" i="6"/>
  <c r="AH66" i="6"/>
  <c r="H67" i="6"/>
  <c r="AG66" i="6"/>
  <c r="K57" i="5"/>
  <c r="K43" i="12"/>
  <c r="M67" i="6" l="1"/>
  <c r="AU67" i="6" s="1"/>
  <c r="K67" i="12"/>
  <c r="T67" i="5"/>
  <c r="G67" i="12" s="1"/>
  <c r="C68" i="5"/>
  <c r="AF68" i="5"/>
  <c r="BG67" i="6" l="1"/>
  <c r="BD67" i="6"/>
  <c r="AG67" i="6"/>
  <c r="AZ67" i="6"/>
  <c r="AX67" i="6"/>
  <c r="AI67" i="6"/>
  <c r="AT67" i="6"/>
  <c r="AE67" i="6"/>
  <c r="AF67" i="6"/>
  <c r="AJ67" i="6"/>
  <c r="BF67" i="6"/>
  <c r="AH67" i="6"/>
  <c r="AY67" i="6"/>
  <c r="BC67" i="6"/>
  <c r="BA67" i="6"/>
  <c r="AK67" i="6"/>
  <c r="AO67" i="6"/>
  <c r="BE67" i="6"/>
  <c r="AM67" i="6"/>
  <c r="AN67" i="6"/>
  <c r="AP67" i="6"/>
  <c r="AV67" i="6"/>
  <c r="AD67" i="6"/>
  <c r="BB67" i="6"/>
  <c r="AC67" i="6"/>
  <c r="AB67" i="6"/>
  <c r="AS67" i="6"/>
  <c r="AR67" i="6"/>
  <c r="AQ67" i="6"/>
  <c r="S68" i="5"/>
  <c r="F68" i="12" s="1"/>
  <c r="AG68" i="5"/>
  <c r="H68" i="5"/>
  <c r="G68" i="5"/>
  <c r="AE68" i="5"/>
  <c r="F68" i="5"/>
  <c r="C69" i="5"/>
  <c r="A68" i="12"/>
  <c r="E68" i="5"/>
  <c r="N68" i="5"/>
  <c r="D68" i="6" s="1"/>
  <c r="AZ68" i="6" s="1"/>
  <c r="AD68" i="5"/>
  <c r="B68" i="6"/>
  <c r="A68" i="6" s="1"/>
  <c r="B68" i="5"/>
  <c r="W68" i="5"/>
  <c r="H68" i="12" s="1"/>
  <c r="AQ68" i="6" l="1"/>
  <c r="AY68" i="6"/>
  <c r="AN68" i="6"/>
  <c r="AR68" i="6"/>
  <c r="BG68" i="6"/>
  <c r="AT68" i="6"/>
  <c r="BC68" i="6"/>
  <c r="BB68" i="6"/>
  <c r="BD68" i="6"/>
  <c r="AS68" i="6"/>
  <c r="BE68" i="6"/>
  <c r="BA68" i="6"/>
  <c r="AU68" i="6"/>
  <c r="AV68" i="6"/>
  <c r="AM68" i="6"/>
  <c r="AX68" i="6"/>
  <c r="AO68" i="6"/>
  <c r="D69" i="5"/>
  <c r="B69" i="12" s="1"/>
  <c r="B69" i="6"/>
  <c r="B69" i="5"/>
  <c r="C70" i="5"/>
  <c r="A69" i="12"/>
  <c r="N69" i="5"/>
  <c r="D69" i="6" s="1"/>
  <c r="J69" i="5"/>
  <c r="K69" i="5"/>
  <c r="G69" i="5"/>
  <c r="AE69" i="5"/>
  <c r="AD69" i="5"/>
  <c r="E69" i="5"/>
  <c r="H69" i="5"/>
  <c r="F69" i="5"/>
  <c r="F68" i="6"/>
  <c r="E68" i="12"/>
  <c r="AP68" i="6"/>
  <c r="N68" i="6"/>
  <c r="H68" i="6"/>
  <c r="G68" i="6"/>
  <c r="M68" i="6"/>
  <c r="BF68" i="6" s="1"/>
  <c r="T68" i="5" l="1"/>
  <c r="G68" i="12" s="1"/>
  <c r="AG68" i="6"/>
  <c r="AI68" i="6"/>
  <c r="AF68" i="6"/>
  <c r="AE68" i="6"/>
  <c r="AC68" i="6"/>
  <c r="AK68" i="6"/>
  <c r="AH68" i="6"/>
  <c r="AJ68" i="6"/>
  <c r="AB68" i="6"/>
  <c r="H69" i="6"/>
  <c r="L69" i="12"/>
  <c r="J69" i="12"/>
  <c r="AD70" i="5"/>
  <c r="B70" i="6"/>
  <c r="H70" i="5"/>
  <c r="B70" i="5"/>
  <c r="G70" i="5"/>
  <c r="A70" i="12"/>
  <c r="F70" i="5"/>
  <c r="C71" i="5"/>
  <c r="E70" i="5"/>
  <c r="D70" i="5"/>
  <c r="B70" i="12" s="1"/>
  <c r="N70" i="5"/>
  <c r="D70" i="6" s="1"/>
  <c r="K70" i="5"/>
  <c r="AE70" i="5"/>
  <c r="J70" i="5"/>
  <c r="A69" i="6"/>
  <c r="N69" i="6" s="1"/>
  <c r="AD68" i="6"/>
  <c r="K69" i="12" l="1"/>
  <c r="H70" i="6"/>
  <c r="M69" i="6"/>
  <c r="AF69" i="6" s="1"/>
  <c r="T69" i="5"/>
  <c r="G69" i="12" s="1"/>
  <c r="J71" i="5"/>
  <c r="K71" i="5"/>
  <c r="N71" i="5"/>
  <c r="D71" i="6" s="1"/>
  <c r="F71" i="5"/>
  <c r="H71" i="5"/>
  <c r="D71" i="5"/>
  <c r="B71" i="12" s="1"/>
  <c r="A71" i="12"/>
  <c r="B71" i="5"/>
  <c r="AD71" i="5"/>
  <c r="E71" i="5"/>
  <c r="G71" i="5"/>
  <c r="B71" i="6"/>
  <c r="AE71" i="5"/>
  <c r="L70" i="12"/>
  <c r="J70" i="12"/>
  <c r="A70" i="6"/>
  <c r="N70" i="6" s="1"/>
  <c r="K70" i="12" l="1"/>
  <c r="AB69" i="6"/>
  <c r="AH69" i="6"/>
  <c r="L71" i="12"/>
  <c r="J71" i="12"/>
  <c r="H71" i="6"/>
  <c r="T71" i="5" s="1"/>
  <c r="G71" i="12" s="1"/>
  <c r="AK69" i="6"/>
  <c r="AE69" i="6"/>
  <c r="A71" i="6"/>
  <c r="M71" i="6" s="1"/>
  <c r="BF69" i="6"/>
  <c r="AR69" i="6"/>
  <c r="BD69" i="6"/>
  <c r="BG69" i="6"/>
  <c r="AU69" i="6"/>
  <c r="AM69" i="6"/>
  <c r="AO69" i="6"/>
  <c r="AT69" i="6"/>
  <c r="AS69" i="6"/>
  <c r="AP69" i="6"/>
  <c r="AC69" i="6"/>
  <c r="BA69" i="6"/>
  <c r="AJ69" i="6"/>
  <c r="BB69" i="6"/>
  <c r="AQ69" i="6"/>
  <c r="BE69" i="6"/>
  <c r="AX69" i="6"/>
  <c r="AI69" i="6"/>
  <c r="BC69" i="6"/>
  <c r="AD69" i="6"/>
  <c r="AN69" i="6"/>
  <c r="AY69" i="6"/>
  <c r="AV69" i="6"/>
  <c r="AZ69" i="6"/>
  <c r="M70" i="6"/>
  <c r="AK70" i="6" s="1"/>
  <c r="T70" i="5"/>
  <c r="G70" i="12" s="1"/>
  <c r="AG69" i="6"/>
  <c r="AC71" i="6" l="1"/>
  <c r="C72" i="5"/>
  <c r="K71" i="12"/>
  <c r="AJ71" i="6"/>
  <c r="AU71" i="6"/>
  <c r="AZ71" i="6"/>
  <c r="AP71" i="6"/>
  <c r="AM71" i="6"/>
  <c r="BC71" i="6"/>
  <c r="AK71" i="6"/>
  <c r="BB71" i="6"/>
  <c r="BD71" i="6"/>
  <c r="BA71" i="6"/>
  <c r="AE71" i="6"/>
  <c r="BG71" i="6"/>
  <c r="BE71" i="6"/>
  <c r="AR71" i="6"/>
  <c r="AQ71" i="6"/>
  <c r="AH70" i="6"/>
  <c r="BC70" i="6"/>
  <c r="AO70" i="6"/>
  <c r="AN70" i="6"/>
  <c r="AV70" i="6"/>
  <c r="BD70" i="6"/>
  <c r="AU70" i="6"/>
  <c r="BE70" i="6"/>
  <c r="AT70" i="6"/>
  <c r="AX70" i="6"/>
  <c r="AB70" i="6"/>
  <c r="AQ70" i="6"/>
  <c r="AI70" i="6"/>
  <c r="AJ70" i="6"/>
  <c r="AR70" i="6"/>
  <c r="AY70" i="6"/>
  <c r="AP70" i="6"/>
  <c r="AG70" i="6"/>
  <c r="AD70" i="6"/>
  <c r="BA70" i="6"/>
  <c r="AS70" i="6"/>
  <c r="AC70" i="6"/>
  <c r="AM70" i="6"/>
  <c r="AE70" i="6"/>
  <c r="BG70" i="6"/>
  <c r="BB70" i="6"/>
  <c r="AF70" i="6"/>
  <c r="AZ70" i="6"/>
  <c r="BF70" i="6"/>
  <c r="AD71" i="6"/>
  <c r="AI71" i="6"/>
  <c r="AX71" i="6"/>
  <c r="AS71" i="6"/>
  <c r="AB71" i="6"/>
  <c r="AY71" i="6"/>
  <c r="AG71" i="6"/>
  <c r="AF71" i="6"/>
  <c r="BF71" i="6"/>
  <c r="AN71" i="6"/>
  <c r="AT71" i="6"/>
  <c r="AH71" i="6"/>
  <c r="AV71" i="6"/>
  <c r="AO71" i="6"/>
  <c r="AF72" i="5"/>
  <c r="AG72" i="5" l="1"/>
  <c r="U72" i="5" s="1"/>
  <c r="AN72" i="5" s="1"/>
  <c r="S72" i="5"/>
  <c r="F72" i="12" s="1"/>
  <c r="AE72" i="5"/>
  <c r="B72" i="6"/>
  <c r="A72" i="6" s="1"/>
  <c r="AD72" i="5"/>
  <c r="W72" i="5"/>
  <c r="H72" i="12" s="1"/>
  <c r="C73" i="5"/>
  <c r="A72" i="12"/>
  <c r="N72" i="5"/>
  <c r="D72" i="6" s="1"/>
  <c r="G72" i="6" s="1"/>
  <c r="G72" i="5"/>
  <c r="H72" i="5"/>
  <c r="E72" i="5"/>
  <c r="B72" i="5"/>
  <c r="F72" i="5"/>
  <c r="F72" i="6" l="1"/>
  <c r="E72" i="12"/>
  <c r="H72" i="6"/>
  <c r="T72" i="5" s="1"/>
  <c r="G72" i="12" s="1"/>
  <c r="AE73" i="5"/>
  <c r="K73" i="5"/>
  <c r="AD73" i="5"/>
  <c r="J73" i="5"/>
  <c r="H73" i="5"/>
  <c r="A73" i="12"/>
  <c r="G73" i="5"/>
  <c r="F73" i="5"/>
  <c r="E73" i="5"/>
  <c r="D73" i="5"/>
  <c r="B73" i="12" s="1"/>
  <c r="B73" i="6"/>
  <c r="B73" i="5"/>
  <c r="C74" i="5"/>
  <c r="C75" i="5" s="1"/>
  <c r="N73" i="5"/>
  <c r="D73" i="6" s="1"/>
  <c r="M72" i="6"/>
  <c r="N72" i="6"/>
  <c r="K61" i="5"/>
  <c r="K75" i="5" l="1"/>
  <c r="J75" i="5"/>
  <c r="AE75" i="5"/>
  <c r="AD75" i="5"/>
  <c r="A75" i="12"/>
  <c r="D75" i="5"/>
  <c r="B75" i="12" s="1"/>
  <c r="B75" i="6"/>
  <c r="N75" i="5"/>
  <c r="AH72" i="6"/>
  <c r="L73" i="12"/>
  <c r="J73" i="12"/>
  <c r="A73" i="6"/>
  <c r="N73" i="6" s="1"/>
  <c r="H73" i="6"/>
  <c r="T73" i="5" s="1"/>
  <c r="B74" i="6"/>
  <c r="C76" i="5"/>
  <c r="K74" i="5"/>
  <c r="E74" i="5"/>
  <c r="E75" i="5" s="1"/>
  <c r="J74" i="5"/>
  <c r="N74" i="5"/>
  <c r="D74" i="6" s="1"/>
  <c r="AE74" i="5"/>
  <c r="AD74" i="5"/>
  <c r="H74" i="5"/>
  <c r="H75" i="5" s="1"/>
  <c r="G74" i="5"/>
  <c r="G75" i="5" s="1"/>
  <c r="F74" i="5"/>
  <c r="F75" i="5" s="1"/>
  <c r="D74" i="5"/>
  <c r="B74" i="12" s="1"/>
  <c r="B74" i="5"/>
  <c r="B75" i="5" s="1"/>
  <c r="A74" i="12"/>
  <c r="AJ72" i="6"/>
  <c r="BB72" i="6"/>
  <c r="AS72" i="6"/>
  <c r="BA72" i="6"/>
  <c r="AR72" i="6"/>
  <c r="AZ72" i="6"/>
  <c r="AQ72" i="6"/>
  <c r="AY72" i="6"/>
  <c r="BG72" i="6"/>
  <c r="AP72" i="6"/>
  <c r="AX72" i="6"/>
  <c r="BF72" i="6"/>
  <c r="BE72" i="6"/>
  <c r="AV72" i="6"/>
  <c r="AO72" i="6"/>
  <c r="AN72" i="6"/>
  <c r="BD72" i="6"/>
  <c r="AU72" i="6"/>
  <c r="AM72" i="6"/>
  <c r="BC72" i="6"/>
  <c r="AT72" i="6"/>
  <c r="AB72" i="6"/>
  <c r="AG72" i="6"/>
  <c r="AF72" i="6"/>
  <c r="AE72" i="6"/>
  <c r="AD72" i="6"/>
  <c r="AI72" i="6"/>
  <c r="AK72" i="6"/>
  <c r="AC72" i="6"/>
  <c r="K66" i="5"/>
  <c r="K28" i="5"/>
  <c r="K22" i="5"/>
  <c r="L75" i="12" l="1"/>
  <c r="J75" i="12"/>
  <c r="D75" i="6"/>
  <c r="M73" i="6"/>
  <c r="AJ73" i="6" s="1"/>
  <c r="A74" i="6"/>
  <c r="K73" i="12"/>
  <c r="G73" i="12"/>
  <c r="H74" i="6"/>
  <c r="T74" i="5" s="1"/>
  <c r="G74" i="12" s="1"/>
  <c r="B76" i="5"/>
  <c r="AE76" i="5"/>
  <c r="C77" i="5"/>
  <c r="N76" i="5"/>
  <c r="D76" i="6" s="1"/>
  <c r="H76" i="6" s="1"/>
  <c r="T76" i="5" s="1"/>
  <c r="K76" i="5"/>
  <c r="J76" i="5"/>
  <c r="AD76" i="5"/>
  <c r="B76" i="6"/>
  <c r="D76" i="5"/>
  <c r="B76" i="12" s="1"/>
  <c r="F76" i="5"/>
  <c r="H76" i="5"/>
  <c r="A76" i="12"/>
  <c r="E76" i="5"/>
  <c r="G76" i="5"/>
  <c r="J74" i="12"/>
  <c r="L74" i="12"/>
  <c r="A75" i="6" l="1"/>
  <c r="N75" i="6" s="1"/>
  <c r="K75" i="12"/>
  <c r="M75" i="6"/>
  <c r="AV75" i="6" s="1"/>
  <c r="H75" i="6"/>
  <c r="T75" i="5" s="1"/>
  <c r="AF73" i="6"/>
  <c r="AP73" i="6"/>
  <c r="AQ73" i="6"/>
  <c r="AE73" i="6"/>
  <c r="BA73" i="6"/>
  <c r="BD73" i="6"/>
  <c r="M74" i="6"/>
  <c r="BE74" i="6" s="1"/>
  <c r="AN73" i="6"/>
  <c r="AV73" i="6"/>
  <c r="AT73" i="6"/>
  <c r="AX73" i="6"/>
  <c r="AY73" i="6"/>
  <c r="AO73" i="6"/>
  <c r="AZ73" i="6"/>
  <c r="AD73" i="6"/>
  <c r="BE73" i="6"/>
  <c r="BG73" i="6"/>
  <c r="BB73" i="6"/>
  <c r="AU73" i="6"/>
  <c r="AC73" i="6"/>
  <c r="AM73" i="6"/>
  <c r="AG73" i="6"/>
  <c r="AK73" i="6"/>
  <c r="AS73" i="6"/>
  <c r="AR73" i="6"/>
  <c r="AI73" i="6"/>
  <c r="BF73" i="6"/>
  <c r="BC73" i="6"/>
  <c r="AB73" i="6"/>
  <c r="AH73" i="6"/>
  <c r="N74" i="6"/>
  <c r="A76" i="6"/>
  <c r="N76" i="6" s="1"/>
  <c r="K74" i="12"/>
  <c r="K77" i="5"/>
  <c r="J77" i="5"/>
  <c r="AD77" i="5"/>
  <c r="AE77" i="5"/>
  <c r="H77" i="5"/>
  <c r="B77" i="5"/>
  <c r="B77" i="6"/>
  <c r="G77" i="5"/>
  <c r="F77" i="5"/>
  <c r="E77" i="5"/>
  <c r="C78" i="5"/>
  <c r="D77" i="5"/>
  <c r="B77" i="12" s="1"/>
  <c r="A77" i="12"/>
  <c r="N77" i="5"/>
  <c r="D77" i="6" s="1"/>
  <c r="H77" i="6" s="1"/>
  <c r="T77" i="5" s="1"/>
  <c r="L76" i="12"/>
  <c r="J76" i="12"/>
  <c r="G76" i="12"/>
  <c r="K68" i="5"/>
  <c r="G75" i="12" l="1"/>
  <c r="AH75" i="6"/>
  <c r="AP75" i="6"/>
  <c r="AZ75" i="6"/>
  <c r="BG75" i="6"/>
  <c r="BA75" i="6"/>
  <c r="AQ75" i="6"/>
  <c r="AI75" i="6"/>
  <c r="AJ75" i="6"/>
  <c r="BB75" i="6"/>
  <c r="AR75" i="6"/>
  <c r="AK75" i="6"/>
  <c r="AB75" i="6"/>
  <c r="BC75" i="6"/>
  <c r="AS75" i="6"/>
  <c r="AY75" i="6"/>
  <c r="AM75" i="6"/>
  <c r="AC75" i="6"/>
  <c r="BD75" i="6"/>
  <c r="AT75" i="6"/>
  <c r="AN75" i="6"/>
  <c r="AD75" i="6"/>
  <c r="BE75" i="6"/>
  <c r="AU75" i="6"/>
  <c r="AG75" i="6"/>
  <c r="AF75" i="6"/>
  <c r="AE75" i="6"/>
  <c r="BF75" i="6"/>
  <c r="AX75" i="6"/>
  <c r="AO75" i="6"/>
  <c r="BA74" i="6"/>
  <c r="AP74" i="6"/>
  <c r="BD74" i="6"/>
  <c r="AD74" i="6"/>
  <c r="BF74" i="6"/>
  <c r="BG74" i="6"/>
  <c r="AF74" i="6"/>
  <c r="AU74" i="6"/>
  <c r="AS74" i="6"/>
  <c r="AN74" i="6"/>
  <c r="AQ74" i="6"/>
  <c r="AX74" i="6"/>
  <c r="AE74" i="6"/>
  <c r="AY74" i="6"/>
  <c r="AO74" i="6"/>
  <c r="AB74" i="6"/>
  <c r="AK74" i="6"/>
  <c r="AJ74" i="6"/>
  <c r="BB74" i="6"/>
  <c r="AV74" i="6"/>
  <c r="AC74" i="6"/>
  <c r="AH74" i="6"/>
  <c r="AT74" i="6"/>
  <c r="BC74" i="6"/>
  <c r="AI74" i="6"/>
  <c r="AG74" i="6"/>
  <c r="AZ74" i="6"/>
  <c r="AR74" i="6"/>
  <c r="AM74" i="6"/>
  <c r="M76" i="6"/>
  <c r="AK76" i="6" s="1"/>
  <c r="A77" i="6"/>
  <c r="N77" i="6" s="1"/>
  <c r="K76" i="12"/>
  <c r="L77" i="12"/>
  <c r="J77" i="12"/>
  <c r="G78" i="5"/>
  <c r="N78" i="5"/>
  <c r="D78" i="6" s="1"/>
  <c r="H78" i="6" s="1"/>
  <c r="T78" i="5" s="1"/>
  <c r="G78" i="12" s="1"/>
  <c r="J78" i="5"/>
  <c r="H78" i="5"/>
  <c r="AE78" i="5"/>
  <c r="F78" i="5"/>
  <c r="A78" i="12"/>
  <c r="K78" i="5"/>
  <c r="AD78" i="5"/>
  <c r="B78" i="5"/>
  <c r="E78" i="5"/>
  <c r="D78" i="5"/>
  <c r="B78" i="12" s="1"/>
  <c r="B78" i="6"/>
  <c r="G77" i="12"/>
  <c r="C79" i="5" l="1"/>
  <c r="N79" i="5" s="1"/>
  <c r="D79" i="6" s="1"/>
  <c r="AS76" i="6"/>
  <c r="AM76" i="6"/>
  <c r="AC76" i="6"/>
  <c r="AB76" i="6"/>
  <c r="BD76" i="6"/>
  <c r="AT76" i="6"/>
  <c r="AJ76" i="6"/>
  <c r="AI76" i="6"/>
  <c r="AF76" i="6"/>
  <c r="AE76" i="6"/>
  <c r="AU76" i="6"/>
  <c r="AH76" i="6"/>
  <c r="BE76" i="6"/>
  <c r="AO76" i="6"/>
  <c r="BF76" i="6"/>
  <c r="AP76" i="6"/>
  <c r="AX76" i="6"/>
  <c r="AV76" i="6"/>
  <c r="BG76" i="6"/>
  <c r="BA76" i="6"/>
  <c r="AD76" i="6"/>
  <c r="AR76" i="6"/>
  <c r="AZ76" i="6"/>
  <c r="AG76" i="6"/>
  <c r="AQ76" i="6"/>
  <c r="BB76" i="6"/>
  <c r="AY76" i="6"/>
  <c r="AN76" i="6"/>
  <c r="BC76" i="6"/>
  <c r="M77" i="6"/>
  <c r="AQ77" i="6" s="1"/>
  <c r="K77" i="12"/>
  <c r="AD79" i="5"/>
  <c r="L78" i="12"/>
  <c r="J78" i="12"/>
  <c r="A78" i="6"/>
  <c r="M78" i="6" s="1"/>
  <c r="AV78" i="6" s="1"/>
  <c r="G79" i="5" l="1"/>
  <c r="AE79" i="5"/>
  <c r="H79" i="5"/>
  <c r="E79" i="5"/>
  <c r="F79" i="5"/>
  <c r="A79" i="12"/>
  <c r="B79" i="6"/>
  <c r="A79" i="6" s="1"/>
  <c r="C80" i="5"/>
  <c r="J80" i="5" s="1"/>
  <c r="B79" i="5"/>
  <c r="AJ77" i="6"/>
  <c r="BB77" i="6"/>
  <c r="AC77" i="6"/>
  <c r="AK77" i="6"/>
  <c r="AZ77" i="6"/>
  <c r="AT77" i="6"/>
  <c r="AU77" i="6"/>
  <c r="BD77" i="6"/>
  <c r="AO77" i="6"/>
  <c r="AP77" i="6"/>
  <c r="BC77" i="6"/>
  <c r="BA77" i="6"/>
  <c r="AN77" i="6"/>
  <c r="AS77" i="6"/>
  <c r="AH77" i="6"/>
  <c r="AV77" i="6"/>
  <c r="AI77" i="6"/>
  <c r="AB77" i="6"/>
  <c r="AY77" i="6"/>
  <c r="BF77" i="6"/>
  <c r="AF77" i="6"/>
  <c r="AE77" i="6"/>
  <c r="AM77" i="6"/>
  <c r="AX77" i="6"/>
  <c r="AG77" i="6"/>
  <c r="BG77" i="6"/>
  <c r="BE77" i="6"/>
  <c r="AR77" i="6"/>
  <c r="AD77" i="6"/>
  <c r="K78" i="12"/>
  <c r="AB78" i="6"/>
  <c r="AS78" i="6"/>
  <c r="AF78" i="6"/>
  <c r="AE78" i="6"/>
  <c r="AE80" i="5"/>
  <c r="AP78" i="6"/>
  <c r="AD78" i="6"/>
  <c r="BG78" i="6"/>
  <c r="AK78" i="6"/>
  <c r="AH78" i="6"/>
  <c r="AM78" i="6"/>
  <c r="AO78" i="6"/>
  <c r="AZ78" i="6"/>
  <c r="AR78" i="6"/>
  <c r="BA78" i="6"/>
  <c r="BF78" i="6"/>
  <c r="BC78" i="6"/>
  <c r="AI78" i="6"/>
  <c r="BE78" i="6"/>
  <c r="AU78" i="6"/>
  <c r="AJ78" i="6"/>
  <c r="AG78" i="6"/>
  <c r="AX78" i="6"/>
  <c r="AN78" i="6"/>
  <c r="AQ78" i="6"/>
  <c r="BB78" i="6"/>
  <c r="BD78" i="6"/>
  <c r="AT78" i="6"/>
  <c r="AY78" i="6"/>
  <c r="AC78" i="6"/>
  <c r="AQ79" i="6"/>
  <c r="AX79" i="6"/>
  <c r="AP79" i="6"/>
  <c r="M79" i="6"/>
  <c r="AU79" i="6" s="1"/>
  <c r="AY79" i="6"/>
  <c r="AT79" i="6"/>
  <c r="BC79" i="6"/>
  <c r="BD79" i="6"/>
  <c r="BF79" i="6"/>
  <c r="H79" i="6"/>
  <c r="AO79" i="6"/>
  <c r="AV79" i="6"/>
  <c r="BE79" i="6"/>
  <c r="AZ79" i="6"/>
  <c r="AM79" i="6"/>
  <c r="AS79" i="6"/>
  <c r="AR79" i="6"/>
  <c r="BG79" i="6"/>
  <c r="AN79" i="6"/>
  <c r="BB79" i="6"/>
  <c r="BA79" i="6"/>
  <c r="K80" i="5" l="1"/>
  <c r="F80" i="5"/>
  <c r="N80" i="5"/>
  <c r="D80" i="6" s="1"/>
  <c r="H80" i="6" s="1"/>
  <c r="T80" i="5" s="1"/>
  <c r="G80" i="12" s="1"/>
  <c r="A80" i="12"/>
  <c r="J80" i="12" s="1"/>
  <c r="E80" i="5"/>
  <c r="C81" i="5"/>
  <c r="A81" i="12" s="1"/>
  <c r="B80" i="5"/>
  <c r="AD80" i="5"/>
  <c r="B80" i="6"/>
  <c r="H80" i="5"/>
  <c r="G80" i="5"/>
  <c r="D80" i="5"/>
  <c r="B80" i="12" s="1"/>
  <c r="AI79" i="6"/>
  <c r="AH79" i="6"/>
  <c r="AG79" i="6"/>
  <c r="AE79" i="6"/>
  <c r="AD79" i="6"/>
  <c r="T79" i="5"/>
  <c r="G79" i="12" s="1"/>
  <c r="AC79" i="6"/>
  <c r="AF79" i="6"/>
  <c r="AK79" i="6"/>
  <c r="AJ79" i="6"/>
  <c r="AB79" i="6"/>
  <c r="A80" i="6" l="1"/>
  <c r="M80" i="6" s="1"/>
  <c r="AZ80" i="6" s="1"/>
  <c r="B81" i="6"/>
  <c r="N81" i="5"/>
  <c r="D81" i="6" s="1"/>
  <c r="H81" i="6" s="1"/>
  <c r="T81" i="5" s="1"/>
  <c r="G81" i="12" s="1"/>
  <c r="K81" i="5"/>
  <c r="L80" i="12"/>
  <c r="K80" i="12" s="1"/>
  <c r="G81" i="5"/>
  <c r="H81" i="5"/>
  <c r="F81" i="5"/>
  <c r="E81" i="5"/>
  <c r="D81" i="5"/>
  <c r="B81" i="12" s="1"/>
  <c r="C82" i="5"/>
  <c r="H82" i="5" s="1"/>
  <c r="AE81" i="5"/>
  <c r="J81" i="5"/>
  <c r="AD81" i="5"/>
  <c r="B81" i="5"/>
  <c r="AF80" i="6"/>
  <c r="AT80" i="6"/>
  <c r="AO80" i="6"/>
  <c r="AY80" i="6"/>
  <c r="BC80" i="6"/>
  <c r="BE80" i="6"/>
  <c r="AU80" i="6"/>
  <c r="AP80" i="6"/>
  <c r="AM80" i="6"/>
  <c r="AV80" i="6"/>
  <c r="AE80" i="6"/>
  <c r="AJ80" i="6"/>
  <c r="BA80" i="6"/>
  <c r="BD80" i="6"/>
  <c r="AI80" i="6"/>
  <c r="BF80" i="6"/>
  <c r="AC80" i="6"/>
  <c r="AX80" i="6"/>
  <c r="AB80" i="6"/>
  <c r="AH80" i="6"/>
  <c r="AG80" i="6"/>
  <c r="L81" i="12"/>
  <c r="J81" i="12"/>
  <c r="AK80" i="6" l="1"/>
  <c r="AN80" i="6"/>
  <c r="AS80" i="6"/>
  <c r="AR80" i="6"/>
  <c r="AD80" i="6"/>
  <c r="BG80" i="6"/>
  <c r="AQ80" i="6"/>
  <c r="BB80" i="6"/>
  <c r="N82" i="5"/>
  <c r="D82" i="6" s="1"/>
  <c r="B82" i="5"/>
  <c r="A81" i="6"/>
  <c r="M81" i="6" s="1"/>
  <c r="AF81" i="6" s="1"/>
  <c r="D82" i="5"/>
  <c r="B82" i="12" s="1"/>
  <c r="K82" i="5"/>
  <c r="A82" i="12"/>
  <c r="L82" i="12" s="1"/>
  <c r="J82" i="5"/>
  <c r="E82" i="5"/>
  <c r="B82" i="6"/>
  <c r="G82" i="5"/>
  <c r="AE82" i="5"/>
  <c r="F82" i="5"/>
  <c r="AD82" i="5"/>
  <c r="C83" i="5"/>
  <c r="A83" i="12" s="1"/>
  <c r="K81" i="12"/>
  <c r="H82" i="6"/>
  <c r="T82" i="5" s="1"/>
  <c r="G82" i="12" s="1"/>
  <c r="A82" i="6" l="1"/>
  <c r="M82" i="6" s="1"/>
  <c r="AR82" i="6" s="1"/>
  <c r="J82" i="12"/>
  <c r="AS81" i="6"/>
  <c r="AN81" i="6"/>
  <c r="AR81" i="6"/>
  <c r="AP81" i="6"/>
  <c r="AC81" i="6"/>
  <c r="AI81" i="6"/>
  <c r="AK81" i="6"/>
  <c r="AZ81" i="6"/>
  <c r="AH81" i="6"/>
  <c r="BD81" i="6"/>
  <c r="BC81" i="6"/>
  <c r="BA81" i="6"/>
  <c r="BG81" i="6"/>
  <c r="AY81" i="6"/>
  <c r="BF81" i="6"/>
  <c r="AE81" i="6"/>
  <c r="AM81" i="6"/>
  <c r="BB81" i="6"/>
  <c r="AQ81" i="6"/>
  <c r="AU81" i="6"/>
  <c r="AT81" i="6"/>
  <c r="AJ81" i="6"/>
  <c r="AD81" i="6"/>
  <c r="AV81" i="6"/>
  <c r="AO81" i="6"/>
  <c r="AX81" i="6"/>
  <c r="AG81" i="6"/>
  <c r="AB81" i="6"/>
  <c r="BE81" i="6"/>
  <c r="G83" i="5"/>
  <c r="K83" i="5"/>
  <c r="D83" i="5"/>
  <c r="B83" i="12" s="1"/>
  <c r="C84" i="5"/>
  <c r="F83" i="5"/>
  <c r="B83" i="6"/>
  <c r="E83" i="5"/>
  <c r="H83" i="5"/>
  <c r="AE83" i="5"/>
  <c r="AD83" i="5"/>
  <c r="J83" i="5"/>
  <c r="N83" i="5"/>
  <c r="D83" i="6" s="1"/>
  <c r="H83" i="6" s="1"/>
  <c r="T83" i="5" s="1"/>
  <c r="G83" i="12" s="1"/>
  <c r="B83" i="5"/>
  <c r="B84" i="5" s="1"/>
  <c r="AM82" i="6"/>
  <c r="AY82" i="6"/>
  <c r="K82" i="12"/>
  <c r="AJ82" i="6"/>
  <c r="AH82" i="6"/>
  <c r="AP82" i="6"/>
  <c r="AB82" i="6"/>
  <c r="AX82" i="6"/>
  <c r="AI82" i="6"/>
  <c r="AD82" i="6"/>
  <c r="AV82" i="6"/>
  <c r="AS82" i="6"/>
  <c r="BF82" i="6"/>
  <c r="BC82" i="6"/>
  <c r="AC82" i="6"/>
  <c r="AO82" i="6"/>
  <c r="BD82" i="6"/>
  <c r="AN82" i="6"/>
  <c r="AF82" i="6"/>
  <c r="AT82" i="6"/>
  <c r="AU82" i="6"/>
  <c r="BA82" i="6"/>
  <c r="BE82" i="6"/>
  <c r="L83" i="12"/>
  <c r="J83" i="12"/>
  <c r="AQ82" i="6"/>
  <c r="BB82" i="6"/>
  <c r="AK82" i="6"/>
  <c r="AE82" i="6"/>
  <c r="AG82" i="6"/>
  <c r="AZ82" i="6"/>
  <c r="BG82" i="6"/>
  <c r="K84" i="5"/>
  <c r="B84" i="6"/>
  <c r="J84" i="5"/>
  <c r="E84" i="5"/>
  <c r="D84" i="5"/>
  <c r="B84" i="12" s="1"/>
  <c r="AE84" i="5"/>
  <c r="C85" i="5"/>
  <c r="N84" i="5"/>
  <c r="D84" i="6" s="1"/>
  <c r="H84" i="6" s="1"/>
  <c r="T84" i="5" s="1"/>
  <c r="A84" i="12"/>
  <c r="F84" i="5"/>
  <c r="AD84" i="5"/>
  <c r="G84" i="5" l="1"/>
  <c r="H84" i="5"/>
  <c r="H85" i="5" s="1"/>
  <c r="A83" i="6"/>
  <c r="M83" i="6" s="1"/>
  <c r="AV83" i="6" s="1"/>
  <c r="K83" i="12"/>
  <c r="L84" i="12"/>
  <c r="J84" i="12"/>
  <c r="A85" i="12"/>
  <c r="C86" i="5"/>
  <c r="F85" i="5"/>
  <c r="E85" i="5"/>
  <c r="K85" i="5"/>
  <c r="N85" i="5"/>
  <c r="D85" i="6" s="1"/>
  <c r="D85" i="5"/>
  <c r="B85" i="12" s="1"/>
  <c r="G85" i="5"/>
  <c r="B85" i="6"/>
  <c r="B85" i="5"/>
  <c r="AD85" i="5"/>
  <c r="J85" i="5"/>
  <c r="AE85" i="5"/>
  <c r="G84" i="12"/>
  <c r="A84" i="6" l="1"/>
  <c r="M84" i="6" s="1"/>
  <c r="BB84" i="6" s="1"/>
  <c r="AJ83" i="6"/>
  <c r="BE83" i="6"/>
  <c r="AM83" i="6"/>
  <c r="AZ83" i="6"/>
  <c r="AQ83" i="6"/>
  <c r="AT83" i="6"/>
  <c r="BC83" i="6"/>
  <c r="AR83" i="6"/>
  <c r="AE83" i="6"/>
  <c r="AU83" i="6"/>
  <c r="AC83" i="6"/>
  <c r="BF83" i="6"/>
  <c r="AS83" i="6"/>
  <c r="BD83" i="6"/>
  <c r="AD83" i="6"/>
  <c r="AY83" i="6"/>
  <c r="AP83" i="6"/>
  <c r="AH83" i="6"/>
  <c r="AN83" i="6"/>
  <c r="BB83" i="6"/>
  <c r="AF83" i="6"/>
  <c r="AO83" i="6"/>
  <c r="BG83" i="6"/>
  <c r="AB83" i="6"/>
  <c r="AG83" i="6"/>
  <c r="AX83" i="6"/>
  <c r="AK83" i="6"/>
  <c r="BA83" i="6"/>
  <c r="AI83" i="6"/>
  <c r="A85" i="6"/>
  <c r="M85" i="6" s="1"/>
  <c r="AR85" i="6" s="1"/>
  <c r="K84" i="12"/>
  <c r="K86" i="5"/>
  <c r="B86" i="6"/>
  <c r="J86" i="5"/>
  <c r="H86" i="5"/>
  <c r="AE86" i="5"/>
  <c r="E86" i="5"/>
  <c r="C87" i="5"/>
  <c r="N86" i="5"/>
  <c r="D86" i="6" s="1"/>
  <c r="H86" i="6" s="1"/>
  <c r="T86" i="5" s="1"/>
  <c r="AD86" i="5"/>
  <c r="D86" i="5"/>
  <c r="B86" i="12" s="1"/>
  <c r="G86" i="5"/>
  <c r="F86" i="5"/>
  <c r="A86" i="12"/>
  <c r="B86" i="5"/>
  <c r="L85" i="12"/>
  <c r="J85" i="12"/>
  <c r="H85" i="6"/>
  <c r="AR84" i="6" l="1"/>
  <c r="BG84" i="6"/>
  <c r="AB84" i="6"/>
  <c r="AV84" i="6"/>
  <c r="AM84" i="6"/>
  <c r="BF84" i="6"/>
  <c r="AE84" i="6"/>
  <c r="AZ84" i="6"/>
  <c r="AT84" i="6"/>
  <c r="AX84" i="6"/>
  <c r="AN84" i="6"/>
  <c r="BD84" i="6"/>
  <c r="AC84" i="6"/>
  <c r="AH84" i="6"/>
  <c r="AO84" i="6"/>
  <c r="AF84" i="6"/>
  <c r="BC84" i="6"/>
  <c r="BE84" i="6"/>
  <c r="AJ84" i="6"/>
  <c r="AP84" i="6"/>
  <c r="AK84" i="6"/>
  <c r="AS84" i="6"/>
  <c r="AU84" i="6"/>
  <c r="AY84" i="6"/>
  <c r="AD84" i="6"/>
  <c r="AG84" i="6"/>
  <c r="AQ84" i="6"/>
  <c r="BA84" i="6"/>
  <c r="AI84" i="6"/>
  <c r="AN85" i="6"/>
  <c r="AK85" i="6"/>
  <c r="AM85" i="6"/>
  <c r="AO85" i="6"/>
  <c r="BB85" i="6"/>
  <c r="AT85" i="6"/>
  <c r="AG85" i="6"/>
  <c r="AD85" i="6"/>
  <c r="AS85" i="6"/>
  <c r="AZ85" i="6"/>
  <c r="BF85" i="6"/>
  <c r="AF85" i="6"/>
  <c r="AV85" i="6"/>
  <c r="BG85" i="6"/>
  <c r="BE85" i="6"/>
  <c r="AC85" i="6"/>
  <c r="AQ85" i="6"/>
  <c r="AX85" i="6"/>
  <c r="AU85" i="6"/>
  <c r="BC85" i="6"/>
  <c r="AB85" i="6"/>
  <c r="BD85" i="6"/>
  <c r="AP85" i="6"/>
  <c r="BA85" i="6"/>
  <c r="AY85" i="6"/>
  <c r="K85" i="12"/>
  <c r="AE85" i="6"/>
  <c r="L86" i="12"/>
  <c r="J86" i="12"/>
  <c r="A86" i="6"/>
  <c r="M86" i="6" s="1"/>
  <c r="AM86" i="6" s="1"/>
  <c r="C88" i="5"/>
  <c r="N87" i="5"/>
  <c r="D87" i="6" s="1"/>
  <c r="H87" i="6" s="1"/>
  <c r="T87" i="5" s="1"/>
  <c r="G87" i="5"/>
  <c r="F87" i="5"/>
  <c r="AE87" i="5"/>
  <c r="B87" i="5"/>
  <c r="H87" i="5"/>
  <c r="AD87" i="5"/>
  <c r="K87" i="5"/>
  <c r="B87" i="6"/>
  <c r="A87" i="12"/>
  <c r="E87" i="5"/>
  <c r="J87" i="5"/>
  <c r="D87" i="5"/>
  <c r="B87" i="12" s="1"/>
  <c r="T85" i="5"/>
  <c r="AJ85" i="6"/>
  <c r="AI85" i="6"/>
  <c r="AH85" i="6"/>
  <c r="G86" i="12"/>
  <c r="K86" i="12" l="1"/>
  <c r="A87" i="6"/>
  <c r="M87" i="6" s="1"/>
  <c r="AB87" i="6" s="1"/>
  <c r="AP86" i="6"/>
  <c r="AE86" i="6"/>
  <c r="BG86" i="6"/>
  <c r="AU86" i="6"/>
  <c r="BB86" i="6"/>
  <c r="AJ86" i="6"/>
  <c r="AI86" i="6"/>
  <c r="AF86" i="6"/>
  <c r="AZ86" i="6"/>
  <c r="AT86" i="6"/>
  <c r="AO86" i="6"/>
  <c r="AK86" i="6"/>
  <c r="BE86" i="6"/>
  <c r="BF86" i="6"/>
  <c r="BC86" i="6"/>
  <c r="AH86" i="6"/>
  <c r="AG86" i="6"/>
  <c r="AX86" i="6"/>
  <c r="G85" i="12"/>
  <c r="K88" i="5"/>
  <c r="H88" i="5"/>
  <c r="J88" i="5"/>
  <c r="AE88" i="5"/>
  <c r="N88" i="5"/>
  <c r="D88" i="6" s="1"/>
  <c r="AD88" i="5"/>
  <c r="G88" i="5"/>
  <c r="A88" i="12"/>
  <c r="F88" i="5"/>
  <c r="E88" i="5"/>
  <c r="C89" i="5"/>
  <c r="B88" i="6"/>
  <c r="D88" i="5"/>
  <c r="B88" i="12" s="1"/>
  <c r="B88" i="5"/>
  <c r="AD86" i="6"/>
  <c r="AV86" i="6"/>
  <c r="BD86" i="6"/>
  <c r="J87" i="12"/>
  <c r="L87" i="12"/>
  <c r="AR86" i="6"/>
  <c r="AN86" i="6"/>
  <c r="BA86" i="6"/>
  <c r="AS86" i="6"/>
  <c r="AY86" i="6"/>
  <c r="AC86" i="6"/>
  <c r="AB86" i="6"/>
  <c r="AQ86" i="6"/>
  <c r="G87" i="12"/>
  <c r="BB87" i="6" l="1"/>
  <c r="BA87" i="6"/>
  <c r="BD87" i="6"/>
  <c r="AF87" i="6"/>
  <c r="AT87" i="6"/>
  <c r="AU87" i="6"/>
  <c r="AS87" i="6"/>
  <c r="BG87" i="6"/>
  <c r="AI87" i="6"/>
  <c r="BC87" i="6"/>
  <c r="AK87" i="6"/>
  <c r="AV87" i="6"/>
  <c r="AD87" i="6"/>
  <c r="BE87" i="6"/>
  <c r="AX87" i="6"/>
  <c r="AC87" i="6"/>
  <c r="AE87" i="6"/>
  <c r="AO87" i="6"/>
  <c r="AH87" i="6"/>
  <c r="AY87" i="6"/>
  <c r="AN87" i="6"/>
  <c r="AG87" i="6"/>
  <c r="AQ87" i="6"/>
  <c r="AP87" i="6"/>
  <c r="BF87" i="6"/>
  <c r="AR87" i="6"/>
  <c r="AJ87" i="6"/>
  <c r="AM87" i="6"/>
  <c r="AZ87" i="6"/>
  <c r="A88" i="6"/>
  <c r="M88" i="6" s="1"/>
  <c r="BG88" i="6" s="1"/>
  <c r="K87" i="12"/>
  <c r="H88" i="6"/>
  <c r="T88" i="5" s="1"/>
  <c r="J88" i="12"/>
  <c r="L88" i="12"/>
  <c r="D89" i="5"/>
  <c r="B89" i="12" s="1"/>
  <c r="C90" i="5"/>
  <c r="AE89" i="5"/>
  <c r="F89" i="5"/>
  <c r="N89" i="5"/>
  <c r="D89" i="6" s="1"/>
  <c r="B89" i="6"/>
  <c r="AD89" i="5"/>
  <c r="B89" i="5"/>
  <c r="A89" i="12"/>
  <c r="H89" i="5"/>
  <c r="E89" i="5"/>
  <c r="J89" i="5"/>
  <c r="G89" i="5"/>
  <c r="K89" i="5"/>
  <c r="G88" i="12" l="1"/>
  <c r="BF88" i="6"/>
  <c r="AC88" i="6"/>
  <c r="AF88" i="6"/>
  <c r="AP88" i="6"/>
  <c r="AH88" i="6"/>
  <c r="BB88" i="6"/>
  <c r="AK88" i="6"/>
  <c r="AM88" i="6"/>
  <c r="BA88" i="6"/>
  <c r="AE88" i="6"/>
  <c r="AQ88" i="6"/>
  <c r="AG88" i="6"/>
  <c r="AZ88" i="6"/>
  <c r="AR88" i="6"/>
  <c r="AI88" i="6"/>
  <c r="AB88" i="6"/>
  <c r="AJ88" i="6"/>
  <c r="AN88" i="6"/>
  <c r="BC88" i="6"/>
  <c r="AS88" i="6"/>
  <c r="BE88" i="6"/>
  <c r="AX88" i="6"/>
  <c r="AD88" i="6"/>
  <c r="BD88" i="6"/>
  <c r="AV88" i="6"/>
  <c r="AT88" i="6"/>
  <c r="AY88" i="6"/>
  <c r="AO88" i="6"/>
  <c r="AU88" i="6"/>
  <c r="K88" i="12"/>
  <c r="A89" i="6"/>
  <c r="M89" i="6" s="1"/>
  <c r="AZ89" i="6" s="1"/>
  <c r="L89" i="12"/>
  <c r="J89" i="12"/>
  <c r="AE90" i="5"/>
  <c r="B90" i="6"/>
  <c r="E90" i="5"/>
  <c r="N90" i="5"/>
  <c r="D90" i="6" s="1"/>
  <c r="H90" i="6" s="1"/>
  <c r="T90" i="5" s="1"/>
  <c r="J90" i="5"/>
  <c r="K90" i="5"/>
  <c r="AD90" i="5"/>
  <c r="H90" i="5"/>
  <c r="D90" i="5"/>
  <c r="B90" i="12" s="1"/>
  <c r="A90" i="12"/>
  <c r="G90" i="5"/>
  <c r="F90" i="5"/>
  <c r="B90" i="5"/>
  <c r="H89" i="6"/>
  <c r="T89" i="5" s="1"/>
  <c r="BA89" i="6" l="1"/>
  <c r="AR89" i="6"/>
  <c r="BE89" i="6"/>
  <c r="BF89" i="6"/>
  <c r="AT89" i="6"/>
  <c r="AX89" i="6"/>
  <c r="AO89" i="6"/>
  <c r="AY89" i="6"/>
  <c r="BD89" i="6"/>
  <c r="AV89" i="6"/>
  <c r="AS89" i="6"/>
  <c r="BG89" i="6"/>
  <c r="AN89" i="6"/>
  <c r="AH89" i="6"/>
  <c r="BB89" i="6"/>
  <c r="AU89" i="6"/>
  <c r="BC89" i="6"/>
  <c r="AM89" i="6"/>
  <c r="AP89" i="6"/>
  <c r="AB89" i="6"/>
  <c r="AC89" i="6"/>
  <c r="G89" i="12"/>
  <c r="K89" i="12"/>
  <c r="AQ89" i="6"/>
  <c r="AF89" i="6"/>
  <c r="A90" i="6"/>
  <c r="M90" i="6" s="1"/>
  <c r="AT90" i="6" s="1"/>
  <c r="AG89" i="6"/>
  <c r="AD89" i="6"/>
  <c r="AI89" i="6"/>
  <c r="AJ89" i="6"/>
  <c r="L90" i="12"/>
  <c r="J90" i="12"/>
  <c r="AK89" i="6"/>
  <c r="AE89" i="6"/>
  <c r="G90" i="12"/>
  <c r="AI90" i="6" l="1"/>
  <c r="AK90" i="6"/>
  <c r="BE90" i="6"/>
  <c r="AZ90" i="6"/>
  <c r="AB90" i="6"/>
  <c r="AF90" i="6"/>
  <c r="AE90" i="6"/>
  <c r="BG90" i="6"/>
  <c r="AP90" i="6"/>
  <c r="AV90" i="6"/>
  <c r="AN90" i="6"/>
  <c r="AY90" i="6"/>
  <c r="AQ90" i="6"/>
  <c r="AC90" i="6"/>
  <c r="AH90" i="6"/>
  <c r="AD90" i="6"/>
  <c r="AO90" i="6"/>
  <c r="BF90" i="6"/>
  <c r="AM90" i="6"/>
  <c r="BA90" i="6"/>
  <c r="AU90" i="6"/>
  <c r="BB90" i="6"/>
  <c r="AS90" i="6"/>
  <c r="AG90" i="6"/>
  <c r="BD90" i="6"/>
  <c r="BC90" i="6"/>
  <c r="AX90" i="6"/>
  <c r="AJ90" i="6"/>
  <c r="AR90" i="6"/>
  <c r="K90" i="12"/>
  <c r="C91" i="5"/>
  <c r="F91" i="5" l="1"/>
  <c r="K79" i="5" s="1"/>
  <c r="AD91" i="5"/>
  <c r="AE91" i="5"/>
  <c r="B91" i="6"/>
  <c r="A91" i="6" s="1"/>
  <c r="H91" i="5"/>
  <c r="C92" i="5"/>
  <c r="A91" i="12"/>
  <c r="N91" i="5"/>
  <c r="D91" i="6" s="1"/>
  <c r="B91" i="5"/>
  <c r="E91" i="5"/>
  <c r="G91" i="5"/>
  <c r="AP91" i="6" l="1"/>
  <c r="AO91" i="6"/>
  <c r="BE91" i="6"/>
  <c r="BD91" i="6"/>
  <c r="BG91" i="6"/>
  <c r="AT91" i="6"/>
  <c r="AM91" i="6"/>
  <c r="AZ91" i="6"/>
  <c r="AY91" i="6"/>
  <c r="M91" i="6"/>
  <c r="AU91" i="6"/>
  <c r="AS91" i="6"/>
  <c r="BB91" i="6"/>
  <c r="BC91" i="6"/>
  <c r="BF91" i="6"/>
  <c r="AQ91" i="6"/>
  <c r="BA91" i="6"/>
  <c r="H91" i="6"/>
  <c r="T91" i="5" s="1"/>
  <c r="G91" i="12" s="1"/>
  <c r="AX91" i="6"/>
  <c r="AN91" i="6"/>
  <c r="AR91" i="6"/>
  <c r="AV91" i="6"/>
  <c r="J92" i="5"/>
  <c r="C93" i="5"/>
  <c r="E92" i="5"/>
  <c r="B92" i="5"/>
  <c r="B92" i="6"/>
  <c r="K92" i="5"/>
  <c r="N92" i="5"/>
  <c r="D92" i="6" s="1"/>
  <c r="H92" i="6" s="1"/>
  <c r="T92" i="5" s="1"/>
  <c r="G92" i="12" s="1"/>
  <c r="H92" i="5"/>
  <c r="F92" i="5"/>
  <c r="D92" i="5"/>
  <c r="B92" i="12" s="1"/>
  <c r="G92" i="5"/>
  <c r="AE92" i="5"/>
  <c r="A92" i="12"/>
  <c r="AD92" i="5"/>
  <c r="AG91" i="6" l="1"/>
  <c r="AH91" i="6"/>
  <c r="AI91" i="6"/>
  <c r="AE91" i="6"/>
  <c r="AK91" i="6"/>
  <c r="AC91" i="6"/>
  <c r="AD91" i="6"/>
  <c r="AB91" i="6"/>
  <c r="A92" i="6"/>
  <c r="M92" i="6" s="1"/>
  <c r="BG92" i="6" s="1"/>
  <c r="J93" i="5"/>
  <c r="K93" i="5"/>
  <c r="N93" i="5"/>
  <c r="D93" i="6" s="1"/>
  <c r="H93" i="6" s="1"/>
  <c r="T93" i="5" s="1"/>
  <c r="G93" i="12" s="1"/>
  <c r="B93" i="5"/>
  <c r="H93" i="5"/>
  <c r="C94" i="5"/>
  <c r="E93" i="5"/>
  <c r="B93" i="6"/>
  <c r="AD93" i="5"/>
  <c r="AE93" i="5"/>
  <c r="F93" i="5"/>
  <c r="D93" i="5"/>
  <c r="B93" i="12" s="1"/>
  <c r="A93" i="12"/>
  <c r="G93" i="5"/>
  <c r="AF91" i="6"/>
  <c r="AJ91" i="6"/>
  <c r="L92" i="12"/>
  <c r="J92" i="12"/>
  <c r="K92" i="12" l="1"/>
  <c r="A93" i="6"/>
  <c r="M93" i="6" s="1"/>
  <c r="AU93" i="6" s="1"/>
  <c r="AM92" i="6"/>
  <c r="AB92" i="6"/>
  <c r="AS92" i="6"/>
  <c r="AC92" i="6"/>
  <c r="AK92" i="6"/>
  <c r="AG92" i="6"/>
  <c r="AF92" i="6"/>
  <c r="AV92" i="6"/>
  <c r="AE92" i="6"/>
  <c r="B94" i="6"/>
  <c r="K94" i="5"/>
  <c r="AD94" i="5"/>
  <c r="B94" i="5"/>
  <c r="AE94" i="5"/>
  <c r="E94" i="5"/>
  <c r="N94" i="5"/>
  <c r="D94" i="6" s="1"/>
  <c r="D94" i="5"/>
  <c r="B94" i="12" s="1"/>
  <c r="J94" i="5"/>
  <c r="F94" i="5"/>
  <c r="H94" i="5"/>
  <c r="G94" i="5"/>
  <c r="A94" i="12"/>
  <c r="AP92" i="6"/>
  <c r="AT92" i="6"/>
  <c r="AI92" i="6"/>
  <c r="BC92" i="6"/>
  <c r="BE92" i="6"/>
  <c r="BA92" i="6"/>
  <c r="AY92" i="6"/>
  <c r="AR92" i="6"/>
  <c r="AO92" i="6"/>
  <c r="BB92" i="6"/>
  <c r="AN92" i="6"/>
  <c r="AX92" i="6"/>
  <c r="AJ92" i="6"/>
  <c r="BD92" i="6"/>
  <c r="L93" i="12"/>
  <c r="J93" i="12"/>
  <c r="AZ92" i="6"/>
  <c r="BF92" i="6"/>
  <c r="AD92" i="6"/>
  <c r="AU92" i="6"/>
  <c r="AQ92" i="6"/>
  <c r="AH92" i="6"/>
  <c r="AJ93" i="6" l="1"/>
  <c r="AV93" i="6"/>
  <c r="AE93" i="6"/>
  <c r="BF93" i="6"/>
  <c r="BD93" i="6"/>
  <c r="AC93" i="6"/>
  <c r="AZ93" i="6"/>
  <c r="AD93" i="6"/>
  <c r="AR93" i="6"/>
  <c r="AQ93" i="6"/>
  <c r="AS93" i="6"/>
  <c r="BE93" i="6"/>
  <c r="AY93" i="6"/>
  <c r="AB93" i="6"/>
  <c r="AT93" i="6"/>
  <c r="BA93" i="6"/>
  <c r="BC93" i="6"/>
  <c r="AF93" i="6"/>
  <c r="BG93" i="6"/>
  <c r="BB93" i="6"/>
  <c r="AM93" i="6"/>
  <c r="AX93" i="6"/>
  <c r="AG93" i="6"/>
  <c r="AO93" i="6"/>
  <c r="AI93" i="6"/>
  <c r="AN93" i="6"/>
  <c r="AH93" i="6"/>
  <c r="AK93" i="6"/>
  <c r="AP93" i="6"/>
  <c r="K93" i="12"/>
  <c r="A94" i="6"/>
  <c r="M94" i="6" s="1"/>
  <c r="H94" i="6"/>
  <c r="T94" i="5" s="1"/>
  <c r="G94" i="12" s="1"/>
  <c r="J94" i="12"/>
  <c r="L94" i="12"/>
  <c r="C95" i="5"/>
  <c r="AK94" i="6" l="1"/>
  <c r="K94" i="12"/>
  <c r="AG94" i="6"/>
  <c r="AY94" i="6"/>
  <c r="AZ94" i="6"/>
  <c r="AH94" i="6"/>
  <c r="AF94" i="6"/>
  <c r="AB94" i="6"/>
  <c r="AD94" i="6"/>
  <c r="AE94" i="6"/>
  <c r="BD94" i="6"/>
  <c r="BB94" i="6"/>
  <c r="K95" i="5"/>
  <c r="B95" i="6"/>
  <c r="AE95" i="5"/>
  <c r="J95" i="5"/>
  <c r="N95" i="5"/>
  <c r="D95" i="6" s="1"/>
  <c r="AD95" i="5"/>
  <c r="G95" i="5"/>
  <c r="D95" i="5"/>
  <c r="B95" i="12" s="1"/>
  <c r="H95" i="5"/>
  <c r="B95" i="5"/>
  <c r="E95" i="5"/>
  <c r="C96" i="5"/>
  <c r="A95" i="12"/>
  <c r="F95" i="5"/>
  <c r="AN94" i="6"/>
  <c r="BA94" i="6"/>
  <c r="AV94" i="6"/>
  <c r="BC94" i="6"/>
  <c r="AC94" i="6"/>
  <c r="AR94" i="6"/>
  <c r="AI94" i="6"/>
  <c r="AM94" i="6"/>
  <c r="AU94" i="6"/>
  <c r="AQ94" i="6"/>
  <c r="AP94" i="6"/>
  <c r="AT94" i="6"/>
  <c r="AO94" i="6"/>
  <c r="AX94" i="6"/>
  <c r="AS94" i="6"/>
  <c r="BE94" i="6"/>
  <c r="BG94" i="6"/>
  <c r="BF94" i="6"/>
  <c r="AJ94" i="6"/>
  <c r="H95" i="6" l="1"/>
  <c r="A95" i="6"/>
  <c r="M95" i="6" s="1"/>
  <c r="AS95" i="6" s="1"/>
  <c r="J95" i="12"/>
  <c r="L95" i="12"/>
  <c r="F96" i="5"/>
  <c r="B96" i="6"/>
  <c r="AE96" i="5"/>
  <c r="A96" i="12"/>
  <c r="C97" i="5"/>
  <c r="E96" i="5"/>
  <c r="AD96" i="5"/>
  <c r="N96" i="5"/>
  <c r="D96" i="6" s="1"/>
  <c r="D96" i="5"/>
  <c r="B96" i="12" s="1"/>
  <c r="K96" i="5"/>
  <c r="B96" i="5"/>
  <c r="H96" i="5"/>
  <c r="G96" i="5"/>
  <c r="J96" i="5"/>
  <c r="A96" i="6" l="1"/>
  <c r="M96" i="6" s="1"/>
  <c r="AU96" i="6" s="1"/>
  <c r="AD95" i="6"/>
  <c r="AY95" i="6"/>
  <c r="BA95" i="6"/>
  <c r="BB95" i="6"/>
  <c r="AT95" i="6"/>
  <c r="K95" i="12"/>
  <c r="AG95" i="6"/>
  <c r="AZ95" i="6"/>
  <c r="AB95" i="6"/>
  <c r="BC95" i="6"/>
  <c r="AN95" i="6"/>
  <c r="BD95" i="6"/>
  <c r="T95" i="5"/>
  <c r="G95" i="12" s="1"/>
  <c r="AH95" i="6"/>
  <c r="AC95" i="6"/>
  <c r="AI95" i="6"/>
  <c r="AF95" i="6"/>
  <c r="AJ95" i="6"/>
  <c r="AE95" i="6"/>
  <c r="AP95" i="6"/>
  <c r="AO95" i="6"/>
  <c r="AM95" i="6"/>
  <c r="BG95" i="6"/>
  <c r="H96" i="6"/>
  <c r="AV95" i="6"/>
  <c r="BE95" i="6"/>
  <c r="J96" i="12"/>
  <c r="L96" i="12"/>
  <c r="AU95" i="6"/>
  <c r="AK95" i="6"/>
  <c r="BF95" i="6"/>
  <c r="AQ95" i="6"/>
  <c r="E97" i="5"/>
  <c r="B97" i="6"/>
  <c r="D97" i="5"/>
  <c r="B97" i="12" s="1"/>
  <c r="AD97" i="5"/>
  <c r="A97" i="12"/>
  <c r="C98" i="5"/>
  <c r="J97" i="5"/>
  <c r="F97" i="5"/>
  <c r="B97" i="5"/>
  <c r="AE97" i="5"/>
  <c r="H97" i="5"/>
  <c r="G97" i="5"/>
  <c r="N97" i="5"/>
  <c r="D97" i="6" s="1"/>
  <c r="H97" i="6" s="1"/>
  <c r="T97" i="5" s="1"/>
  <c r="G97" i="12" s="1"/>
  <c r="K97" i="5"/>
  <c r="AX95" i="6"/>
  <c r="AR95" i="6"/>
  <c r="BG96" i="6" l="1"/>
  <c r="BC96" i="6"/>
  <c r="AQ96" i="6"/>
  <c r="AV96" i="6"/>
  <c r="AX96" i="6"/>
  <c r="AY96" i="6"/>
  <c r="BE96" i="6"/>
  <c r="BD96" i="6"/>
  <c r="AZ96" i="6"/>
  <c r="BF96" i="6"/>
  <c r="AP96" i="6"/>
  <c r="AO96" i="6"/>
  <c r="BB96" i="6"/>
  <c r="AR96" i="6"/>
  <c r="BA96" i="6"/>
  <c r="AT96" i="6"/>
  <c r="AM96" i="6"/>
  <c r="AS96" i="6"/>
  <c r="AN96" i="6"/>
  <c r="K96" i="12"/>
  <c r="K98" i="5"/>
  <c r="J98" i="5"/>
  <c r="H98" i="5"/>
  <c r="B98" i="5"/>
  <c r="G98" i="5"/>
  <c r="AD98" i="5"/>
  <c r="AE98" i="5"/>
  <c r="N98" i="5"/>
  <c r="D98" i="6" s="1"/>
  <c r="H98" i="6" s="1"/>
  <c r="T98" i="5" s="1"/>
  <c r="G98" i="12" s="1"/>
  <c r="E98" i="5"/>
  <c r="D98" i="5"/>
  <c r="B98" i="12" s="1"/>
  <c r="B98" i="6"/>
  <c r="F98" i="5"/>
  <c r="A98" i="12"/>
  <c r="C99" i="5"/>
  <c r="L97" i="12"/>
  <c r="J97" i="12"/>
  <c r="A97" i="6"/>
  <c r="M97" i="6" s="1"/>
  <c r="AX97" i="6" s="1"/>
  <c r="T96" i="5"/>
  <c r="G96" i="12" s="1"/>
  <c r="AB96" i="6"/>
  <c r="AI96" i="6"/>
  <c r="AC96" i="6"/>
  <c r="AG96" i="6"/>
  <c r="AE96" i="6"/>
  <c r="AH96" i="6"/>
  <c r="AJ96" i="6"/>
  <c r="AF96" i="6"/>
  <c r="AD96" i="6"/>
  <c r="AK96" i="6"/>
  <c r="K97" i="12" l="1"/>
  <c r="A98" i="6"/>
  <c r="M98" i="6" s="1"/>
  <c r="AJ98" i="6" s="1"/>
  <c r="BC97" i="6"/>
  <c r="BE97" i="6"/>
  <c r="BF97" i="6"/>
  <c r="AV97" i="6"/>
  <c r="BG97" i="6"/>
  <c r="AC97" i="6"/>
  <c r="AJ97" i="6"/>
  <c r="AS97" i="6"/>
  <c r="BD97" i="6"/>
  <c r="AZ97" i="6"/>
  <c r="AQ97" i="6"/>
  <c r="AP97" i="6"/>
  <c r="AG97" i="6"/>
  <c r="BB97" i="6"/>
  <c r="AF97" i="6"/>
  <c r="AB97" i="6"/>
  <c r="BA97" i="6"/>
  <c r="AE97" i="6"/>
  <c r="AO97" i="6"/>
  <c r="AR97" i="6"/>
  <c r="AK97" i="6"/>
  <c r="AT97" i="6"/>
  <c r="AU97" i="6"/>
  <c r="AY97" i="6"/>
  <c r="AN97" i="6"/>
  <c r="AD97" i="6"/>
  <c r="D99" i="5"/>
  <c r="B99" i="12" s="1"/>
  <c r="F99" i="5"/>
  <c r="AD99" i="5"/>
  <c r="H99" i="5"/>
  <c r="B99" i="5"/>
  <c r="AE99" i="5"/>
  <c r="C100" i="5"/>
  <c r="E99" i="5"/>
  <c r="K99" i="5"/>
  <c r="B99" i="6"/>
  <c r="N99" i="5"/>
  <c r="D99" i="6" s="1"/>
  <c r="G99" i="5"/>
  <c r="A99" i="12"/>
  <c r="J99" i="5"/>
  <c r="AI97" i="6"/>
  <c r="AM97" i="6"/>
  <c r="L98" i="12"/>
  <c r="J98" i="12"/>
  <c r="AH97" i="6"/>
  <c r="AB98" i="6" l="1"/>
  <c r="AH98" i="6"/>
  <c r="AC98" i="6"/>
  <c r="AF98" i="6"/>
  <c r="K98" i="12"/>
  <c r="BA98" i="6"/>
  <c r="AP98" i="6"/>
  <c r="BG98" i="6"/>
  <c r="AT98" i="6"/>
  <c r="AV98" i="6"/>
  <c r="BB98" i="6"/>
  <c r="AR98" i="6"/>
  <c r="BE98" i="6"/>
  <c r="L99" i="12"/>
  <c r="J99" i="12"/>
  <c r="BF98" i="6"/>
  <c r="AI98" i="6"/>
  <c r="AD98" i="6"/>
  <c r="AU98" i="6"/>
  <c r="H99" i="6"/>
  <c r="BC98" i="6"/>
  <c r="A99" i="6"/>
  <c r="M99" i="6" s="1"/>
  <c r="AP99" i="6" s="1"/>
  <c r="AG98" i="6"/>
  <c r="AK98" i="6"/>
  <c r="BD98" i="6"/>
  <c r="K100" i="5"/>
  <c r="N100" i="5"/>
  <c r="D100" i="6" s="1"/>
  <c r="B100" i="5"/>
  <c r="B100" i="6"/>
  <c r="G100" i="5"/>
  <c r="D100" i="5"/>
  <c r="B100" i="12" s="1"/>
  <c r="F100" i="5"/>
  <c r="AE100" i="5"/>
  <c r="C101" i="5"/>
  <c r="J100" i="5"/>
  <c r="E100" i="5"/>
  <c r="A100" i="12"/>
  <c r="AD100" i="5"/>
  <c r="H100" i="5"/>
  <c r="AO98" i="6"/>
  <c r="AN98" i="6"/>
  <c r="AE98" i="6"/>
  <c r="AY98" i="6"/>
  <c r="AS98" i="6"/>
  <c r="AM98" i="6"/>
  <c r="AQ98" i="6"/>
  <c r="AX98" i="6"/>
  <c r="AZ98" i="6"/>
  <c r="A100" i="6" l="1"/>
  <c r="M100" i="6" s="1"/>
  <c r="AP100" i="6" s="1"/>
  <c r="H100" i="6"/>
  <c r="T100" i="5" s="1"/>
  <c r="G100" i="12" s="1"/>
  <c r="BA99" i="6"/>
  <c r="AM99" i="6"/>
  <c r="BD99" i="6"/>
  <c r="T99" i="5"/>
  <c r="G99" i="12" s="1"/>
  <c r="AG99" i="6"/>
  <c r="AF99" i="6"/>
  <c r="AD99" i="6"/>
  <c r="AH99" i="6"/>
  <c r="AE99" i="6"/>
  <c r="AI99" i="6"/>
  <c r="AC99" i="6"/>
  <c r="AT99" i="6"/>
  <c r="AV99" i="6"/>
  <c r="AR99" i="6"/>
  <c r="BC99" i="6"/>
  <c r="AN99" i="6"/>
  <c r="AY99" i="6"/>
  <c r="BF99" i="6"/>
  <c r="BB99" i="6"/>
  <c r="BE99" i="6"/>
  <c r="AS99" i="6"/>
  <c r="AJ99" i="6"/>
  <c r="AQ99" i="6"/>
  <c r="K99" i="12"/>
  <c r="AU99" i="6"/>
  <c r="J100" i="12"/>
  <c r="L100" i="12"/>
  <c r="BG99" i="6"/>
  <c r="AX99" i="6"/>
  <c r="AK99" i="6"/>
  <c r="AO99" i="6"/>
  <c r="D101" i="5"/>
  <c r="B101" i="12" s="1"/>
  <c r="B101" i="5"/>
  <c r="J101" i="5"/>
  <c r="E101" i="5"/>
  <c r="AD101" i="5"/>
  <c r="A101" i="12"/>
  <c r="N101" i="5"/>
  <c r="D101" i="6" s="1"/>
  <c r="H101" i="6" s="1"/>
  <c r="T101" i="5" s="1"/>
  <c r="G101" i="12" s="1"/>
  <c r="H101" i="5"/>
  <c r="C102" i="5"/>
  <c r="K101" i="5"/>
  <c r="B101" i="6"/>
  <c r="AE101" i="5"/>
  <c r="F101" i="5"/>
  <c r="G101" i="5"/>
  <c r="AB99" i="6"/>
  <c r="AZ99" i="6"/>
  <c r="AX100" i="6" l="1"/>
  <c r="AH100" i="6"/>
  <c r="AU100" i="6"/>
  <c r="BA100" i="6"/>
  <c r="AY100" i="6"/>
  <c r="AT100" i="6"/>
  <c r="AJ100" i="6"/>
  <c r="AV100" i="6"/>
  <c r="BG100" i="6"/>
  <c r="AI100" i="6"/>
  <c r="AE100" i="6"/>
  <c r="AK100" i="6"/>
  <c r="AG100" i="6"/>
  <c r="BE100" i="6"/>
  <c r="AS100" i="6"/>
  <c r="AQ100" i="6"/>
  <c r="AZ100" i="6"/>
  <c r="AN100" i="6"/>
  <c r="BC100" i="6"/>
  <c r="AR100" i="6"/>
  <c r="AD100" i="6"/>
  <c r="BB100" i="6"/>
  <c r="AM100" i="6"/>
  <c r="AC100" i="6"/>
  <c r="BF100" i="6"/>
  <c r="AB100" i="6"/>
  <c r="AO100" i="6"/>
  <c r="BD100" i="6"/>
  <c r="AF100" i="6"/>
  <c r="K100" i="12"/>
  <c r="A101" i="6"/>
  <c r="M101" i="6" s="1"/>
  <c r="AS101" i="6" s="1"/>
  <c r="H102" i="5"/>
  <c r="AD102" i="5"/>
  <c r="D102" i="5"/>
  <c r="B102" i="12" s="1"/>
  <c r="B102" i="5"/>
  <c r="J102" i="5"/>
  <c r="F102" i="5"/>
  <c r="E102" i="5"/>
  <c r="G102" i="5"/>
  <c r="B102" i="6"/>
  <c r="AE102" i="5"/>
  <c r="N102" i="5"/>
  <c r="D102" i="6" s="1"/>
  <c r="H102" i="6" s="1"/>
  <c r="T102" i="5" s="1"/>
  <c r="G102" i="12" s="1"/>
  <c r="K102" i="5"/>
  <c r="A102" i="12"/>
  <c r="J101" i="12"/>
  <c r="L101" i="12"/>
  <c r="K101" i="12" l="1"/>
  <c r="AC101" i="6"/>
  <c r="AQ101" i="6"/>
  <c r="AO101" i="6"/>
  <c r="AP101" i="6"/>
  <c r="BA101" i="6"/>
  <c r="AZ101" i="6"/>
  <c r="AM101" i="6"/>
  <c r="AV101" i="6"/>
  <c r="AE101" i="6"/>
  <c r="AK101" i="6"/>
  <c r="AX101" i="6"/>
  <c r="AB101" i="6"/>
  <c r="AJ101" i="6"/>
  <c r="BC101" i="6"/>
  <c r="AH101" i="6"/>
  <c r="AG101" i="6"/>
  <c r="AU101" i="6"/>
  <c r="AR101" i="6"/>
  <c r="BE101" i="6"/>
  <c r="AF101" i="6"/>
  <c r="AI101" i="6"/>
  <c r="AD101" i="6"/>
  <c r="BG101" i="6"/>
  <c r="BB101" i="6"/>
  <c r="AY101" i="6"/>
  <c r="AN101" i="6"/>
  <c r="AT101" i="6"/>
  <c r="BF101" i="6"/>
  <c r="BD101" i="6"/>
  <c r="J102" i="12"/>
  <c r="L102" i="12"/>
  <c r="A102" i="6"/>
  <c r="M102" i="6" s="1"/>
  <c r="AH102" i="6" s="1"/>
  <c r="C103" i="5"/>
  <c r="K102" i="12" l="1"/>
  <c r="AE102" i="6"/>
  <c r="BD102" i="6"/>
  <c r="BA102" i="6"/>
  <c r="AZ102" i="6"/>
  <c r="AF102" i="6"/>
  <c r="AI102" i="6"/>
  <c r="AG102" i="6"/>
  <c r="AP102" i="6"/>
  <c r="AT102" i="6"/>
  <c r="BF102" i="6"/>
  <c r="AJ102" i="6"/>
  <c r="AR102" i="6"/>
  <c r="BG102" i="6"/>
  <c r="BE102" i="6"/>
  <c r="AN102" i="6"/>
  <c r="AX102" i="6"/>
  <c r="AK102" i="6"/>
  <c r="AQ102" i="6"/>
  <c r="AD102" i="6"/>
  <c r="AY102" i="6"/>
  <c r="AO102" i="6"/>
  <c r="BC102" i="6"/>
  <c r="N103" i="5"/>
  <c r="D103" i="6" s="1"/>
  <c r="F103" i="5"/>
  <c r="E103" i="5"/>
  <c r="AD103" i="5"/>
  <c r="G103" i="5"/>
  <c r="A103" i="12"/>
  <c r="B103" i="5"/>
  <c r="H103" i="5"/>
  <c r="B103" i="6"/>
  <c r="A103" i="6" s="1"/>
  <c r="AE103" i="5"/>
  <c r="BB102" i="6"/>
  <c r="AU102" i="6"/>
  <c r="AM102" i="6"/>
  <c r="AS102" i="6"/>
  <c r="AC102" i="6"/>
  <c r="AB102" i="6"/>
  <c r="AV102" i="6"/>
  <c r="C104" i="5" l="1"/>
  <c r="AV103" i="6"/>
  <c r="AO103" i="6"/>
  <c r="AT103" i="6"/>
  <c r="AM103" i="6"/>
  <c r="AS103" i="6"/>
  <c r="AR103" i="6"/>
  <c r="AX103" i="6"/>
  <c r="AU103" i="6"/>
  <c r="AP103" i="6"/>
  <c r="BE103" i="6"/>
  <c r="AY103" i="6"/>
  <c r="BA103" i="6"/>
  <c r="BD103" i="6"/>
  <c r="AZ103" i="6"/>
  <c r="BG103" i="6"/>
  <c r="AN103" i="6"/>
  <c r="H103" i="6"/>
  <c r="BB103" i="6"/>
  <c r="BF103" i="6"/>
  <c r="M103" i="6"/>
  <c r="AQ103" i="6"/>
  <c r="BC103" i="6"/>
  <c r="AK103" i="6" l="1"/>
  <c r="AE103" i="6"/>
  <c r="AD103" i="6"/>
  <c r="AF103" i="6"/>
  <c r="T103" i="5"/>
  <c r="G103" i="12" s="1"/>
  <c r="AC103" i="6"/>
  <c r="AI103" i="6"/>
  <c r="AJ103" i="6"/>
  <c r="AG103" i="6"/>
  <c r="AH103" i="6"/>
  <c r="AB103" i="6"/>
  <c r="AD104" i="5"/>
  <c r="N104" i="5"/>
  <c r="D104" i="6" s="1"/>
  <c r="H104" i="6" s="1"/>
  <c r="T104" i="5" s="1"/>
  <c r="G104" i="12" s="1"/>
  <c r="B104" i="6"/>
  <c r="J104" i="5"/>
  <c r="C105" i="5"/>
  <c r="K104" i="5"/>
  <c r="H104" i="5"/>
  <c r="G104" i="5"/>
  <c r="F104" i="5"/>
  <c r="E104" i="5"/>
  <c r="AE104" i="5"/>
  <c r="D104" i="5"/>
  <c r="B104" i="12" s="1"/>
  <c r="B104" i="5"/>
  <c r="A104" i="12"/>
  <c r="J104" i="12" l="1"/>
  <c r="L104" i="12"/>
  <c r="K105" i="5"/>
  <c r="J105" i="5"/>
  <c r="F105" i="5"/>
  <c r="B105" i="6"/>
  <c r="N105" i="5"/>
  <c r="D105" i="6" s="1"/>
  <c r="H105" i="6" s="1"/>
  <c r="T105" i="5" s="1"/>
  <c r="G105" i="12" s="1"/>
  <c r="A105" i="12"/>
  <c r="AE105" i="5"/>
  <c r="G105" i="5"/>
  <c r="C106" i="5"/>
  <c r="AD105" i="5"/>
  <c r="H105" i="5"/>
  <c r="D105" i="5"/>
  <c r="B105" i="12" s="1"/>
  <c r="E105" i="5"/>
  <c r="B105" i="5"/>
  <c r="A104" i="6"/>
  <c r="M104" i="6" s="1"/>
  <c r="K91" i="5"/>
  <c r="K104" i="12" l="1"/>
  <c r="AK104" i="6"/>
  <c r="BA104" i="6"/>
  <c r="AC104" i="6"/>
  <c r="BG104" i="6"/>
  <c r="AV104" i="6"/>
  <c r="AN104" i="6"/>
  <c r="AO104" i="6"/>
  <c r="AU104" i="6"/>
  <c r="AQ104" i="6"/>
  <c r="AD104" i="6"/>
  <c r="AY104" i="6"/>
  <c r="AS104" i="6"/>
  <c r="AT104" i="6"/>
  <c r="AG104" i="6"/>
  <c r="AF104" i="6"/>
  <c r="BF104" i="6"/>
  <c r="AP104" i="6"/>
  <c r="AB104" i="6"/>
  <c r="AH104" i="6"/>
  <c r="AX104" i="6"/>
  <c r="AJ104" i="6"/>
  <c r="BB104" i="6"/>
  <c r="BE104" i="6"/>
  <c r="BC104" i="6"/>
  <c r="AI104" i="6"/>
  <c r="AZ104" i="6"/>
  <c r="AE104" i="6"/>
  <c r="AM104" i="6"/>
  <c r="AR104" i="6"/>
  <c r="BD104" i="6"/>
  <c r="E106" i="5"/>
  <c r="G106" i="5"/>
  <c r="D106" i="5"/>
  <c r="B106" i="12" s="1"/>
  <c r="J106" i="5"/>
  <c r="AE106" i="5"/>
  <c r="C107" i="5"/>
  <c r="B106" i="5"/>
  <c r="K106" i="5"/>
  <c r="A106" i="12"/>
  <c r="F106" i="5"/>
  <c r="B106" i="6"/>
  <c r="H106" i="5"/>
  <c r="N106" i="5"/>
  <c r="D106" i="6" s="1"/>
  <c r="AD106" i="5"/>
  <c r="L105" i="12"/>
  <c r="J105" i="12"/>
  <c r="A105" i="6"/>
  <c r="M105" i="6" s="1"/>
  <c r="AE105" i="6" s="1"/>
  <c r="AS105" i="6" l="1"/>
  <c r="BG105" i="6"/>
  <c r="AR105" i="6"/>
  <c r="K105" i="12"/>
  <c r="BB105" i="6"/>
  <c r="AO105" i="6"/>
  <c r="AX105" i="6"/>
  <c r="AI105" i="6"/>
  <c r="AU105" i="6"/>
  <c r="AF105" i="6"/>
  <c r="H106" i="6"/>
  <c r="T106" i="5" s="1"/>
  <c r="G106" i="12" s="1"/>
  <c r="AK105" i="6"/>
  <c r="A106" i="6"/>
  <c r="M106" i="6" s="1"/>
  <c r="BC106" i="6" s="1"/>
  <c r="AM105" i="6"/>
  <c r="J106" i="12"/>
  <c r="L106" i="12"/>
  <c r="AJ105" i="6"/>
  <c r="AQ105" i="6"/>
  <c r="AG105" i="6"/>
  <c r="AB105" i="6"/>
  <c r="B107" i="5"/>
  <c r="C108" i="5"/>
  <c r="D107" i="5"/>
  <c r="B107" i="12" s="1"/>
  <c r="H107" i="5"/>
  <c r="E107" i="5"/>
  <c r="N107" i="5"/>
  <c r="D107" i="6" s="1"/>
  <c r="AE107" i="5"/>
  <c r="B107" i="6"/>
  <c r="A107" i="12"/>
  <c r="G107" i="5"/>
  <c r="K107" i="5"/>
  <c r="AD107" i="5"/>
  <c r="F107" i="5"/>
  <c r="J107" i="5"/>
  <c r="AT105" i="6"/>
  <c r="BC105" i="6"/>
  <c r="BD105" i="6"/>
  <c r="AH105" i="6"/>
  <c r="BE105" i="6"/>
  <c r="AY105" i="6"/>
  <c r="AV105" i="6"/>
  <c r="BA105" i="6"/>
  <c r="AP105" i="6"/>
  <c r="AN105" i="6"/>
  <c r="AC105" i="6"/>
  <c r="BF105" i="6"/>
  <c r="AD105" i="6"/>
  <c r="AZ105" i="6"/>
  <c r="K106" i="12" l="1"/>
  <c r="H107" i="6"/>
  <c r="T107" i="5" s="1"/>
  <c r="G107" i="12" s="1"/>
  <c r="AP106" i="6"/>
  <c r="BA106" i="6"/>
  <c r="BB106" i="6"/>
  <c r="AZ106" i="6"/>
  <c r="AQ106" i="6"/>
  <c r="AS106" i="6"/>
  <c r="AN106" i="6"/>
  <c r="AK106" i="6"/>
  <c r="A108" i="12"/>
  <c r="K108" i="5"/>
  <c r="AD108" i="5"/>
  <c r="F108" i="5"/>
  <c r="D108" i="5"/>
  <c r="B108" i="12" s="1"/>
  <c r="J108" i="5"/>
  <c r="B108" i="6"/>
  <c r="N108" i="5"/>
  <c r="D108" i="6" s="1"/>
  <c r="H108" i="6" s="1"/>
  <c r="T108" i="5" s="1"/>
  <c r="G108" i="12" s="1"/>
  <c r="E108" i="5"/>
  <c r="H108" i="5"/>
  <c r="AE108" i="5"/>
  <c r="G108" i="5"/>
  <c r="C109" i="5"/>
  <c r="B108" i="5"/>
  <c r="AF106" i="6"/>
  <c r="BF106" i="6"/>
  <c r="AO106" i="6"/>
  <c r="BD106" i="6"/>
  <c r="AU106" i="6"/>
  <c r="BE106" i="6"/>
  <c r="AH106" i="6"/>
  <c r="AC106" i="6"/>
  <c r="AD106" i="6"/>
  <c r="BG106" i="6"/>
  <c r="AG106" i="6"/>
  <c r="AV106" i="6"/>
  <c r="AJ106" i="6"/>
  <c r="AB106" i="6"/>
  <c r="AR106" i="6"/>
  <c r="AY106" i="6"/>
  <c r="J107" i="12"/>
  <c r="L107" i="12"/>
  <c r="AT106" i="6"/>
  <c r="AE106" i="6"/>
  <c r="AX106" i="6"/>
  <c r="A107" i="6"/>
  <c r="M107" i="6" s="1"/>
  <c r="BB107" i="6" s="1"/>
  <c r="AM106" i="6"/>
  <c r="AI106" i="6"/>
  <c r="K107" i="12" l="1"/>
  <c r="AF107" i="6"/>
  <c r="AV107" i="6"/>
  <c r="AC107" i="6"/>
  <c r="AQ107" i="6"/>
  <c r="AI107" i="6"/>
  <c r="AM107" i="6"/>
  <c r="L108" i="12"/>
  <c r="J108" i="12"/>
  <c r="AZ107" i="6"/>
  <c r="AH107" i="6"/>
  <c r="BA107" i="6"/>
  <c r="AG107" i="6"/>
  <c r="BD107" i="6"/>
  <c r="AX107" i="6"/>
  <c r="D109" i="5"/>
  <c r="B109" i="12" s="1"/>
  <c r="H109" i="5"/>
  <c r="B109" i="6"/>
  <c r="G109" i="5"/>
  <c r="AE109" i="5"/>
  <c r="J109" i="5"/>
  <c r="C110" i="5"/>
  <c r="A109" i="12"/>
  <c r="AD109" i="5"/>
  <c r="K109" i="5"/>
  <c r="N109" i="5"/>
  <c r="D109" i="6" s="1"/>
  <c r="B109" i="5"/>
  <c r="F109" i="5"/>
  <c r="E109" i="5"/>
  <c r="AK107" i="6"/>
  <c r="AE107" i="6"/>
  <c r="AO107" i="6"/>
  <c r="AB107" i="6"/>
  <c r="BC107" i="6"/>
  <c r="AR107" i="6"/>
  <c r="AU107" i="6"/>
  <c r="AP107" i="6"/>
  <c r="BF107" i="6"/>
  <c r="A108" i="6"/>
  <c r="M108" i="6" s="1"/>
  <c r="AD108" i="6" s="1"/>
  <c r="BE107" i="6"/>
  <c r="AT107" i="6"/>
  <c r="AD107" i="6"/>
  <c r="AY107" i="6"/>
  <c r="BG107" i="6"/>
  <c r="AJ107" i="6"/>
  <c r="AN107" i="6"/>
  <c r="AS107" i="6"/>
  <c r="K108" i="12" l="1"/>
  <c r="L109" i="12"/>
  <c r="J109" i="12"/>
  <c r="A109" i="6"/>
  <c r="M109" i="6" s="1"/>
  <c r="AN109" i="6" s="1"/>
  <c r="B110" i="6"/>
  <c r="H110" i="5"/>
  <c r="B110" i="5"/>
  <c r="J110" i="5"/>
  <c r="N110" i="5"/>
  <c r="D110" i="6" s="1"/>
  <c r="H110" i="6" s="1"/>
  <c r="T110" i="5" s="1"/>
  <c r="G110" i="12" s="1"/>
  <c r="E110" i="5"/>
  <c r="F110" i="5"/>
  <c r="AD110" i="5"/>
  <c r="AE110" i="5"/>
  <c r="D110" i="5"/>
  <c r="B110" i="12" s="1"/>
  <c r="A110" i="12"/>
  <c r="K110" i="5"/>
  <c r="G110" i="5"/>
  <c r="AP108" i="6"/>
  <c r="BC108" i="6"/>
  <c r="AR108" i="6"/>
  <c r="AG108" i="6"/>
  <c r="AN108" i="6"/>
  <c r="AS108" i="6"/>
  <c r="AB108" i="6"/>
  <c r="BE108" i="6"/>
  <c r="AX108" i="6"/>
  <c r="AQ108" i="6"/>
  <c r="AH108" i="6"/>
  <c r="AF108" i="6"/>
  <c r="BA108" i="6"/>
  <c r="BG108" i="6"/>
  <c r="AM108" i="6"/>
  <c r="AU108" i="6"/>
  <c r="AJ108" i="6"/>
  <c r="AE108" i="6"/>
  <c r="AV108" i="6"/>
  <c r="BD108" i="6"/>
  <c r="AC108" i="6"/>
  <c r="AT108" i="6"/>
  <c r="AZ108" i="6"/>
  <c r="AK108" i="6"/>
  <c r="BF108" i="6"/>
  <c r="BB108" i="6"/>
  <c r="AI108" i="6"/>
  <c r="AY108" i="6"/>
  <c r="H109" i="6"/>
  <c r="T109" i="5" s="1"/>
  <c r="G109" i="12" s="1"/>
  <c r="AO108" i="6"/>
  <c r="AP109" i="6" l="1"/>
  <c r="AS109" i="6"/>
  <c r="AU109" i="6"/>
  <c r="BF109" i="6"/>
  <c r="AT109" i="6"/>
  <c r="AX109" i="6"/>
  <c r="AR109" i="6"/>
  <c r="BE109" i="6"/>
  <c r="AM109" i="6"/>
  <c r="AZ109" i="6"/>
  <c r="AG109" i="6"/>
  <c r="C111" i="5"/>
  <c r="AE109" i="6"/>
  <c r="AD109" i="6"/>
  <c r="AH109" i="6"/>
  <c r="BB109" i="6"/>
  <c r="AF109" i="6"/>
  <c r="AQ109" i="6"/>
  <c r="AI109" i="6"/>
  <c r="BC109" i="6"/>
  <c r="AK109" i="6"/>
  <c r="BA109" i="6"/>
  <c r="AJ109" i="6"/>
  <c r="AB109" i="6"/>
  <c r="AC109" i="6"/>
  <c r="BG109" i="6"/>
  <c r="AV109" i="6"/>
  <c r="AO109" i="6"/>
  <c r="K109" i="12"/>
  <c r="BD109" i="6"/>
  <c r="A110" i="6"/>
  <c r="M110" i="6" s="1"/>
  <c r="AG110" i="6" s="1"/>
  <c r="AY109" i="6"/>
  <c r="J110" i="12"/>
  <c r="L110" i="12"/>
  <c r="K110" i="12" l="1"/>
  <c r="AR110" i="6"/>
  <c r="BE110" i="6"/>
  <c r="AQ110" i="6"/>
  <c r="BC110" i="6"/>
  <c r="AU110" i="6"/>
  <c r="AF110" i="6"/>
  <c r="BA110" i="6"/>
  <c r="E111" i="5"/>
  <c r="K111" i="5"/>
  <c r="B111" i="5"/>
  <c r="N111" i="5"/>
  <c r="D111" i="6" s="1"/>
  <c r="H111" i="6" s="1"/>
  <c r="T111" i="5" s="1"/>
  <c r="G111" i="12" s="1"/>
  <c r="AD111" i="5"/>
  <c r="B111" i="6"/>
  <c r="J111" i="5"/>
  <c r="A111" i="12"/>
  <c r="G111" i="5"/>
  <c r="C112" i="5"/>
  <c r="AE111" i="5"/>
  <c r="F111" i="5"/>
  <c r="H111" i="5"/>
  <c r="D111" i="5"/>
  <c r="B111" i="12" s="1"/>
  <c r="AO110" i="6"/>
  <c r="BB110" i="6"/>
  <c r="AD110" i="6"/>
  <c r="AI110" i="6"/>
  <c r="AT110" i="6"/>
  <c r="AK110" i="6"/>
  <c r="AX110" i="6"/>
  <c r="AN110" i="6"/>
  <c r="AY110" i="6"/>
  <c r="AC110" i="6"/>
  <c r="AV110" i="6"/>
  <c r="AM110" i="6"/>
  <c r="BF110" i="6"/>
  <c r="AS110" i="6"/>
  <c r="AZ110" i="6"/>
  <c r="BG110" i="6"/>
  <c r="AP110" i="6"/>
  <c r="AB110" i="6"/>
  <c r="AH110" i="6"/>
  <c r="BD110" i="6"/>
  <c r="AE110" i="6"/>
  <c r="AJ110" i="6"/>
  <c r="J112" i="5" l="1"/>
  <c r="E112" i="5"/>
  <c r="F112" i="5"/>
  <c r="AE112" i="5"/>
  <c r="N112" i="5"/>
  <c r="D112" i="6" s="1"/>
  <c r="B112" i="5"/>
  <c r="G112" i="5"/>
  <c r="H112" i="5"/>
  <c r="A112" i="12"/>
  <c r="D112" i="5"/>
  <c r="B112" i="12" s="1"/>
  <c r="B112" i="6"/>
  <c r="K112" i="5"/>
  <c r="AD112" i="5"/>
  <c r="C113" i="5"/>
  <c r="J111" i="12"/>
  <c r="L111" i="12"/>
  <c r="A111" i="6"/>
  <c r="M111" i="6" s="1"/>
  <c r="H112" i="6" l="1"/>
  <c r="AH111" i="6"/>
  <c r="AD111" i="6"/>
  <c r="AF111" i="6"/>
  <c r="AN111" i="6"/>
  <c r="AO111" i="6"/>
  <c r="AI111" i="6"/>
  <c r="AB111" i="6"/>
  <c r="AZ111" i="6"/>
  <c r="AR111" i="6"/>
  <c r="BA111" i="6"/>
  <c r="AP111" i="6"/>
  <c r="AG111" i="6"/>
  <c r="AS111" i="6"/>
  <c r="BE111" i="6"/>
  <c r="BG111" i="6"/>
  <c r="AU111" i="6"/>
  <c r="BD111" i="6"/>
  <c r="AT111" i="6"/>
  <c r="AK111" i="6"/>
  <c r="AX111" i="6"/>
  <c r="AJ111" i="6"/>
  <c r="AQ111" i="6"/>
  <c r="BC111" i="6"/>
  <c r="AY111" i="6"/>
  <c r="AV111" i="6"/>
  <c r="AE111" i="6"/>
  <c r="BB111" i="6"/>
  <c r="AM111" i="6"/>
  <c r="BF111" i="6"/>
  <c r="AC111" i="6"/>
  <c r="K111" i="12"/>
  <c r="AE113" i="5"/>
  <c r="G113" i="5"/>
  <c r="B113" i="5"/>
  <c r="D113" i="5"/>
  <c r="B113" i="12" s="1"/>
  <c r="K113" i="5"/>
  <c r="AD113" i="5"/>
  <c r="N113" i="5"/>
  <c r="D113" i="6" s="1"/>
  <c r="H113" i="6" s="1"/>
  <c r="T113" i="5" s="1"/>
  <c r="G113" i="12" s="1"/>
  <c r="F113" i="5"/>
  <c r="B113" i="6"/>
  <c r="C114" i="5"/>
  <c r="H113" i="5"/>
  <c r="A113" i="12"/>
  <c r="E113" i="5"/>
  <c r="J113" i="5"/>
  <c r="J112" i="12"/>
  <c r="L112" i="12"/>
  <c r="A112" i="6"/>
  <c r="M112" i="6" s="1"/>
  <c r="AQ112" i="6" s="1"/>
  <c r="K112" i="12" l="1"/>
  <c r="AF112" i="6"/>
  <c r="BA112" i="6"/>
  <c r="AD112" i="6"/>
  <c r="AP112" i="6"/>
  <c r="AU112" i="6"/>
  <c r="AM112" i="6"/>
  <c r="AE112" i="6"/>
  <c r="BE112" i="6"/>
  <c r="AV112" i="6"/>
  <c r="BB112" i="6"/>
  <c r="BF112" i="6"/>
  <c r="AN112" i="6"/>
  <c r="BG112" i="6"/>
  <c r="AT112" i="6"/>
  <c r="BC112" i="6"/>
  <c r="J113" i="12"/>
  <c r="L113" i="12"/>
  <c r="AJ112" i="6"/>
  <c r="AB112" i="6"/>
  <c r="AK112" i="6"/>
  <c r="AX112" i="6"/>
  <c r="AD114" i="5"/>
  <c r="AE114" i="5"/>
  <c r="G114" i="5"/>
  <c r="A114" i="12"/>
  <c r="B114" i="5"/>
  <c r="H114" i="5"/>
  <c r="D114" i="5"/>
  <c r="B114" i="12" s="1"/>
  <c r="C115" i="5"/>
  <c r="C116" i="5" s="1"/>
  <c r="F114" i="5"/>
  <c r="J114" i="5"/>
  <c r="N114" i="5"/>
  <c r="D114" i="6" s="1"/>
  <c r="E114" i="5"/>
  <c r="B114" i="6"/>
  <c r="K114" i="5"/>
  <c r="AO112" i="6"/>
  <c r="AR112" i="6"/>
  <c r="A113" i="6"/>
  <c r="M113" i="6" s="1"/>
  <c r="AS112" i="6"/>
  <c r="AH112" i="6"/>
  <c r="AZ112" i="6"/>
  <c r="AY112" i="6"/>
  <c r="T112" i="5"/>
  <c r="G112" i="12" s="1"/>
  <c r="AI112" i="6"/>
  <c r="AG112" i="6"/>
  <c r="AC112" i="6"/>
  <c r="BD112" i="6"/>
  <c r="K116" i="5" l="1"/>
  <c r="J116" i="5"/>
  <c r="AE116" i="5"/>
  <c r="B116" i="6"/>
  <c r="AD116" i="5"/>
  <c r="D116" i="5"/>
  <c r="B116" i="12" s="1"/>
  <c r="C117" i="5"/>
  <c r="A116" i="12"/>
  <c r="N116" i="5"/>
  <c r="K113" i="12"/>
  <c r="A114" i="6"/>
  <c r="M114" i="6" s="1"/>
  <c r="AR114" i="6" s="1"/>
  <c r="J114" i="12"/>
  <c r="L114" i="12"/>
  <c r="BG113" i="6"/>
  <c r="AR113" i="6"/>
  <c r="AZ113" i="6"/>
  <c r="AQ113" i="6"/>
  <c r="AY113" i="6"/>
  <c r="AK113" i="6"/>
  <c r="AN113" i="6"/>
  <c r="AJ113" i="6"/>
  <c r="BA113" i="6"/>
  <c r="AT113" i="6"/>
  <c r="AU113" i="6"/>
  <c r="AI113" i="6"/>
  <c r="AS113" i="6"/>
  <c r="AF113" i="6"/>
  <c r="BE113" i="6"/>
  <c r="BD113" i="6"/>
  <c r="BF113" i="6"/>
  <c r="AE113" i="6"/>
  <c r="AX113" i="6"/>
  <c r="BB113" i="6"/>
  <c r="AG113" i="6"/>
  <c r="AP113" i="6"/>
  <c r="AM113" i="6"/>
  <c r="AO113" i="6"/>
  <c r="AB113" i="6"/>
  <c r="BC113" i="6"/>
  <c r="AV113" i="6"/>
  <c r="AH113" i="6"/>
  <c r="AD113" i="6"/>
  <c r="AC113" i="6"/>
  <c r="H114" i="6"/>
  <c r="T114" i="5" s="1"/>
  <c r="G114" i="12" s="1"/>
  <c r="F115" i="5"/>
  <c r="F116" i="5" s="1"/>
  <c r="AE115" i="5"/>
  <c r="K115" i="5"/>
  <c r="N115" i="5"/>
  <c r="D115" i="6" s="1"/>
  <c r="H115" i="6" s="1"/>
  <c r="T115" i="5" s="1"/>
  <c r="G115" i="12" s="1"/>
  <c r="H115" i="5"/>
  <c r="H116" i="5" s="1"/>
  <c r="J115" i="5"/>
  <c r="G115" i="5"/>
  <c r="G116" i="5" s="1"/>
  <c r="AD115" i="5"/>
  <c r="A115" i="12"/>
  <c r="B115" i="5"/>
  <c r="B116" i="5" s="1"/>
  <c r="E115" i="5"/>
  <c r="E116" i="5" s="1"/>
  <c r="D115" i="5"/>
  <c r="B115" i="12" s="1"/>
  <c r="B115" i="6"/>
  <c r="D116" i="6" l="1"/>
  <c r="L116" i="12"/>
  <c r="J116" i="12"/>
  <c r="N117" i="5"/>
  <c r="K117" i="5"/>
  <c r="J117" i="5"/>
  <c r="AE117" i="5"/>
  <c r="AD117" i="5"/>
  <c r="H117" i="5"/>
  <c r="A117" i="12"/>
  <c r="G117" i="5"/>
  <c r="F117" i="5"/>
  <c r="E117" i="5"/>
  <c r="D117" i="5"/>
  <c r="B117" i="12" s="1"/>
  <c r="B117" i="6"/>
  <c r="B117" i="5"/>
  <c r="C118" i="5"/>
  <c r="AV114" i="6"/>
  <c r="BG114" i="6"/>
  <c r="AK114" i="6"/>
  <c r="AT114" i="6"/>
  <c r="AN114" i="6"/>
  <c r="AI114" i="6"/>
  <c r="BC114" i="6"/>
  <c r="BA114" i="6"/>
  <c r="AB114" i="6"/>
  <c r="AX114" i="6"/>
  <c r="AS114" i="6"/>
  <c r="AQ114" i="6"/>
  <c r="BB114" i="6"/>
  <c r="AY114" i="6"/>
  <c r="AH114" i="6"/>
  <c r="AE114" i="6"/>
  <c r="AJ114" i="6"/>
  <c r="BD114" i="6"/>
  <c r="AP114" i="6"/>
  <c r="AC114" i="6"/>
  <c r="AD114" i="6"/>
  <c r="BF114" i="6"/>
  <c r="AZ114" i="6"/>
  <c r="AG114" i="6"/>
  <c r="AO114" i="6"/>
  <c r="AF114" i="6"/>
  <c r="BE114" i="6"/>
  <c r="AM114" i="6"/>
  <c r="A115" i="6"/>
  <c r="M115" i="6" s="1"/>
  <c r="AN115" i="6" s="1"/>
  <c r="AU114" i="6"/>
  <c r="J115" i="12"/>
  <c r="L115" i="12"/>
  <c r="K114" i="12"/>
  <c r="D117" i="6" l="1"/>
  <c r="K116" i="12"/>
  <c r="L117" i="12"/>
  <c r="J117" i="12"/>
  <c r="A116" i="6"/>
  <c r="A117" i="6" s="1"/>
  <c r="H116" i="6"/>
  <c r="T116" i="5" s="1"/>
  <c r="A118" i="12"/>
  <c r="N118" i="5"/>
  <c r="B118" i="6"/>
  <c r="K118" i="5"/>
  <c r="J118" i="5"/>
  <c r="AE118" i="5"/>
  <c r="AD118" i="5"/>
  <c r="H118" i="5"/>
  <c r="G118" i="5"/>
  <c r="F118" i="5"/>
  <c r="E118" i="5"/>
  <c r="D118" i="5"/>
  <c r="B118" i="12" s="1"/>
  <c r="B118" i="5"/>
  <c r="C119" i="5"/>
  <c r="K115" i="12"/>
  <c r="AO115" i="6"/>
  <c r="AC115" i="6"/>
  <c r="AE115" i="6"/>
  <c r="AK115" i="6"/>
  <c r="AT115" i="6"/>
  <c r="AX115" i="6"/>
  <c r="BE115" i="6"/>
  <c r="AF115" i="6"/>
  <c r="AI115" i="6"/>
  <c r="AH115" i="6"/>
  <c r="AB115" i="6"/>
  <c r="AU115" i="6"/>
  <c r="BB115" i="6"/>
  <c r="AP115" i="6"/>
  <c r="BF115" i="6"/>
  <c r="AS115" i="6"/>
  <c r="AR115" i="6"/>
  <c r="AQ115" i="6"/>
  <c r="AG115" i="6"/>
  <c r="AY115" i="6"/>
  <c r="AJ115" i="6"/>
  <c r="BD115" i="6"/>
  <c r="AV115" i="6"/>
  <c r="AD115" i="6"/>
  <c r="AZ115" i="6"/>
  <c r="BG115" i="6"/>
  <c r="BC115" i="6"/>
  <c r="AM115" i="6"/>
  <c r="BA115" i="6"/>
  <c r="K117" i="12" l="1"/>
  <c r="G116" i="12"/>
  <c r="M116" i="6"/>
  <c r="AH116" i="6" s="1"/>
  <c r="B119" i="5"/>
  <c r="N119" i="5"/>
  <c r="K119" i="5"/>
  <c r="J119" i="5"/>
  <c r="AE119" i="5"/>
  <c r="AD119" i="5"/>
  <c r="H119" i="5"/>
  <c r="A119" i="12"/>
  <c r="G119" i="5"/>
  <c r="B119" i="6"/>
  <c r="F119" i="5"/>
  <c r="E119" i="5"/>
  <c r="D119" i="5"/>
  <c r="B119" i="12" s="1"/>
  <c r="M117" i="6"/>
  <c r="BF117" i="6" s="1"/>
  <c r="H117" i="6"/>
  <c r="T117" i="5" s="1"/>
  <c r="D118" i="6"/>
  <c r="A118" i="6" s="1"/>
  <c r="L118" i="12"/>
  <c r="J118" i="12"/>
  <c r="AC116" i="6" l="1"/>
  <c r="AJ116" i="6"/>
  <c r="AI116" i="6"/>
  <c r="AH117" i="6"/>
  <c r="AP117" i="6"/>
  <c r="K118" i="12"/>
  <c r="AZ117" i="6"/>
  <c r="BG117" i="6"/>
  <c r="D119" i="6"/>
  <c r="A119" i="6" s="1"/>
  <c r="AI117" i="6"/>
  <c r="BA117" i="6"/>
  <c r="AQ117" i="6"/>
  <c r="AK116" i="6"/>
  <c r="AJ117" i="6"/>
  <c r="BB117" i="6"/>
  <c r="AR117" i="6"/>
  <c r="AK117" i="6"/>
  <c r="G117" i="12"/>
  <c r="AB117" i="6"/>
  <c r="BC117" i="6"/>
  <c r="AS117" i="6"/>
  <c r="AM117" i="6"/>
  <c r="AC117" i="6"/>
  <c r="BC116" i="6"/>
  <c r="AT116" i="6"/>
  <c r="BB116" i="6"/>
  <c r="AS116" i="6"/>
  <c r="BA116" i="6"/>
  <c r="AR116" i="6"/>
  <c r="AZ116" i="6"/>
  <c r="AQ116" i="6"/>
  <c r="AY116" i="6"/>
  <c r="BG116" i="6"/>
  <c r="AG116" i="6"/>
  <c r="AP116" i="6"/>
  <c r="AX116" i="6"/>
  <c r="BF116" i="6"/>
  <c r="BE116" i="6"/>
  <c r="AV116" i="6"/>
  <c r="AO116" i="6"/>
  <c r="AD116" i="6"/>
  <c r="AN116" i="6"/>
  <c r="BD116" i="6"/>
  <c r="AU116" i="6"/>
  <c r="AM116" i="6"/>
  <c r="AY117" i="6"/>
  <c r="AB116" i="6"/>
  <c r="BD117" i="6"/>
  <c r="AT117" i="6"/>
  <c r="AN117" i="6"/>
  <c r="AD117" i="6"/>
  <c r="L119" i="12"/>
  <c r="J119" i="12"/>
  <c r="M118" i="6"/>
  <c r="BA118" i="6" s="1"/>
  <c r="H118" i="6"/>
  <c r="T118" i="5" s="1"/>
  <c r="BE117" i="6"/>
  <c r="AU117" i="6"/>
  <c r="AF116" i="6"/>
  <c r="AF117" i="6"/>
  <c r="AE117" i="6"/>
  <c r="AE116" i="6"/>
  <c r="AX117" i="6"/>
  <c r="AO117" i="6"/>
  <c r="AV117" i="6"/>
  <c r="AG117" i="6"/>
  <c r="K119" i="12" l="1"/>
  <c r="AB118" i="6"/>
  <c r="AJ118" i="6"/>
  <c r="AS118" i="6"/>
  <c r="BB118" i="6"/>
  <c r="BC118" i="6"/>
  <c r="AT118" i="6"/>
  <c r="AD118" i="6"/>
  <c r="AM118" i="6"/>
  <c r="AU118" i="6"/>
  <c r="BD118" i="6"/>
  <c r="AN118" i="6"/>
  <c r="AO118" i="6"/>
  <c r="AV118" i="6"/>
  <c r="BE118" i="6"/>
  <c r="AE118" i="6"/>
  <c r="BF118" i="6"/>
  <c r="AF118" i="6"/>
  <c r="M119" i="6"/>
  <c r="BF119" i="6" s="1"/>
  <c r="H119" i="6"/>
  <c r="T119" i="5" s="1"/>
  <c r="AK118" i="6"/>
  <c r="AP118" i="6"/>
  <c r="AG118" i="6"/>
  <c r="BG118" i="6"/>
  <c r="AY118" i="6"/>
  <c r="G118" i="12"/>
  <c r="AC118" i="6"/>
  <c r="AH118" i="6"/>
  <c r="AQ118" i="6"/>
  <c r="AZ118" i="6"/>
  <c r="AI118" i="6"/>
  <c r="AX118" i="6"/>
  <c r="AR118" i="6"/>
  <c r="K72" i="5"/>
  <c r="AY119" i="6" l="1"/>
  <c r="AH119" i="6"/>
  <c r="AP119" i="6"/>
  <c r="G119" i="12"/>
  <c r="AZ119" i="6"/>
  <c r="BG119" i="6"/>
  <c r="AI119" i="6"/>
  <c r="BA119" i="6"/>
  <c r="AQ119" i="6"/>
  <c r="AJ119" i="6"/>
  <c r="BB119" i="6"/>
  <c r="AR119" i="6"/>
  <c r="AK119" i="6"/>
  <c r="AB119" i="6"/>
  <c r="BC119" i="6"/>
  <c r="AS119" i="6"/>
  <c r="AM119" i="6"/>
  <c r="AC119" i="6"/>
  <c r="BD119" i="6"/>
  <c r="AT119" i="6"/>
  <c r="AN119" i="6"/>
  <c r="AD119" i="6"/>
  <c r="BE119" i="6"/>
  <c r="AU119" i="6"/>
  <c r="AF119" i="6"/>
  <c r="AE119" i="6"/>
  <c r="AX119" i="6"/>
  <c r="AO119" i="6"/>
  <c r="AV119" i="6"/>
  <c r="AG119" i="6"/>
  <c r="A5" i="5" l="1"/>
  <c r="E158" i="8" l="1"/>
  <c r="B12" i="11"/>
  <c r="E74" i="8"/>
  <c r="E20" i="8"/>
  <c r="E140" i="8"/>
  <c r="E68" i="8"/>
  <c r="E53" i="8"/>
  <c r="E104" i="8"/>
  <c r="E29" i="8"/>
  <c r="E83" i="8"/>
  <c r="E161" i="8"/>
  <c r="E14" i="8"/>
  <c r="E15" i="8" s="1"/>
  <c r="E125" i="8"/>
  <c r="E92" i="8"/>
  <c r="E38" i="8"/>
  <c r="E17" i="8"/>
  <c r="E131" i="8"/>
  <c r="E137" i="8"/>
  <c r="E47" i="8"/>
  <c r="E77" i="8"/>
  <c r="E107" i="8"/>
  <c r="E116" i="8"/>
  <c r="E110" i="8"/>
  <c r="E44" i="8"/>
  <c r="E134" i="8"/>
  <c r="E80" i="8"/>
  <c r="E95" i="8"/>
  <c r="E41" i="8"/>
  <c r="E98" i="8"/>
  <c r="E65" i="8"/>
  <c r="E62" i="8"/>
  <c r="E56" i="8"/>
  <c r="E119" i="8"/>
  <c r="E101" i="8"/>
  <c r="B19" i="11"/>
  <c r="E149" i="8"/>
  <c r="E32" i="8"/>
  <c r="E113" i="8" l="1"/>
  <c r="E1" i="8"/>
  <c r="E2" i="8" s="1"/>
  <c r="O1" i="8" s="1"/>
  <c r="E122" i="8"/>
  <c r="E146" i="8"/>
  <c r="E155" i="8"/>
  <c r="E128" i="8"/>
  <c r="E89" i="8"/>
  <c r="E23" i="8"/>
  <c r="E26" i="8"/>
  <c r="E152" i="8"/>
  <c r="E71" i="8"/>
  <c r="K16" i="5"/>
  <c r="A16" i="13"/>
  <c r="B16" i="13" s="1"/>
  <c r="AM16" i="13" s="1"/>
  <c r="J16" i="5"/>
  <c r="B21" i="11"/>
  <c r="O21" i="11" s="1"/>
  <c r="A20" i="13"/>
  <c r="AO20" i="13" s="1"/>
  <c r="A12" i="13"/>
  <c r="B12" i="13" s="1"/>
  <c r="AJ12" i="13" s="1"/>
  <c r="A15" i="13"/>
  <c r="B15" i="13" s="1"/>
  <c r="B23" i="11"/>
  <c r="B16" i="11"/>
  <c r="C16" i="13" s="1"/>
  <c r="B20" i="11"/>
  <c r="AA20" i="11" s="1"/>
  <c r="A17" i="13"/>
  <c r="B17" i="13" s="1"/>
  <c r="AM17" i="13" s="1"/>
  <c r="A18" i="13"/>
  <c r="B18" i="13" s="1"/>
  <c r="AN18" i="13" s="1"/>
  <c r="B17" i="11"/>
  <c r="AB17" i="11" s="1"/>
  <c r="N17" i="11" s="1"/>
  <c r="A21" i="13"/>
  <c r="B21" i="13" s="1"/>
  <c r="AK21" i="13" s="1"/>
  <c r="A22" i="13"/>
  <c r="AL22" i="13" s="1"/>
  <c r="B22" i="11"/>
  <c r="AB22" i="11" s="1"/>
  <c r="N22" i="11" s="1"/>
  <c r="A19" i="13"/>
  <c r="B19" i="13" s="1"/>
  <c r="AM19" i="13" s="1"/>
  <c r="E143" i="8"/>
  <c r="B15" i="11"/>
  <c r="A23" i="13"/>
  <c r="AO23" i="13" s="1"/>
  <c r="O12" i="11"/>
  <c r="C12" i="11" s="1"/>
  <c r="AA12" i="11"/>
  <c r="G12" i="11"/>
  <c r="F12" i="13" s="1"/>
  <c r="C12" i="13"/>
  <c r="O12" i="13" s="1"/>
  <c r="K12" i="11"/>
  <c r="J12" i="13" s="1"/>
  <c r="AB12" i="11"/>
  <c r="N12" i="11" s="1"/>
  <c r="B18" i="11"/>
  <c r="J66" i="5"/>
  <c r="D66" i="5" s="1"/>
  <c r="B66" i="12" s="1"/>
  <c r="E35" i="8"/>
  <c r="E86" i="8"/>
  <c r="E59" i="8"/>
  <c r="E50" i="8"/>
  <c r="AB20" i="11"/>
  <c r="N20" i="11" s="1"/>
  <c r="L14" i="8"/>
  <c r="O14" i="8" s="1"/>
  <c r="I14" i="8"/>
  <c r="AA19" i="11"/>
  <c r="G19" i="11"/>
  <c r="F19" i="13" s="1"/>
  <c r="C19" i="13"/>
  <c r="O19" i="11"/>
  <c r="K19" i="11"/>
  <c r="J19" i="13" s="1"/>
  <c r="AB19" i="11"/>
  <c r="N19" i="11" s="1"/>
  <c r="K12" i="13"/>
  <c r="I1" i="8"/>
  <c r="O23" i="11"/>
  <c r="AB23" i="11"/>
  <c r="N23" i="11" s="1"/>
  <c r="AA23" i="11"/>
  <c r="K23" i="11"/>
  <c r="J23" i="13" s="1"/>
  <c r="G23" i="11"/>
  <c r="F23" i="13" s="1"/>
  <c r="C23" i="13"/>
  <c r="G16" i="11" l="1"/>
  <c r="F16" i="13" s="1"/>
  <c r="AA16" i="11"/>
  <c r="O16" i="11"/>
  <c r="K16" i="11"/>
  <c r="J16" i="13" s="1"/>
  <c r="AB16" i="11"/>
  <c r="N16" i="11" s="1"/>
  <c r="AO18" i="13"/>
  <c r="AL18" i="13"/>
  <c r="AL17" i="13"/>
  <c r="AO17" i="13"/>
  <c r="K20" i="11"/>
  <c r="J20" i="13" s="1"/>
  <c r="G20" i="11"/>
  <c r="F20" i="13" s="1"/>
  <c r="E18" i="8"/>
  <c r="M12" i="13"/>
  <c r="H1" i="8"/>
  <c r="R1" i="8"/>
  <c r="F1" i="8" s="1"/>
  <c r="M1" i="8"/>
  <c r="N1" i="8"/>
  <c r="O20" i="11"/>
  <c r="W20" i="11" s="1"/>
  <c r="P1" i="8"/>
  <c r="L1" i="8"/>
  <c r="Q1" i="8" s="1"/>
  <c r="AO12" i="13"/>
  <c r="AL12" i="13"/>
  <c r="AO22" i="13"/>
  <c r="B22" i="13"/>
  <c r="AJ22" i="13" s="1"/>
  <c r="AO16" i="13"/>
  <c r="AL16" i="13"/>
  <c r="C20" i="13"/>
  <c r="K20" i="13" s="1"/>
  <c r="B20" i="13"/>
  <c r="AK20" i="13" s="1"/>
  <c r="AL19" i="13"/>
  <c r="U12" i="13"/>
  <c r="R12" i="13"/>
  <c r="S12" i="13"/>
  <c r="T12" i="13"/>
  <c r="AL20" i="13"/>
  <c r="L12" i="13"/>
  <c r="P12" i="13" s="1"/>
  <c r="W12" i="11"/>
  <c r="Z12" i="11"/>
  <c r="G21" i="11"/>
  <c r="F21" i="13" s="1"/>
  <c r="AA21" i="11"/>
  <c r="C21" i="13"/>
  <c r="K21" i="11"/>
  <c r="J21" i="13" s="1"/>
  <c r="AB21" i="11"/>
  <c r="N21" i="11" s="1"/>
  <c r="AO19" i="13"/>
  <c r="D16" i="5"/>
  <c r="C17" i="13"/>
  <c r="M17" i="13" s="1"/>
  <c r="O17" i="11"/>
  <c r="L17" i="13" s="1"/>
  <c r="D17" i="13" s="1"/>
  <c r="AA17" i="11"/>
  <c r="G17" i="11"/>
  <c r="F17" i="13" s="1"/>
  <c r="K17" i="11"/>
  <c r="J17" i="13" s="1"/>
  <c r="AO21" i="13"/>
  <c r="AL21" i="13"/>
  <c r="O22" i="11"/>
  <c r="W22" i="11" s="1"/>
  <c r="C22" i="13"/>
  <c r="O22" i="13" s="1"/>
  <c r="AA22" i="11"/>
  <c r="G22" i="11"/>
  <c r="F22" i="13" s="1"/>
  <c r="K22" i="11"/>
  <c r="J22" i="13" s="1"/>
  <c r="AL23" i="13"/>
  <c r="J42" i="5"/>
  <c r="D42" i="5" s="1"/>
  <c r="B42" i="12" s="1"/>
  <c r="B23" i="13"/>
  <c r="K15" i="11"/>
  <c r="J15" i="13" s="1"/>
  <c r="C15" i="13"/>
  <c r="K15" i="13" s="1"/>
  <c r="G15" i="11"/>
  <c r="F15" i="13" s="1"/>
  <c r="J72" i="5"/>
  <c r="D72" i="5" s="1"/>
  <c r="B72" i="12" s="1"/>
  <c r="AA18" i="11"/>
  <c r="C18" i="13"/>
  <c r="K18" i="11"/>
  <c r="J18" i="13" s="1"/>
  <c r="G18" i="11"/>
  <c r="F18" i="13" s="1"/>
  <c r="O18" i="11"/>
  <c r="AB18" i="11"/>
  <c r="N18" i="11" s="1"/>
  <c r="J28" i="5"/>
  <c r="D28" i="5" s="1"/>
  <c r="B28" i="12" s="1"/>
  <c r="J57" i="5"/>
  <c r="D57" i="5" s="1"/>
  <c r="B57" i="12" s="1"/>
  <c r="J103" i="5"/>
  <c r="J79" i="5"/>
  <c r="D79" i="5" s="1"/>
  <c r="B79" i="12" s="1"/>
  <c r="K103" i="5"/>
  <c r="J91" i="5"/>
  <c r="D91" i="5" s="1"/>
  <c r="B91" i="12" s="1"/>
  <c r="J61" i="5"/>
  <c r="D61" i="5" s="1"/>
  <c r="B61" i="12" s="1"/>
  <c r="J22" i="5"/>
  <c r="D22" i="5" s="1"/>
  <c r="B22" i="12" s="1"/>
  <c r="J53" i="5"/>
  <c r="D53" i="5" s="1"/>
  <c r="B53" i="12" s="1"/>
  <c r="J17" i="5"/>
  <c r="D17" i="5" s="1"/>
  <c r="J50" i="5"/>
  <c r="D50" i="5" s="1"/>
  <c r="B50" i="12" s="1"/>
  <c r="J68" i="5"/>
  <c r="D68" i="5" s="1"/>
  <c r="B68" i="12" s="1"/>
  <c r="P14" i="8"/>
  <c r="AK17" i="13"/>
  <c r="AN17" i="13"/>
  <c r="AN16" i="13"/>
  <c r="AK16" i="13"/>
  <c r="AK19" i="13"/>
  <c r="AJ19" i="13"/>
  <c r="AJ18" i="13"/>
  <c r="AJ16" i="13"/>
  <c r="AJ17" i="13"/>
  <c r="AN19" i="13"/>
  <c r="AM18" i="13"/>
  <c r="K16" i="13"/>
  <c r="T16" i="13"/>
  <c r="M16" i="13"/>
  <c r="O16" i="13"/>
  <c r="R16" i="13"/>
  <c r="Z19" i="11"/>
  <c r="C19" i="11"/>
  <c r="L19" i="13"/>
  <c r="D19" i="13" s="1"/>
  <c r="W19" i="11"/>
  <c r="N12" i="13"/>
  <c r="U19" i="13"/>
  <c r="T19" i="13"/>
  <c r="O19" i="13"/>
  <c r="M19" i="13"/>
  <c r="S19" i="13"/>
  <c r="K19" i="13"/>
  <c r="R19" i="13"/>
  <c r="U23" i="13"/>
  <c r="K23" i="13"/>
  <c r="T23" i="13"/>
  <c r="R23" i="13"/>
  <c r="M23" i="13"/>
  <c r="O23" i="13"/>
  <c r="S23" i="13"/>
  <c r="N14" i="8"/>
  <c r="R16" i="8"/>
  <c r="Z23" i="11"/>
  <c r="W23" i="11"/>
  <c r="L23" i="13"/>
  <c r="D23" i="13" s="1"/>
  <c r="C23" i="11"/>
  <c r="AM12" i="13"/>
  <c r="W16" i="11"/>
  <c r="L16" i="13"/>
  <c r="D16" i="13" s="1"/>
  <c r="Z16" i="11"/>
  <c r="C16" i="11"/>
  <c r="AM21" i="13"/>
  <c r="AK12" i="13"/>
  <c r="W21" i="11"/>
  <c r="L21" i="13"/>
  <c r="D21" i="13" s="1"/>
  <c r="C21" i="11"/>
  <c r="AN21" i="13"/>
  <c r="AN12" i="13"/>
  <c r="Z20" i="11"/>
  <c r="AK18" i="13"/>
  <c r="F2" i="8"/>
  <c r="G2" i="8"/>
  <c r="AJ21" i="13"/>
  <c r="S16" i="13" l="1"/>
  <c r="U16" i="13"/>
  <c r="L20" i="13"/>
  <c r="D20" i="13" s="1"/>
  <c r="C20" i="11"/>
  <c r="R3" i="8"/>
  <c r="I17" i="8"/>
  <c r="L17" i="8"/>
  <c r="G1" i="8"/>
  <c r="I2" i="8" s="1"/>
  <c r="AN22" i="13"/>
  <c r="AM22" i="13"/>
  <c r="AK22" i="13"/>
  <c r="O20" i="13"/>
  <c r="P20" i="13" s="1"/>
  <c r="U20" i="13"/>
  <c r="R20" i="13"/>
  <c r="S20" i="13"/>
  <c r="T20" i="13"/>
  <c r="M20" i="13"/>
  <c r="AN20" i="13"/>
  <c r="AJ20" i="13"/>
  <c r="AM20" i="13"/>
  <c r="C17" i="11"/>
  <c r="W17" i="11"/>
  <c r="U17" i="13"/>
  <c r="K17" i="13"/>
  <c r="O17" i="13"/>
  <c r="N17" i="13" s="1"/>
  <c r="S17" i="13"/>
  <c r="Z21" i="11"/>
  <c r="R17" i="13"/>
  <c r="V12" i="13"/>
  <c r="D12" i="13"/>
  <c r="M22" i="13"/>
  <c r="N22" i="13" s="1"/>
  <c r="T17" i="13"/>
  <c r="Z17" i="11"/>
  <c r="L22" i="13"/>
  <c r="D22" i="13" s="1"/>
  <c r="C22" i="11"/>
  <c r="T21" i="13"/>
  <c r="R22" i="13"/>
  <c r="M21" i="13"/>
  <c r="K22" i="13"/>
  <c r="K21" i="13"/>
  <c r="O21" i="13"/>
  <c r="P21" i="13" s="1"/>
  <c r="Z22" i="11"/>
  <c r="U22" i="13"/>
  <c r="R21" i="13"/>
  <c r="T22" i="13"/>
  <c r="S22" i="13"/>
  <c r="U21" i="13"/>
  <c r="S21" i="13"/>
  <c r="B14" i="13"/>
  <c r="B16" i="12"/>
  <c r="C58" i="10"/>
  <c r="AJ23" i="13"/>
  <c r="AK23" i="13"/>
  <c r="AN23" i="13"/>
  <c r="AM23" i="13"/>
  <c r="A22" i="10"/>
  <c r="A32" i="9"/>
  <c r="C37" i="10"/>
  <c r="A38" i="10"/>
  <c r="C36" i="10"/>
  <c r="C48" i="10"/>
  <c r="C39" i="10"/>
  <c r="C41" i="9"/>
  <c r="C54" i="10"/>
  <c r="C1" i="10"/>
  <c r="A27" i="9"/>
  <c r="A21" i="10"/>
  <c r="A53" i="10"/>
  <c r="C42" i="9"/>
  <c r="C35" i="9"/>
  <c r="A62" i="10"/>
  <c r="C50" i="9"/>
  <c r="C52" i="10"/>
  <c r="D103" i="5"/>
  <c r="B103" i="12" s="1"/>
  <c r="L18" i="13"/>
  <c r="D18" i="13" s="1"/>
  <c r="C18" i="11"/>
  <c r="Z18" i="11"/>
  <c r="W18" i="11"/>
  <c r="C41" i="10"/>
  <c r="A30" i="10"/>
  <c r="S18" i="13"/>
  <c r="M18" i="13"/>
  <c r="O18" i="13"/>
  <c r="R18" i="13"/>
  <c r="T18" i="13"/>
  <c r="K18" i="13"/>
  <c r="U18" i="13"/>
  <c r="A20" i="9"/>
  <c r="AI15" i="6"/>
  <c r="X15" i="6" s="1"/>
  <c r="B17" i="12"/>
  <c r="A57" i="10"/>
  <c r="AC15" i="6"/>
  <c r="R15" i="6" s="1"/>
  <c r="AD15" i="6"/>
  <c r="S15" i="6" s="1"/>
  <c r="C63" i="10"/>
  <c r="AE15" i="6"/>
  <c r="T15" i="6" s="1"/>
  <c r="C60" i="9"/>
  <c r="AF15" i="6"/>
  <c r="U15" i="6" s="1"/>
  <c r="A34" i="9"/>
  <c r="AG15" i="6"/>
  <c r="V15" i="6" s="1"/>
  <c r="C39" i="9"/>
  <c r="A49" i="10"/>
  <c r="A61" i="10"/>
  <c r="A1" i="9"/>
  <c r="A36" i="10"/>
  <c r="C54" i="9"/>
  <c r="A18" i="9"/>
  <c r="C64" i="10"/>
  <c r="A47" i="9"/>
  <c r="A60" i="9"/>
  <c r="A43" i="9"/>
  <c r="A35" i="10"/>
  <c r="A1" i="10"/>
  <c r="C56" i="10"/>
  <c r="A42" i="9"/>
  <c r="C46" i="9"/>
  <c r="A40" i="10"/>
  <c r="A40" i="9"/>
  <c r="C44" i="9"/>
  <c r="A16" i="9"/>
  <c r="A16" i="10"/>
  <c r="A39" i="9"/>
  <c r="A29" i="9"/>
  <c r="A50" i="9"/>
  <c r="C49" i="9"/>
  <c r="C59" i="10"/>
  <c r="A44" i="9"/>
  <c r="A63" i="10"/>
  <c r="A56" i="9"/>
  <c r="A23" i="9"/>
  <c r="A63" i="9"/>
  <c r="A25" i="9"/>
  <c r="C56" i="9"/>
  <c r="C38" i="10"/>
  <c r="C16" i="9"/>
  <c r="A23" i="10"/>
  <c r="C38" i="9"/>
  <c r="C31" i="9"/>
  <c r="A28" i="10"/>
  <c r="A59" i="9"/>
  <c r="C35" i="10"/>
  <c r="A44" i="10"/>
  <c r="A46" i="10"/>
  <c r="A37" i="10"/>
  <c r="C42" i="10"/>
  <c r="C55" i="10"/>
  <c r="A58" i="10"/>
  <c r="C43" i="10"/>
  <c r="A64" i="10"/>
  <c r="C16" i="10"/>
  <c r="A34" i="10"/>
  <c r="A21" i="9"/>
  <c r="A59" i="10"/>
  <c r="C63" i="9"/>
  <c r="C51" i="9"/>
  <c r="C45" i="10"/>
  <c r="C30" i="10"/>
  <c r="A48" i="10"/>
  <c r="A47" i="10"/>
  <c r="C32" i="10"/>
  <c r="C31" i="10"/>
  <c r="C33" i="10"/>
  <c r="A39" i="10"/>
  <c r="C51" i="10"/>
  <c r="A58" i="9"/>
  <c r="C37" i="9"/>
  <c r="A22" i="9"/>
  <c r="A57" i="9"/>
  <c r="A51" i="10"/>
  <c r="C45" i="9"/>
  <c r="C57" i="10"/>
  <c r="A24" i="9"/>
  <c r="C55" i="9"/>
  <c r="A56" i="10"/>
  <c r="A50" i="10"/>
  <c r="A46" i="9"/>
  <c r="C43" i="9"/>
  <c r="A61" i="9"/>
  <c r="A64" i="9"/>
  <c r="A60" i="10"/>
  <c r="A19" i="9"/>
  <c r="A33" i="10"/>
  <c r="A55" i="9"/>
  <c r="C47" i="10"/>
  <c r="A62" i="9"/>
  <c r="A26" i="9"/>
  <c r="C59" i="9"/>
  <c r="A43" i="10"/>
  <c r="C34" i="10"/>
  <c r="A27" i="10"/>
  <c r="C47" i="9"/>
  <c r="A45" i="10"/>
  <c r="A18" i="10"/>
  <c r="A19" i="10"/>
  <c r="A54" i="9"/>
  <c r="C60" i="10"/>
  <c r="A49" i="9"/>
  <c r="A45" i="9"/>
  <c r="C61" i="9"/>
  <c r="C62" i="10"/>
  <c r="C46" i="10"/>
  <c r="A55" i="10"/>
  <c r="A53" i="9"/>
  <c r="C53" i="9"/>
  <c r="A25" i="10"/>
  <c r="A48" i="9"/>
  <c r="A29" i="10"/>
  <c r="A37" i="9"/>
  <c r="A33" i="9"/>
  <c r="A28" i="9"/>
  <c r="A26" i="10"/>
  <c r="C62" i="9"/>
  <c r="A52" i="9"/>
  <c r="A54" i="10"/>
  <c r="A52" i="10"/>
  <c r="C57" i="9"/>
  <c r="C33" i="9"/>
  <c r="C32" i="9"/>
  <c r="C30" i="9"/>
  <c r="C40" i="10"/>
  <c r="A32" i="10"/>
  <c r="C53" i="10"/>
  <c r="C64" i="9"/>
  <c r="C49" i="10"/>
  <c r="C36" i="9"/>
  <c r="A17" i="10"/>
  <c r="A30" i="9"/>
  <c r="C40" i="9"/>
  <c r="A17" i="9"/>
  <c r="A24" i="10"/>
  <c r="A51" i="9"/>
  <c r="C1" i="9"/>
  <c r="A41" i="9"/>
  <c r="C58" i="9"/>
  <c r="A31" i="10"/>
  <c r="C44" i="10"/>
  <c r="C50" i="10"/>
  <c r="C34" i="9"/>
  <c r="A42" i="10"/>
  <c r="C61" i="10"/>
  <c r="C52" i="9"/>
  <c r="A20" i="10"/>
  <c r="A31" i="9"/>
  <c r="C48" i="9"/>
  <c r="A41" i="10"/>
  <c r="A35" i="9"/>
  <c r="A36" i="9"/>
  <c r="A38" i="9"/>
  <c r="P16" i="13"/>
  <c r="N16" i="13"/>
  <c r="N19" i="13"/>
  <c r="P19" i="13"/>
  <c r="P23" i="13"/>
  <c r="N23" i="13"/>
  <c r="AD3" i="8"/>
  <c r="AA1" i="8"/>
  <c r="AB1" i="8"/>
  <c r="C1" i="8"/>
  <c r="Y1" i="8"/>
  <c r="Z1" i="8"/>
  <c r="D3" i="8"/>
  <c r="AC1" i="8"/>
  <c r="Z3" i="8"/>
  <c r="B1" i="8"/>
  <c r="U3" i="8"/>
  <c r="W1" i="8"/>
  <c r="D1" i="8"/>
  <c r="T1" i="8"/>
  <c r="T3" i="8"/>
  <c r="X1" i="8"/>
  <c r="V1" i="8"/>
  <c r="X3" i="8"/>
  <c r="U1" i="8"/>
  <c r="AB3" i="8"/>
  <c r="W3" i="8"/>
  <c r="AE1" i="8"/>
  <c r="E3" i="8"/>
  <c r="AC3" i="8"/>
  <c r="Y3" i="8"/>
  <c r="AE3" i="8"/>
  <c r="V3" i="8"/>
  <c r="AD1" i="8"/>
  <c r="AA3" i="8"/>
  <c r="N20" i="13" l="1"/>
  <c r="P17" i="8"/>
  <c r="R19" i="8"/>
  <c r="E21" i="8"/>
  <c r="O17" i="8"/>
  <c r="P17" i="13"/>
  <c r="P22" i="13"/>
  <c r="N21" i="13"/>
  <c r="D15" i="5"/>
  <c r="AB15" i="6"/>
  <c r="Q15" i="6" s="1"/>
  <c r="AJ15" i="6"/>
  <c r="Y15" i="6" s="1"/>
  <c r="AH15" i="6"/>
  <c r="W15" i="6" s="1"/>
  <c r="AK15" i="6"/>
  <c r="Z15" i="6" s="1"/>
  <c r="P18" i="13"/>
  <c r="N18" i="13"/>
  <c r="L20" i="8" l="1"/>
  <c r="P20" i="8" s="1"/>
  <c r="O20" i="8" l="1"/>
  <c r="R22" i="8"/>
  <c r="E24" i="8"/>
  <c r="L23" i="8" l="1"/>
  <c r="O23" i="8" s="1"/>
  <c r="P23" i="8" l="1"/>
  <c r="R25" i="8"/>
  <c r="E27" i="8"/>
  <c r="L26" i="8" l="1"/>
  <c r="O26" i="8" s="1"/>
  <c r="I26" i="8"/>
  <c r="P26" i="8" l="1"/>
  <c r="R28" i="8"/>
  <c r="E30" i="8"/>
  <c r="I29" i="8" l="1"/>
  <c r="L29" i="8"/>
  <c r="P29" i="8" s="1"/>
  <c r="O29" i="8" l="1"/>
  <c r="R31" i="8"/>
  <c r="E33" i="8"/>
  <c r="N26" i="8"/>
  <c r="N20" i="8"/>
  <c r="N23" i="8"/>
  <c r="N17" i="8"/>
  <c r="I32" i="8" l="1"/>
  <c r="L32" i="8"/>
  <c r="N29" i="8" l="1"/>
  <c r="P32" i="8"/>
  <c r="O32" i="8"/>
  <c r="R34" i="8"/>
  <c r="E36" i="8"/>
  <c r="I35" i="8" l="1"/>
  <c r="L35" i="8"/>
  <c r="O35" i="8" s="1"/>
  <c r="P35" i="8" l="1"/>
  <c r="N32" i="8"/>
  <c r="R37" i="8"/>
  <c r="E39" i="8"/>
  <c r="B9" i="9"/>
  <c r="L38" i="8" l="1"/>
  <c r="I20" i="8"/>
  <c r="P38" i="8" l="1"/>
  <c r="O38" i="8"/>
  <c r="R40" i="8"/>
  <c r="E42" i="8"/>
  <c r="I41" i="8" l="1"/>
  <c r="L41" i="8"/>
  <c r="P41" i="8" s="1"/>
  <c r="N43" i="6"/>
  <c r="N44" i="6"/>
  <c r="N49" i="6"/>
  <c r="N42" i="6"/>
  <c r="N28" i="6"/>
  <c r="N29" i="6"/>
  <c r="N30" i="6"/>
  <c r="N31" i="6"/>
  <c r="N50" i="6"/>
  <c r="N53" i="6"/>
  <c r="E53" i="12"/>
  <c r="F53" i="6"/>
  <c r="G53" i="6"/>
  <c r="O41" i="8" l="1"/>
  <c r="R43" i="8"/>
  <c r="E45" i="8"/>
  <c r="N57" i="6"/>
  <c r="N58" i="6"/>
  <c r="N59" i="6"/>
  <c r="N60" i="6"/>
  <c r="N91" i="6"/>
  <c r="N56" i="6"/>
  <c r="N55" i="6"/>
  <c r="N54" i="6"/>
  <c r="N79" i="6"/>
  <c r="N78" i="6"/>
  <c r="N71" i="6"/>
  <c r="N63" i="6"/>
  <c r="N62" i="6"/>
  <c r="N61" i="6"/>
  <c r="C17" i="10"/>
  <c r="C17" i="9"/>
  <c r="L44" i="8" l="1"/>
  <c r="O44" i="8" s="1"/>
  <c r="I44" i="8"/>
  <c r="C22" i="9"/>
  <c r="C22" i="10"/>
  <c r="AF79" i="5"/>
  <c r="AF91" i="5"/>
  <c r="AF53" i="5"/>
  <c r="AF50" i="5"/>
  <c r="AF61" i="5"/>
  <c r="P44" i="8" l="1"/>
  <c r="R46" i="8"/>
  <c r="E48" i="8"/>
  <c r="I47" i="8" s="1"/>
  <c r="I38" i="8"/>
  <c r="AG91" i="5"/>
  <c r="U91" i="5" s="1"/>
  <c r="S91" i="5"/>
  <c r="I23" i="8"/>
  <c r="AG50" i="5"/>
  <c r="U50" i="5" s="1"/>
  <c r="S50" i="5"/>
  <c r="AG61" i="5"/>
  <c r="S61" i="5"/>
  <c r="AG53" i="5"/>
  <c r="S53" i="5"/>
  <c r="S79" i="5"/>
  <c r="AG79" i="5"/>
  <c r="L47" i="8" l="1"/>
  <c r="O47" i="8" s="1"/>
  <c r="U79" i="5"/>
  <c r="AN79" i="5" s="1"/>
  <c r="AN91" i="5"/>
  <c r="W91" i="5"/>
  <c r="F91" i="6"/>
  <c r="E91" i="12"/>
  <c r="E79" i="12"/>
  <c r="F79" i="6"/>
  <c r="F53" i="12"/>
  <c r="W79" i="5"/>
  <c r="F79" i="12"/>
  <c r="G79" i="6"/>
  <c r="G50" i="6"/>
  <c r="F50" i="12"/>
  <c r="W50" i="5"/>
  <c r="AN50" i="5"/>
  <c r="F50" i="6"/>
  <c r="E50" i="12"/>
  <c r="F61" i="12"/>
  <c r="F91" i="12"/>
  <c r="G91" i="6"/>
  <c r="P47" i="8" l="1"/>
  <c r="R49" i="8"/>
  <c r="E51" i="8"/>
  <c r="N84" i="6"/>
  <c r="N86" i="6"/>
  <c r="N85" i="6"/>
  <c r="N87" i="6"/>
  <c r="N88" i="6"/>
  <c r="N83" i="6"/>
  <c r="N82" i="6"/>
  <c r="N89" i="6"/>
  <c r="N90" i="6"/>
  <c r="N95" i="6"/>
  <c r="N96" i="6"/>
  <c r="N97" i="6"/>
  <c r="N98" i="6"/>
  <c r="N99" i="6"/>
  <c r="N100" i="6"/>
  <c r="N101" i="6"/>
  <c r="N102" i="6"/>
  <c r="N93" i="6"/>
  <c r="N94" i="6"/>
  <c r="N103" i="6"/>
  <c r="N80" i="6"/>
  <c r="N81" i="6"/>
  <c r="N92" i="6"/>
  <c r="N51" i="6"/>
  <c r="N52" i="6"/>
  <c r="H91" i="12"/>
  <c r="H79" i="12"/>
  <c r="H50" i="12"/>
  <c r="L50" i="8" l="1"/>
  <c r="O50" i="8" s="1"/>
  <c r="I50" i="8"/>
  <c r="C27" i="10"/>
  <c r="C27" i="9"/>
  <c r="C26" i="9"/>
  <c r="C26" i="10"/>
  <c r="C25" i="10"/>
  <c r="C25" i="9"/>
  <c r="C21" i="9"/>
  <c r="C21" i="10"/>
  <c r="C24" i="10"/>
  <c r="C24" i="9"/>
  <c r="C20" i="9"/>
  <c r="C20" i="10"/>
  <c r="C23" i="9"/>
  <c r="C23" i="10"/>
  <c r="C19" i="10"/>
  <c r="C19" i="9"/>
  <c r="C18" i="9"/>
  <c r="C18" i="10"/>
  <c r="P50" i="8" l="1"/>
  <c r="R52" i="8"/>
  <c r="E54" i="8"/>
  <c r="O15" i="11"/>
  <c r="L53" i="8" l="1"/>
  <c r="O53" i="8" s="1"/>
  <c r="W15" i="11"/>
  <c r="C15" i="11"/>
  <c r="L15" i="13"/>
  <c r="D15" i="13" s="1"/>
  <c r="I50" i="5"/>
  <c r="I42" i="5"/>
  <c r="P53" i="8" l="1"/>
  <c r="R55" i="8"/>
  <c r="E57" i="8"/>
  <c r="AL15" i="13"/>
  <c r="M15" i="13" s="1"/>
  <c r="AK15" i="13"/>
  <c r="AO15" i="13"/>
  <c r="O15" i="13" s="1"/>
  <c r="AN15" i="13"/>
  <c r="L56" i="8" l="1"/>
  <c r="O56" i="8" s="1"/>
  <c r="I56" i="8"/>
  <c r="P15" i="13"/>
  <c r="N15" i="13"/>
  <c r="P56" i="8" l="1"/>
  <c r="R58" i="8"/>
  <c r="E60" i="8"/>
  <c r="N44" i="8"/>
  <c r="N47" i="8"/>
  <c r="N38" i="8"/>
  <c r="N41" i="8"/>
  <c r="N35" i="8"/>
  <c r="I59" i="8" l="1"/>
  <c r="L59" i="8"/>
  <c r="O59" i="8" s="1"/>
  <c r="H59" i="8"/>
  <c r="P59" i="8"/>
  <c r="R59" i="8"/>
  <c r="F59" i="8" s="1"/>
  <c r="N59" i="8" l="1"/>
  <c r="M56" i="8"/>
  <c r="M53" i="8"/>
  <c r="M47" i="8"/>
  <c r="Q47" i="8" s="1"/>
  <c r="E49" i="8" s="1"/>
  <c r="M50" i="8"/>
  <c r="M41" i="8"/>
  <c r="Q41" i="8" s="1"/>
  <c r="E43" i="8" s="1"/>
  <c r="M44" i="8"/>
  <c r="Q44" i="8" s="1"/>
  <c r="E46" i="8" s="1"/>
  <c r="F60" i="8"/>
  <c r="G59" i="8"/>
  <c r="I60" i="8" s="1"/>
  <c r="G60" i="8"/>
  <c r="R61" i="8"/>
  <c r="E63" i="8"/>
  <c r="AA15" i="11"/>
  <c r="AJ15" i="13"/>
  <c r="AM15" i="13"/>
  <c r="I62" i="8" l="1"/>
  <c r="R62" i="8"/>
  <c r="F63" i="8" s="1"/>
  <c r="H62" i="8"/>
  <c r="L62" i="8"/>
  <c r="M59" i="8" s="1"/>
  <c r="Q59" i="8" s="1"/>
  <c r="V61" i="8" s="1"/>
  <c r="V59" i="8" s="1"/>
  <c r="T15" i="13"/>
  <c r="R15" i="13"/>
  <c r="P62" i="8" l="1"/>
  <c r="N62" i="8"/>
  <c r="E61" i="8"/>
  <c r="C59" i="8"/>
  <c r="B59" i="8"/>
  <c r="D61" i="8"/>
  <c r="D59" i="8" s="1"/>
  <c r="O62" i="8"/>
  <c r="R64" i="8"/>
  <c r="E66" i="8"/>
  <c r="F62" i="8"/>
  <c r="G63" i="8"/>
  <c r="G62" i="8"/>
  <c r="I63" i="8" s="1"/>
  <c r="U61" i="8"/>
  <c r="U59" i="8" s="1"/>
  <c r="T61" i="8"/>
  <c r="T59" i="8" s="1"/>
  <c r="AE61" i="8"/>
  <c r="AE59" i="8" s="1"/>
  <c r="Z61" i="8"/>
  <c r="Z59" i="8" s="1"/>
  <c r="W61" i="8"/>
  <c r="W59" i="8" s="1"/>
  <c r="AD61" i="8"/>
  <c r="AD59" i="8" s="1"/>
  <c r="X61" i="8"/>
  <c r="X59" i="8" s="1"/>
  <c r="AB61" i="8"/>
  <c r="AB59" i="8" s="1"/>
  <c r="AA61" i="8"/>
  <c r="AA59" i="8" s="1"/>
  <c r="Y61" i="8"/>
  <c r="Y59" i="8" s="1"/>
  <c r="AC61" i="8"/>
  <c r="AC59" i="8" s="1"/>
  <c r="H65" i="8" l="1"/>
  <c r="R65" i="8"/>
  <c r="L65" i="8"/>
  <c r="M62" i="8" s="1"/>
  <c r="Q62" i="8" s="1"/>
  <c r="I65" i="8"/>
  <c r="F65" i="8"/>
  <c r="N65" i="8" l="1"/>
  <c r="O65" i="8"/>
  <c r="C62" i="8"/>
  <c r="E64" i="8"/>
  <c r="B62" i="8"/>
  <c r="P65" i="8"/>
  <c r="R67" i="8"/>
  <c r="E69" i="8"/>
  <c r="F66" i="8"/>
  <c r="G66" i="8"/>
  <c r="G65" i="8"/>
  <c r="I66" i="8" s="1"/>
  <c r="Y64" i="8"/>
  <c r="Y62" i="8" s="1"/>
  <c r="W64" i="8"/>
  <c r="W62" i="8" s="1"/>
  <c r="X64" i="8"/>
  <c r="X62" i="8" s="1"/>
  <c r="D64" i="8"/>
  <c r="D62" i="8" s="1"/>
  <c r="AC64" i="8"/>
  <c r="AC62" i="8" s="1"/>
  <c r="Z64" i="8"/>
  <c r="Z62" i="8" s="1"/>
  <c r="AA64" i="8"/>
  <c r="AA62" i="8" s="1"/>
  <c r="AD64" i="8"/>
  <c r="AD62" i="8" s="1"/>
  <c r="T64" i="8"/>
  <c r="T62" i="8" s="1"/>
  <c r="U64" i="8"/>
  <c r="U62" i="8" s="1"/>
  <c r="V64" i="8"/>
  <c r="V62" i="8" s="1"/>
  <c r="AB64" i="8"/>
  <c r="AB62" i="8" s="1"/>
  <c r="AE64" i="8"/>
  <c r="AE62" i="8" s="1"/>
  <c r="R68" i="8" l="1"/>
  <c r="F68" i="8" s="1"/>
  <c r="I68" i="8"/>
  <c r="H68" i="8"/>
  <c r="L68" i="8"/>
  <c r="M65" i="8" s="1"/>
  <c r="Q65" i="8" s="1"/>
  <c r="P68" i="8" l="1"/>
  <c r="C65" i="8"/>
  <c r="E67" i="8"/>
  <c r="B65" i="8"/>
  <c r="W67" i="8"/>
  <c r="W65" i="8" s="1"/>
  <c r="N68" i="8"/>
  <c r="AE67" i="8"/>
  <c r="AE65" i="8" s="1"/>
  <c r="V67" i="8"/>
  <c r="V65" i="8" s="1"/>
  <c r="O68" i="8"/>
  <c r="R70" i="8"/>
  <c r="E72" i="8"/>
  <c r="F69" i="8"/>
  <c r="G69" i="8"/>
  <c r="G68" i="8"/>
  <c r="I69" i="8" s="1"/>
  <c r="T67" i="8"/>
  <c r="T65" i="8" s="1"/>
  <c r="AB67" i="8"/>
  <c r="AB65" i="8" s="1"/>
  <c r="AA67" i="8"/>
  <c r="AA65" i="8" s="1"/>
  <c r="D67" i="8"/>
  <c r="D65" i="8" s="1"/>
  <c r="X67" i="8"/>
  <c r="X65" i="8" s="1"/>
  <c r="AC67" i="8"/>
  <c r="AC65" i="8" s="1"/>
  <c r="AD67" i="8"/>
  <c r="AD65" i="8" s="1"/>
  <c r="Y67" i="8"/>
  <c r="Y65" i="8" s="1"/>
  <c r="U67" i="8"/>
  <c r="U65" i="8" s="1"/>
  <c r="Z67" i="8"/>
  <c r="Z65" i="8" s="1"/>
  <c r="R71" i="8" l="1"/>
  <c r="H71" i="8"/>
  <c r="I71" i="8"/>
  <c r="L71" i="8"/>
  <c r="M68" i="8" s="1"/>
  <c r="Q68" i="8" s="1"/>
  <c r="AB70" i="8" s="1"/>
  <c r="AB68" i="8" s="1"/>
  <c r="F71" i="8"/>
  <c r="N71" i="8" l="1"/>
  <c r="P71" i="8"/>
  <c r="O71" i="8"/>
  <c r="U70" i="8"/>
  <c r="U68" i="8" s="1"/>
  <c r="E70" i="8"/>
  <c r="C68" i="8"/>
  <c r="B68" i="8"/>
  <c r="AC70" i="8"/>
  <c r="AC68" i="8" s="1"/>
  <c r="D70" i="8"/>
  <c r="D68" i="8" s="1"/>
  <c r="R73" i="8"/>
  <c r="E75" i="8"/>
  <c r="F72" i="8"/>
  <c r="G72" i="8"/>
  <c r="G71" i="8"/>
  <c r="I72" i="8" s="1"/>
  <c r="W70" i="8"/>
  <c r="W68" i="8" s="1"/>
  <c r="AA70" i="8"/>
  <c r="AA68" i="8" s="1"/>
  <c r="AD70" i="8"/>
  <c r="AD68" i="8" s="1"/>
  <c r="Z70" i="8"/>
  <c r="Z68" i="8" s="1"/>
  <c r="X70" i="8"/>
  <c r="X68" i="8" s="1"/>
  <c r="AE70" i="8"/>
  <c r="AE68" i="8" s="1"/>
  <c r="T70" i="8"/>
  <c r="T68" i="8" s="1"/>
  <c r="V70" i="8"/>
  <c r="V68" i="8" s="1"/>
  <c r="Y70" i="8"/>
  <c r="Y68" i="8" s="1"/>
  <c r="H74" i="8" l="1"/>
  <c r="I74" i="8"/>
  <c r="R74" i="8"/>
  <c r="F74" i="8" s="1"/>
  <c r="L74" i="8"/>
  <c r="M71" i="8" s="1"/>
  <c r="Q71" i="8" s="1"/>
  <c r="O74" i="8" l="1"/>
  <c r="P74" i="8"/>
  <c r="B71" i="8"/>
  <c r="E73" i="8"/>
  <c r="C71" i="8"/>
  <c r="N74" i="8"/>
  <c r="R76" i="8"/>
  <c r="E78" i="8"/>
  <c r="F75" i="8"/>
  <c r="G75" i="8"/>
  <c r="G74" i="8"/>
  <c r="I75" i="8" s="1"/>
  <c r="V73" i="8"/>
  <c r="V71" i="8" s="1"/>
  <c r="AC73" i="8"/>
  <c r="AC71" i="8" s="1"/>
  <c r="D73" i="8"/>
  <c r="D71" i="8" s="1"/>
  <c r="X73" i="8"/>
  <c r="X71" i="8" s="1"/>
  <c r="Y73" i="8"/>
  <c r="Y71" i="8" s="1"/>
  <c r="AE73" i="8"/>
  <c r="AE71" i="8" s="1"/>
  <c r="U73" i="8"/>
  <c r="U71" i="8" s="1"/>
  <c r="W73" i="8"/>
  <c r="W71" i="8" s="1"/>
  <c r="AA73" i="8"/>
  <c r="AA71" i="8" s="1"/>
  <c r="AB73" i="8"/>
  <c r="AB71" i="8" s="1"/>
  <c r="T73" i="8"/>
  <c r="T71" i="8" s="1"/>
  <c r="AD73" i="8"/>
  <c r="AD71" i="8" s="1"/>
  <c r="Z73" i="8"/>
  <c r="Z71" i="8" s="1"/>
  <c r="H77" i="8" l="1"/>
  <c r="R77" i="8"/>
  <c r="F77" i="8" s="1"/>
  <c r="L77" i="8"/>
  <c r="M74" i="8" s="1"/>
  <c r="Q74" i="8" s="1"/>
  <c r="I77" i="8"/>
  <c r="P77" i="8" l="1"/>
  <c r="N77" i="8"/>
  <c r="O77" i="8"/>
  <c r="B74" i="8"/>
  <c r="C74" i="8"/>
  <c r="E76" i="8"/>
  <c r="R79" i="8"/>
  <c r="E81" i="8"/>
  <c r="F78" i="8"/>
  <c r="G77" i="8"/>
  <c r="I78" i="8" s="1"/>
  <c r="G78" i="8"/>
  <c r="AE76" i="8"/>
  <c r="AE74" i="8" s="1"/>
  <c r="X76" i="8"/>
  <c r="X74" i="8" s="1"/>
  <c r="T76" i="8"/>
  <c r="T74" i="8" s="1"/>
  <c r="AC76" i="8"/>
  <c r="AC74" i="8" s="1"/>
  <c r="AD76" i="8"/>
  <c r="AD74" i="8" s="1"/>
  <c r="AB76" i="8"/>
  <c r="AB74" i="8" s="1"/>
  <c r="Y76" i="8"/>
  <c r="Y74" i="8" s="1"/>
  <c r="AA76" i="8"/>
  <c r="AA74" i="8" s="1"/>
  <c r="Z76" i="8"/>
  <c r="Z74" i="8" s="1"/>
  <c r="D76" i="8"/>
  <c r="D74" i="8" s="1"/>
  <c r="U76" i="8"/>
  <c r="U74" i="8" s="1"/>
  <c r="V76" i="8"/>
  <c r="V74" i="8" s="1"/>
  <c r="W76" i="8"/>
  <c r="W74" i="8" s="1"/>
  <c r="H80" i="8" l="1"/>
  <c r="R80" i="8"/>
  <c r="F81" i="8" s="1"/>
  <c r="I80" i="8"/>
  <c r="L80" i="8"/>
  <c r="M77" i="8" s="1"/>
  <c r="Q77" i="8" s="1"/>
  <c r="AE79" i="8" s="1"/>
  <c r="AE77" i="8" s="1"/>
  <c r="O80" i="8" l="1"/>
  <c r="P80" i="8"/>
  <c r="B77" i="8"/>
  <c r="E79" i="8"/>
  <c r="C77" i="8"/>
  <c r="AC79" i="8"/>
  <c r="AC77" i="8" s="1"/>
  <c r="N80" i="8"/>
  <c r="R82" i="8"/>
  <c r="E84" i="8"/>
  <c r="F80" i="8"/>
  <c r="G81" i="8"/>
  <c r="G80" i="8"/>
  <c r="I81" i="8" s="1"/>
  <c r="X79" i="8"/>
  <c r="X77" i="8" s="1"/>
  <c r="W79" i="8"/>
  <c r="W77" i="8" s="1"/>
  <c r="V79" i="8"/>
  <c r="V77" i="8" s="1"/>
  <c r="AB79" i="8"/>
  <c r="AB77" i="8" s="1"/>
  <c r="AD79" i="8"/>
  <c r="AD77" i="8" s="1"/>
  <c r="D79" i="8"/>
  <c r="D77" i="8" s="1"/>
  <c r="AA79" i="8"/>
  <c r="AA77" i="8" s="1"/>
  <c r="Z79" i="8"/>
  <c r="Z77" i="8" s="1"/>
  <c r="Y79" i="8"/>
  <c r="Y77" i="8" s="1"/>
  <c r="U79" i="8"/>
  <c r="U77" i="8" s="1"/>
  <c r="T79" i="8"/>
  <c r="T77" i="8" s="1"/>
  <c r="H83" i="8" l="1"/>
  <c r="L83" i="8"/>
  <c r="M80" i="8" s="1"/>
  <c r="Q80" i="8" s="1"/>
  <c r="R83" i="8"/>
  <c r="I83" i="8"/>
  <c r="P83" i="8"/>
  <c r="N83" i="8"/>
  <c r="AF103" i="5"/>
  <c r="E82" i="8" l="1"/>
  <c r="C80" i="8"/>
  <c r="B80" i="8"/>
  <c r="F83" i="8"/>
  <c r="G83" i="8"/>
  <c r="I84" i="8" s="1"/>
  <c r="G84" i="8"/>
  <c r="X82" i="8"/>
  <c r="X80" i="8" s="1"/>
  <c r="AD82" i="8"/>
  <c r="AD80" i="8" s="1"/>
  <c r="U82" i="8"/>
  <c r="U80" i="8" s="1"/>
  <c r="AB82" i="8"/>
  <c r="AB80" i="8" s="1"/>
  <c r="AE82" i="8"/>
  <c r="AE80" i="8" s="1"/>
  <c r="AC82" i="8"/>
  <c r="AC80" i="8" s="1"/>
  <c r="D82" i="8"/>
  <c r="D80" i="8" s="1"/>
  <c r="W82" i="8"/>
  <c r="W80" i="8" s="1"/>
  <c r="AA82" i="8"/>
  <c r="AA80" i="8" s="1"/>
  <c r="T82" i="8"/>
  <c r="T80" i="8" s="1"/>
  <c r="Y82" i="8"/>
  <c r="Y80" i="8" s="1"/>
  <c r="V82" i="8"/>
  <c r="V80" i="8" s="1"/>
  <c r="Z82" i="8"/>
  <c r="Z80" i="8" s="1"/>
  <c r="O83" i="8"/>
  <c r="R85" i="8"/>
  <c r="E87" i="8"/>
  <c r="F84" i="8"/>
  <c r="I53" i="8"/>
  <c r="AG103" i="5"/>
  <c r="U103" i="5" s="1"/>
  <c r="S103" i="5"/>
  <c r="M86" i="8" l="1"/>
  <c r="O86" i="8"/>
  <c r="R86" i="8"/>
  <c r="F86" i="8" s="1"/>
  <c r="L86" i="8"/>
  <c r="M83" i="8" s="1"/>
  <c r="Q83" i="8" s="1"/>
  <c r="AD85" i="8" s="1"/>
  <c r="AD83" i="8" s="1"/>
  <c r="H86" i="8"/>
  <c r="P86" i="8"/>
  <c r="I86" i="8"/>
  <c r="N86" i="8"/>
  <c r="F87" i="8"/>
  <c r="F103" i="12"/>
  <c r="G103" i="6"/>
  <c r="W103" i="5"/>
  <c r="AN103" i="5"/>
  <c r="F103" i="6"/>
  <c r="E103" i="12"/>
  <c r="C83" i="8" l="1"/>
  <c r="B83" i="8"/>
  <c r="E85" i="8"/>
  <c r="G86" i="8"/>
  <c r="I87" i="8" s="1"/>
  <c r="G87" i="8"/>
  <c r="X85" i="8"/>
  <c r="X83" i="8" s="1"/>
  <c r="Z85" i="8"/>
  <c r="Z83" i="8" s="1"/>
  <c r="AE85" i="8"/>
  <c r="AE83" i="8" s="1"/>
  <c r="U85" i="8"/>
  <c r="U83" i="8" s="1"/>
  <c r="Y85" i="8"/>
  <c r="Y83" i="8" s="1"/>
  <c r="T85" i="8"/>
  <c r="T83" i="8" s="1"/>
  <c r="AB85" i="8"/>
  <c r="AB83" i="8" s="1"/>
  <c r="W85" i="8"/>
  <c r="W83" i="8" s="1"/>
  <c r="R88" i="8"/>
  <c r="Q86" i="8"/>
  <c r="E90" i="8"/>
  <c r="AA85" i="8"/>
  <c r="AA83" i="8" s="1"/>
  <c r="V85" i="8"/>
  <c r="V83" i="8" s="1"/>
  <c r="D85" i="8"/>
  <c r="D83" i="8" s="1"/>
  <c r="AC85" i="8"/>
  <c r="AC83" i="8" s="1"/>
  <c r="N117" i="6"/>
  <c r="N116" i="6"/>
  <c r="N118" i="6"/>
  <c r="N119" i="6"/>
  <c r="N105" i="6"/>
  <c r="N109" i="6"/>
  <c r="N110" i="6"/>
  <c r="N108" i="6"/>
  <c r="N111" i="6"/>
  <c r="N104" i="6"/>
  <c r="N112" i="6"/>
  <c r="N113" i="6"/>
  <c r="N114" i="6"/>
  <c r="N106" i="6"/>
  <c r="N115" i="6"/>
  <c r="N107" i="6"/>
  <c r="H103" i="12"/>
  <c r="I89" i="8" l="1"/>
  <c r="N89" i="8"/>
  <c r="R89" i="8"/>
  <c r="O89" i="8"/>
  <c r="P89" i="8"/>
  <c r="H89" i="8"/>
  <c r="L89" i="8"/>
  <c r="M89" i="8"/>
  <c r="F90" i="8"/>
  <c r="F89" i="8"/>
  <c r="AC88" i="8"/>
  <c r="AC86" i="8" s="1"/>
  <c r="D88" i="8"/>
  <c r="D86" i="8" s="1"/>
  <c r="X88" i="8"/>
  <c r="X86" i="8" s="1"/>
  <c r="C86" i="8"/>
  <c r="B86" i="8"/>
  <c r="E88" i="8"/>
  <c r="U88" i="8"/>
  <c r="U86" i="8" s="1"/>
  <c r="AE88" i="8"/>
  <c r="AE86" i="8" s="1"/>
  <c r="AD88" i="8"/>
  <c r="AD86" i="8" s="1"/>
  <c r="AA88" i="8"/>
  <c r="AA86" i="8" s="1"/>
  <c r="W88" i="8"/>
  <c r="W86" i="8" s="1"/>
  <c r="V88" i="8"/>
  <c r="V86" i="8" s="1"/>
  <c r="AB88" i="8"/>
  <c r="AB86" i="8" s="1"/>
  <c r="Y88" i="8"/>
  <c r="Y86" i="8" s="1"/>
  <c r="T88" i="8"/>
  <c r="T86" i="8" s="1"/>
  <c r="C29" i="10"/>
  <c r="C29" i="9"/>
  <c r="C28" i="9"/>
  <c r="C28" i="10"/>
  <c r="I28" i="5"/>
  <c r="Q89" i="8" l="1"/>
  <c r="R91" i="8"/>
  <c r="E93" i="8"/>
  <c r="Z88" i="8"/>
  <c r="Z86" i="8" s="1"/>
  <c r="G90" i="8"/>
  <c r="G89" i="8"/>
  <c r="I90" i="8" s="1"/>
  <c r="I92" i="8" l="1"/>
  <c r="N92" i="8"/>
  <c r="H92" i="8"/>
  <c r="M92" i="8"/>
  <c r="O92" i="8"/>
  <c r="P92" i="8"/>
  <c r="R92" i="8"/>
  <c r="D91" i="8" s="1"/>
  <c r="D89" i="8" s="1"/>
  <c r="L92" i="8"/>
  <c r="W91" i="8"/>
  <c r="W89" i="8" s="1"/>
  <c r="AD91" i="8"/>
  <c r="AD89" i="8" s="1"/>
  <c r="E91" i="8"/>
  <c r="X91" i="8"/>
  <c r="X89" i="8" s="1"/>
  <c r="Y91" i="8"/>
  <c r="Y89" i="8" s="1"/>
  <c r="V91" i="8"/>
  <c r="V89" i="8" s="1"/>
  <c r="C89" i="8"/>
  <c r="B89" i="8"/>
  <c r="I72" i="5"/>
  <c r="Z91" i="8" l="1"/>
  <c r="Z89" i="8" s="1"/>
  <c r="AA91" i="8"/>
  <c r="AA89" i="8" s="1"/>
  <c r="F93" i="8"/>
  <c r="AC91" i="8"/>
  <c r="AC89" i="8" s="1"/>
  <c r="AE91" i="8"/>
  <c r="AE89" i="8" s="1"/>
  <c r="AB91" i="8"/>
  <c r="AB89" i="8" s="1"/>
  <c r="U91" i="8"/>
  <c r="U89" i="8" s="1"/>
  <c r="R94" i="8"/>
  <c r="Q92" i="8"/>
  <c r="E96" i="8"/>
  <c r="F92" i="8"/>
  <c r="G92" i="8"/>
  <c r="I93" i="8" s="1"/>
  <c r="G93" i="8"/>
  <c r="T91" i="8"/>
  <c r="T89" i="8" s="1"/>
  <c r="N95" i="8" l="1"/>
  <c r="I95" i="8"/>
  <c r="H95" i="8"/>
  <c r="O95" i="8"/>
  <c r="P95" i="8"/>
  <c r="L95" i="8"/>
  <c r="M95" i="8"/>
  <c r="R95" i="8"/>
  <c r="U94" i="8" s="1"/>
  <c r="U92" i="8" s="1"/>
  <c r="B92" i="8"/>
  <c r="C92" i="8"/>
  <c r="E94" i="8"/>
  <c r="T94" i="8"/>
  <c r="T92" i="8" s="1"/>
  <c r="AD94" i="8"/>
  <c r="AD92" i="8" s="1"/>
  <c r="Y94" i="8" l="1"/>
  <c r="Y92" i="8" s="1"/>
  <c r="V94" i="8"/>
  <c r="V92" i="8" s="1"/>
  <c r="AA94" i="8"/>
  <c r="AA92" i="8" s="1"/>
  <c r="X94" i="8"/>
  <c r="X92" i="8" s="1"/>
  <c r="D94" i="8"/>
  <c r="D92" i="8" s="1"/>
  <c r="G95" i="8"/>
  <c r="I96" i="8" s="1"/>
  <c r="G96" i="8"/>
  <c r="F96" i="8"/>
  <c r="R97" i="8"/>
  <c r="Q95" i="8"/>
  <c r="E99" i="8"/>
  <c r="AC94" i="8"/>
  <c r="AC92" i="8" s="1"/>
  <c r="Z94" i="8"/>
  <c r="Z92" i="8" s="1"/>
  <c r="F95" i="8"/>
  <c r="AE94" i="8"/>
  <c r="AE92" i="8" s="1"/>
  <c r="W94" i="8"/>
  <c r="W92" i="8" s="1"/>
  <c r="AB94" i="8"/>
  <c r="AB92" i="8" s="1"/>
  <c r="I79" i="5"/>
  <c r="N50" i="8"/>
  <c r="Q50" i="8" s="1"/>
  <c r="C95" i="8" l="1"/>
  <c r="E97" i="8"/>
  <c r="B95" i="8"/>
  <c r="X97" i="8"/>
  <c r="X95" i="8" s="1"/>
  <c r="AE97" i="8"/>
  <c r="AE95" i="8" s="1"/>
  <c r="M98" i="8"/>
  <c r="I98" i="8"/>
  <c r="L98" i="8"/>
  <c r="P98" i="8"/>
  <c r="R98" i="8"/>
  <c r="AD97" i="8" s="1"/>
  <c r="AD95" i="8" s="1"/>
  <c r="O98" i="8"/>
  <c r="N98" i="8"/>
  <c r="H98" i="8"/>
  <c r="F98" i="8"/>
  <c r="E52" i="8"/>
  <c r="F99" i="8" l="1"/>
  <c r="D97" i="8"/>
  <c r="D95" i="8" s="1"/>
  <c r="Z97" i="8"/>
  <c r="Z95" i="8" s="1"/>
  <c r="Y97" i="8"/>
  <c r="Y95" i="8" s="1"/>
  <c r="AB97" i="8"/>
  <c r="AB95" i="8" s="1"/>
  <c r="T97" i="8"/>
  <c r="T95" i="8" s="1"/>
  <c r="U97" i="8"/>
  <c r="U95" i="8" s="1"/>
  <c r="V97" i="8"/>
  <c r="V95" i="8" s="1"/>
  <c r="AA97" i="8"/>
  <c r="AA95" i="8" s="1"/>
  <c r="W97" i="8"/>
  <c r="W95" i="8" s="1"/>
  <c r="AC97" i="8"/>
  <c r="AC95" i="8" s="1"/>
  <c r="G99" i="8"/>
  <c r="G98" i="8"/>
  <c r="I99" i="8" s="1"/>
  <c r="Q98" i="8"/>
  <c r="R100" i="8"/>
  <c r="E102" i="8"/>
  <c r="M101" i="8" l="1"/>
  <c r="R101" i="8"/>
  <c r="F101" i="8" s="1"/>
  <c r="H101" i="8"/>
  <c r="P101" i="8"/>
  <c r="L101" i="8"/>
  <c r="I101" i="8"/>
  <c r="N101" i="8"/>
  <c r="O101" i="8"/>
  <c r="F102" i="8"/>
  <c r="E100" i="8"/>
  <c r="X100" i="8"/>
  <c r="X98" i="8" s="1"/>
  <c r="W100" i="8"/>
  <c r="W98" i="8" s="1"/>
  <c r="C98" i="8"/>
  <c r="D100" i="8"/>
  <c r="D98" i="8" s="1"/>
  <c r="B98" i="8"/>
  <c r="U100" i="8"/>
  <c r="U98" i="8" s="1"/>
  <c r="Z100" i="8"/>
  <c r="Z98" i="8" s="1"/>
  <c r="AB100" i="8"/>
  <c r="AB98" i="8" s="1"/>
  <c r="Y100" i="8"/>
  <c r="Y98" i="8" s="1"/>
  <c r="AD100" i="8"/>
  <c r="AD98" i="8" s="1"/>
  <c r="AE100" i="8"/>
  <c r="AE98" i="8" s="1"/>
  <c r="V100" i="8" l="1"/>
  <c r="V98" i="8" s="1"/>
  <c r="AC100" i="8"/>
  <c r="AC98" i="8" s="1"/>
  <c r="T100" i="8"/>
  <c r="T98" i="8" s="1"/>
  <c r="R103" i="8"/>
  <c r="Q101" i="8"/>
  <c r="E105" i="8"/>
  <c r="AA100" i="8"/>
  <c r="AA98" i="8" s="1"/>
  <c r="G101" i="8"/>
  <c r="I102" i="8" s="1"/>
  <c r="G102" i="8"/>
  <c r="P104" i="8" l="1"/>
  <c r="R104" i="8"/>
  <c r="F104" i="8" s="1"/>
  <c r="N104" i="8"/>
  <c r="O104" i="8"/>
  <c r="I104" i="8"/>
  <c r="M104" i="8"/>
  <c r="L104" i="8"/>
  <c r="H104" i="8"/>
  <c r="E103" i="8"/>
  <c r="AA103" i="8"/>
  <c r="AA101" i="8" s="1"/>
  <c r="X103" i="8"/>
  <c r="X101" i="8" s="1"/>
  <c r="W103" i="8"/>
  <c r="W101" i="8" s="1"/>
  <c r="Z103" i="8"/>
  <c r="Z101" i="8" s="1"/>
  <c r="C101" i="8"/>
  <c r="AC103" i="8"/>
  <c r="AC101" i="8" s="1"/>
  <c r="AB103" i="8"/>
  <c r="AB101" i="8" s="1"/>
  <c r="B101" i="8"/>
  <c r="AE103" i="8"/>
  <c r="AE101" i="8" s="1"/>
  <c r="U103" i="8"/>
  <c r="U101" i="8" s="1"/>
  <c r="Y103" i="8"/>
  <c r="Y101" i="8" s="1"/>
  <c r="AD103" i="8"/>
  <c r="AD101" i="8" s="1"/>
  <c r="D103" i="8"/>
  <c r="D101" i="8" s="1"/>
  <c r="F105" i="8" l="1"/>
  <c r="V103" i="8"/>
  <c r="V101" i="8" s="1"/>
  <c r="Q104" i="8"/>
  <c r="R106" i="8"/>
  <c r="E108" i="8"/>
  <c r="T103" i="8"/>
  <c r="T101" i="8" s="1"/>
  <c r="G104" i="8"/>
  <c r="I105" i="8" s="1"/>
  <c r="G105" i="8"/>
  <c r="L107" i="8" l="1"/>
  <c r="H107" i="8"/>
  <c r="M107" i="8"/>
  <c r="N107" i="8"/>
  <c r="P107" i="8"/>
  <c r="I107" i="8"/>
  <c r="R107" i="8"/>
  <c r="AE106" i="8" s="1"/>
  <c r="AE104" i="8" s="1"/>
  <c r="O107" i="8"/>
  <c r="E106" i="8"/>
  <c r="U106" i="8"/>
  <c r="U104" i="8" s="1"/>
  <c r="AA106" i="8"/>
  <c r="AA104" i="8" s="1"/>
  <c r="C104" i="8"/>
  <c r="X106" i="8"/>
  <c r="X104" i="8" s="1"/>
  <c r="B104" i="8"/>
  <c r="F108" i="8" l="1"/>
  <c r="AC106" i="8"/>
  <c r="AC104" i="8" s="1"/>
  <c r="W106" i="8"/>
  <c r="W104" i="8" s="1"/>
  <c r="F107" i="8"/>
  <c r="AD106" i="8"/>
  <c r="AD104" i="8" s="1"/>
  <c r="Z106" i="8"/>
  <c r="Z104" i="8" s="1"/>
  <c r="Y106" i="8"/>
  <c r="Y104" i="8" s="1"/>
  <c r="G108" i="8"/>
  <c r="G107" i="8"/>
  <c r="I108" i="8" s="1"/>
  <c r="V106" i="8"/>
  <c r="V104" i="8" s="1"/>
  <c r="T106" i="8"/>
  <c r="T104" i="8" s="1"/>
  <c r="D106" i="8"/>
  <c r="D104" i="8" s="1"/>
  <c r="AB106" i="8"/>
  <c r="AB104" i="8" s="1"/>
  <c r="R109" i="8"/>
  <c r="Q107" i="8"/>
  <c r="E111" i="8"/>
  <c r="N110" i="8" l="1"/>
  <c r="P110" i="8"/>
  <c r="L110" i="8"/>
  <c r="O110" i="8"/>
  <c r="I110" i="8"/>
  <c r="H110" i="8"/>
  <c r="R110" i="8"/>
  <c r="Z109" i="8" s="1"/>
  <c r="Z107" i="8" s="1"/>
  <c r="M110" i="8"/>
  <c r="AC109" i="8"/>
  <c r="AC107" i="8" s="1"/>
  <c r="D109" i="8"/>
  <c r="D107" i="8" s="1"/>
  <c r="AE109" i="8"/>
  <c r="AE107" i="8" s="1"/>
  <c r="X109" i="8"/>
  <c r="X107" i="8" s="1"/>
  <c r="Y109" i="8"/>
  <c r="Y107" i="8" s="1"/>
  <c r="W109" i="8"/>
  <c r="W107" i="8" s="1"/>
  <c r="B107" i="8"/>
  <c r="C107" i="8"/>
  <c r="E109" i="8"/>
  <c r="I91" i="5"/>
  <c r="AA109" i="8" l="1"/>
  <c r="AA107" i="8" s="1"/>
  <c r="AB109" i="8"/>
  <c r="AB107" i="8" s="1"/>
  <c r="V109" i="8"/>
  <c r="V107" i="8" s="1"/>
  <c r="G111" i="8"/>
  <c r="G110" i="8"/>
  <c r="I111" i="8" s="1"/>
  <c r="F111" i="8"/>
  <c r="AD109" i="8"/>
  <c r="AD107" i="8" s="1"/>
  <c r="F110" i="8"/>
  <c r="R112" i="8"/>
  <c r="Q110" i="8"/>
  <c r="E114" i="8"/>
  <c r="U109" i="8"/>
  <c r="U107" i="8" s="1"/>
  <c r="T109" i="8"/>
  <c r="T107" i="8" s="1"/>
  <c r="N113" i="8" l="1"/>
  <c r="R113" i="8"/>
  <c r="F114" i="8" s="1"/>
  <c r="H113" i="8"/>
  <c r="L113" i="8"/>
  <c r="P113" i="8"/>
  <c r="O113" i="8"/>
  <c r="M113" i="8"/>
  <c r="I113" i="8"/>
  <c r="V112" i="8"/>
  <c r="V110" i="8" s="1"/>
  <c r="T112" i="8"/>
  <c r="T110" i="8" s="1"/>
  <c r="C110" i="8"/>
  <c r="Z112" i="8"/>
  <c r="Z110" i="8" s="1"/>
  <c r="E112" i="8"/>
  <c r="B110" i="8"/>
  <c r="AC112" i="8"/>
  <c r="AC110" i="8" s="1"/>
  <c r="AE112" i="8"/>
  <c r="AE110" i="8" s="1"/>
  <c r="W112" i="8"/>
  <c r="W110" i="8" s="1"/>
  <c r="Y112" i="8"/>
  <c r="Y110" i="8" s="1"/>
  <c r="AA112" i="8"/>
  <c r="AA110" i="8" s="1"/>
  <c r="U112" i="8"/>
  <c r="U110" i="8" s="1"/>
  <c r="X112" i="8"/>
  <c r="X110" i="8" s="1"/>
  <c r="AB112" i="8"/>
  <c r="AB110" i="8" s="1"/>
  <c r="D112" i="8"/>
  <c r="D110" i="8" s="1"/>
  <c r="F113" i="8" l="1"/>
  <c r="R115" i="8"/>
  <c r="Q113" i="8"/>
  <c r="E117" i="8"/>
  <c r="AD112" i="8"/>
  <c r="AD110" i="8" s="1"/>
  <c r="G114" i="8"/>
  <c r="G113" i="8"/>
  <c r="I114" i="8" s="1"/>
  <c r="N53" i="8"/>
  <c r="Q53" i="8" s="1"/>
  <c r="O116" i="8" l="1"/>
  <c r="N116" i="8"/>
  <c r="L116" i="8"/>
  <c r="H116" i="8"/>
  <c r="M116" i="8"/>
  <c r="I116" i="8"/>
  <c r="P116" i="8"/>
  <c r="R116" i="8"/>
  <c r="U115" i="8" s="1"/>
  <c r="U113" i="8" s="1"/>
  <c r="AB115" i="8"/>
  <c r="AB113" i="8" s="1"/>
  <c r="E115" i="8"/>
  <c r="B113" i="8"/>
  <c r="C113" i="8"/>
  <c r="E55" i="8"/>
  <c r="Y115" i="8" l="1"/>
  <c r="Y113" i="8" s="1"/>
  <c r="AD115" i="8"/>
  <c r="AD113" i="8" s="1"/>
  <c r="V115" i="8"/>
  <c r="V113" i="8" s="1"/>
  <c r="AE115" i="8"/>
  <c r="AE113" i="8" s="1"/>
  <c r="AA115" i="8"/>
  <c r="AA113" i="8" s="1"/>
  <c r="F117" i="8"/>
  <c r="W115" i="8"/>
  <c r="W113" i="8" s="1"/>
  <c r="AC115" i="8"/>
  <c r="AC113" i="8" s="1"/>
  <c r="F116" i="8"/>
  <c r="G116" i="8"/>
  <c r="I117" i="8" s="1"/>
  <c r="G117" i="8"/>
  <c r="T115" i="8"/>
  <c r="T113" i="8" s="1"/>
  <c r="X115" i="8"/>
  <c r="X113" i="8" s="1"/>
  <c r="Q116" i="8"/>
  <c r="R118" i="8"/>
  <c r="E120" i="8"/>
  <c r="Z115" i="8"/>
  <c r="Z113" i="8" s="1"/>
  <c r="D115" i="8"/>
  <c r="D113" i="8" s="1"/>
  <c r="C116" i="8" l="1"/>
  <c r="B116" i="8"/>
  <c r="E118" i="8"/>
  <c r="H119" i="8"/>
  <c r="O119" i="8"/>
  <c r="R119" i="8"/>
  <c r="AB118" i="8" s="1"/>
  <c r="AB116" i="8" s="1"/>
  <c r="M119" i="8"/>
  <c r="P119" i="8"/>
  <c r="N119" i="8"/>
  <c r="L119" i="8"/>
  <c r="I119" i="8"/>
  <c r="V118" i="8" l="1"/>
  <c r="V116" i="8" s="1"/>
  <c r="AA118" i="8"/>
  <c r="AA116" i="8" s="1"/>
  <c r="AE118" i="8"/>
  <c r="AE116" i="8" s="1"/>
  <c r="F119" i="8"/>
  <c r="U118" i="8"/>
  <c r="U116" i="8" s="1"/>
  <c r="F120" i="8"/>
  <c r="X118" i="8"/>
  <c r="X116" i="8" s="1"/>
  <c r="D118" i="8"/>
  <c r="D116" i="8" s="1"/>
  <c r="W118" i="8"/>
  <c r="W116" i="8" s="1"/>
  <c r="Y118" i="8"/>
  <c r="Y116" i="8" s="1"/>
  <c r="AC118" i="8"/>
  <c r="AC116" i="8" s="1"/>
  <c r="R121" i="8"/>
  <c r="Q119" i="8"/>
  <c r="E123" i="8"/>
  <c r="AD118" i="8"/>
  <c r="AD116" i="8" s="1"/>
  <c r="G120" i="8"/>
  <c r="G119" i="8"/>
  <c r="I120" i="8" s="1"/>
  <c r="T118" i="8"/>
  <c r="T116" i="8" s="1"/>
  <c r="Z118" i="8"/>
  <c r="Z116" i="8" s="1"/>
  <c r="I103" i="5"/>
  <c r="H122" i="8" l="1"/>
  <c r="L122" i="8"/>
  <c r="I122" i="8"/>
  <c r="O122" i="8"/>
  <c r="R122" i="8"/>
  <c r="U121" i="8" s="1"/>
  <c r="U119" i="8" s="1"/>
  <c r="P122" i="8"/>
  <c r="N122" i="8"/>
  <c r="M122" i="8"/>
  <c r="V121" i="8"/>
  <c r="V119" i="8" s="1"/>
  <c r="Y121" i="8"/>
  <c r="Y119" i="8" s="1"/>
  <c r="AE121" i="8"/>
  <c r="AE119" i="8" s="1"/>
  <c r="X121" i="8"/>
  <c r="X119" i="8" s="1"/>
  <c r="AC121" i="8"/>
  <c r="AC119" i="8" s="1"/>
  <c r="B119" i="8"/>
  <c r="AD121" i="8"/>
  <c r="AD119" i="8" s="1"/>
  <c r="E121" i="8"/>
  <c r="C119" i="8"/>
  <c r="D121" i="8"/>
  <c r="D119" i="8" s="1"/>
  <c r="W121" i="8" l="1"/>
  <c r="W119" i="8" s="1"/>
  <c r="F122" i="8"/>
  <c r="AB121" i="8"/>
  <c r="AB119" i="8" s="1"/>
  <c r="T121" i="8"/>
  <c r="T119" i="8" s="1"/>
  <c r="AA121" i="8"/>
  <c r="AA119" i="8" s="1"/>
  <c r="G123" i="8"/>
  <c r="G122" i="8"/>
  <c r="I123" i="8" s="1"/>
  <c r="F123" i="8"/>
  <c r="Q122" i="8"/>
  <c r="R124" i="8"/>
  <c r="E126" i="8"/>
  <c r="Z121" i="8"/>
  <c r="Z119" i="8" s="1"/>
  <c r="E124" i="8" l="1"/>
  <c r="B122" i="8"/>
  <c r="C122" i="8"/>
  <c r="Y124" i="8"/>
  <c r="Y122" i="8" s="1"/>
  <c r="M125" i="8"/>
  <c r="H125" i="8"/>
  <c r="P125" i="8"/>
  <c r="N125" i="8"/>
  <c r="I125" i="8"/>
  <c r="O125" i="8"/>
  <c r="R125" i="8"/>
  <c r="F126" i="8" s="1"/>
  <c r="L125" i="8"/>
  <c r="W124" i="8" l="1"/>
  <c r="W122" i="8" s="1"/>
  <c r="AE124" i="8"/>
  <c r="AE122" i="8" s="1"/>
  <c r="AD124" i="8"/>
  <c r="AD122" i="8" s="1"/>
  <c r="AB124" i="8"/>
  <c r="AB122" i="8" s="1"/>
  <c r="AC124" i="8"/>
  <c r="AC122" i="8" s="1"/>
  <c r="T124" i="8"/>
  <c r="T122" i="8" s="1"/>
  <c r="X124" i="8"/>
  <c r="X122" i="8" s="1"/>
  <c r="Q125" i="8"/>
  <c r="R127" i="8"/>
  <c r="E129" i="8"/>
  <c r="F125" i="8"/>
  <c r="G126" i="8"/>
  <c r="G125" i="8"/>
  <c r="I126" i="8" s="1"/>
  <c r="D124" i="8"/>
  <c r="D122" i="8" s="1"/>
  <c r="AA124" i="8"/>
  <c r="AA122" i="8" s="1"/>
  <c r="V124" i="8"/>
  <c r="V122" i="8" s="1"/>
  <c r="U124" i="8"/>
  <c r="U122" i="8" s="1"/>
  <c r="Z124" i="8"/>
  <c r="Z122" i="8" s="1"/>
  <c r="N128" i="8" l="1"/>
  <c r="M128" i="8"/>
  <c r="O128" i="8"/>
  <c r="R128" i="8"/>
  <c r="D127" i="8" s="1"/>
  <c r="D125" i="8" s="1"/>
  <c r="H128" i="8"/>
  <c r="P128" i="8"/>
  <c r="L128" i="8"/>
  <c r="I128" i="8"/>
  <c r="E127" i="8"/>
  <c r="C125" i="8"/>
  <c r="B125" i="8"/>
  <c r="X127" i="8"/>
  <c r="X125" i="8" s="1"/>
  <c r="V127" i="8"/>
  <c r="V125" i="8" s="1"/>
  <c r="Z127" i="8" l="1"/>
  <c r="Z125" i="8" s="1"/>
  <c r="T127" i="8"/>
  <c r="T125" i="8" s="1"/>
  <c r="AB127" i="8"/>
  <c r="AB125" i="8" s="1"/>
  <c r="F129" i="8"/>
  <c r="F128" i="8"/>
  <c r="AE127" i="8"/>
  <c r="AE125" i="8" s="1"/>
  <c r="AD127" i="8"/>
  <c r="AD125" i="8" s="1"/>
  <c r="U127" i="8"/>
  <c r="U125" i="8" s="1"/>
  <c r="AC127" i="8"/>
  <c r="AC125" i="8" s="1"/>
  <c r="Y127" i="8"/>
  <c r="Y125" i="8" s="1"/>
  <c r="AA127" i="8"/>
  <c r="AA125" i="8" s="1"/>
  <c r="R130" i="8"/>
  <c r="Q128" i="8"/>
  <c r="E132" i="8"/>
  <c r="W127" i="8"/>
  <c r="W125" i="8" s="1"/>
  <c r="G128" i="8"/>
  <c r="I129" i="8" s="1"/>
  <c r="G129" i="8"/>
  <c r="P131" i="8" l="1"/>
  <c r="H131" i="8"/>
  <c r="R131" i="8"/>
  <c r="AB130" i="8" s="1"/>
  <c r="AB128" i="8" s="1"/>
  <c r="I131" i="8"/>
  <c r="L131" i="8"/>
  <c r="O131" i="8"/>
  <c r="M131" i="8"/>
  <c r="N131" i="8"/>
  <c r="C128" i="8"/>
  <c r="E130" i="8"/>
  <c r="B128" i="8"/>
  <c r="W130" i="8"/>
  <c r="W128" i="8" s="1"/>
  <c r="AD130" i="8"/>
  <c r="AD128" i="8" s="1"/>
  <c r="U130" i="8"/>
  <c r="U128" i="8" s="1"/>
  <c r="AA130" i="8"/>
  <c r="AA128" i="8" s="1"/>
  <c r="X130" i="8"/>
  <c r="X128" i="8" s="1"/>
  <c r="AC130" i="8"/>
  <c r="AC128" i="8" s="1"/>
  <c r="Z130" i="8"/>
  <c r="Z128" i="8" s="1"/>
  <c r="V130" i="8"/>
  <c r="V128" i="8" s="1"/>
  <c r="Y130" i="8" l="1"/>
  <c r="Y128" i="8" s="1"/>
  <c r="AE130" i="8"/>
  <c r="AE128" i="8" s="1"/>
  <c r="D130" i="8"/>
  <c r="D128" i="8" s="1"/>
  <c r="F131" i="8"/>
  <c r="R133" i="8"/>
  <c r="Q131" i="8"/>
  <c r="E135" i="8"/>
  <c r="T130" i="8"/>
  <c r="T128" i="8" s="1"/>
  <c r="G132" i="8"/>
  <c r="G131" i="8"/>
  <c r="I132" i="8" s="1"/>
  <c r="F132" i="8"/>
  <c r="P134" i="8" l="1"/>
  <c r="N134" i="8"/>
  <c r="M134" i="8"/>
  <c r="O134" i="8"/>
  <c r="I134" i="8"/>
  <c r="R134" i="8"/>
  <c r="Z133" i="8" s="1"/>
  <c r="Z131" i="8" s="1"/>
  <c r="L134" i="8"/>
  <c r="H134" i="8"/>
  <c r="E133" i="8"/>
  <c r="B131" i="8"/>
  <c r="C131" i="8"/>
  <c r="AD133" i="8"/>
  <c r="AD131" i="8" s="1"/>
  <c r="D133" i="8" l="1"/>
  <c r="D131" i="8" s="1"/>
  <c r="Y133" i="8"/>
  <c r="Y131" i="8" s="1"/>
  <c r="F134" i="8"/>
  <c r="F135" i="8"/>
  <c r="U133" i="8"/>
  <c r="U131" i="8" s="1"/>
  <c r="X133" i="8"/>
  <c r="X131" i="8" s="1"/>
  <c r="AE133" i="8"/>
  <c r="AE131" i="8" s="1"/>
  <c r="V133" i="8"/>
  <c r="V131" i="8" s="1"/>
  <c r="AA133" i="8"/>
  <c r="AA131" i="8" s="1"/>
  <c r="AB133" i="8"/>
  <c r="AB131" i="8" s="1"/>
  <c r="R136" i="8"/>
  <c r="Q134" i="8"/>
  <c r="E138" i="8"/>
  <c r="AC133" i="8"/>
  <c r="AC131" i="8" s="1"/>
  <c r="G134" i="8"/>
  <c r="I135" i="8" s="1"/>
  <c r="G135" i="8"/>
  <c r="W133" i="8"/>
  <c r="W131" i="8" s="1"/>
  <c r="T133" i="8"/>
  <c r="T131" i="8" s="1"/>
  <c r="I137" i="8" l="1"/>
  <c r="L137" i="8"/>
  <c r="H137" i="8"/>
  <c r="R137" i="8"/>
  <c r="D136" i="8" s="1"/>
  <c r="D134" i="8" s="1"/>
  <c r="O137" i="8"/>
  <c r="P137" i="8"/>
  <c r="M137" i="8"/>
  <c r="N137" i="8"/>
  <c r="C134" i="8"/>
  <c r="B134" i="8"/>
  <c r="E136" i="8"/>
  <c r="Y136" i="8"/>
  <c r="Y134" i="8" s="1"/>
  <c r="AD136" i="8" l="1"/>
  <c r="AD134" i="8" s="1"/>
  <c r="T136" i="8"/>
  <c r="T134" i="8" s="1"/>
  <c r="W136" i="8"/>
  <c r="W134" i="8" s="1"/>
  <c r="AE136" i="8"/>
  <c r="AE134" i="8" s="1"/>
  <c r="AB136" i="8"/>
  <c r="AB134" i="8" s="1"/>
  <c r="U136" i="8"/>
  <c r="U134" i="8" s="1"/>
  <c r="AC136" i="8"/>
  <c r="AC134" i="8" s="1"/>
  <c r="Z136" i="8"/>
  <c r="Z134" i="8" s="1"/>
  <c r="AA136" i="8"/>
  <c r="AA134" i="8" s="1"/>
  <c r="V136" i="8"/>
  <c r="V134" i="8" s="1"/>
  <c r="F137" i="8"/>
  <c r="F138" i="8"/>
  <c r="X136" i="8"/>
  <c r="X134" i="8" s="1"/>
  <c r="G137" i="8"/>
  <c r="I138" i="8" s="1"/>
  <c r="G138" i="8"/>
  <c r="Q137" i="8"/>
  <c r="R139" i="8"/>
  <c r="E141" i="8"/>
  <c r="P140" i="8" l="1"/>
  <c r="N140" i="8"/>
  <c r="I140" i="8"/>
  <c r="M140" i="8"/>
  <c r="H140" i="8"/>
  <c r="R140" i="8"/>
  <c r="AE139" i="8" s="1"/>
  <c r="AE137" i="8" s="1"/>
  <c r="L140" i="8"/>
  <c r="O140" i="8"/>
  <c r="B137" i="8"/>
  <c r="E139" i="8"/>
  <c r="C137" i="8"/>
  <c r="F140" i="8" l="1"/>
  <c r="F141" i="8"/>
  <c r="AD139" i="8"/>
  <c r="AD137" i="8" s="1"/>
  <c r="T139" i="8"/>
  <c r="T137" i="8" s="1"/>
  <c r="V139" i="8"/>
  <c r="V137" i="8" s="1"/>
  <c r="U139" i="8"/>
  <c r="U137" i="8" s="1"/>
  <c r="AA139" i="8"/>
  <c r="AA137" i="8" s="1"/>
  <c r="Z139" i="8"/>
  <c r="Z137" i="8" s="1"/>
  <c r="Y139" i="8"/>
  <c r="Y137" i="8" s="1"/>
  <c r="AB139" i="8"/>
  <c r="AB137" i="8" s="1"/>
  <c r="X139" i="8"/>
  <c r="X137" i="8" s="1"/>
  <c r="AC139" i="8"/>
  <c r="AC137" i="8" s="1"/>
  <c r="D139" i="8"/>
  <c r="D137" i="8" s="1"/>
  <c r="R142" i="8"/>
  <c r="Q140" i="8"/>
  <c r="E144" i="8"/>
  <c r="W139" i="8"/>
  <c r="W137" i="8" s="1"/>
  <c r="G140" i="8"/>
  <c r="I141" i="8" s="1"/>
  <c r="G141" i="8"/>
  <c r="P143" i="8" l="1"/>
  <c r="L143" i="8"/>
  <c r="M143" i="8"/>
  <c r="O143" i="8"/>
  <c r="N143" i="8"/>
  <c r="R143" i="8"/>
  <c r="AC142" i="8" s="1"/>
  <c r="AC140" i="8" s="1"/>
  <c r="I143" i="8"/>
  <c r="H143" i="8"/>
  <c r="E142" i="8"/>
  <c r="C140" i="8"/>
  <c r="B140" i="8"/>
  <c r="F144" i="8" l="1"/>
  <c r="AD142" i="8"/>
  <c r="AD140" i="8" s="1"/>
  <c r="X142" i="8"/>
  <c r="X140" i="8" s="1"/>
  <c r="V142" i="8"/>
  <c r="V140" i="8" s="1"/>
  <c r="W142" i="8"/>
  <c r="W140" i="8" s="1"/>
  <c r="AE142" i="8"/>
  <c r="AE140" i="8" s="1"/>
  <c r="D142" i="8"/>
  <c r="D140" i="8" s="1"/>
  <c r="Y142" i="8"/>
  <c r="Y140" i="8" s="1"/>
  <c r="AA142" i="8"/>
  <c r="AA140" i="8" s="1"/>
  <c r="U142" i="8"/>
  <c r="U140" i="8" s="1"/>
  <c r="T142" i="8"/>
  <c r="T140" i="8" s="1"/>
  <c r="G144" i="8"/>
  <c r="G143" i="8"/>
  <c r="I144" i="8" s="1"/>
  <c r="R145" i="8"/>
  <c r="Q143" i="8"/>
  <c r="E147" i="8"/>
  <c r="AB142" i="8"/>
  <c r="AB140" i="8" s="1"/>
  <c r="F143" i="8"/>
  <c r="Z142" i="8"/>
  <c r="Z140" i="8" s="1"/>
  <c r="I22" i="5"/>
  <c r="M146" i="8" l="1"/>
  <c r="R146" i="8"/>
  <c r="I146" i="8"/>
  <c r="H146" i="8"/>
  <c r="P146" i="8"/>
  <c r="L146" i="8"/>
  <c r="O146" i="8"/>
  <c r="N146" i="8"/>
  <c r="F146" i="8"/>
  <c r="F147" i="8"/>
  <c r="E145" i="8"/>
  <c r="C143" i="8"/>
  <c r="B143" i="8"/>
  <c r="V145" i="8"/>
  <c r="V143" i="8" s="1"/>
  <c r="D145" i="8"/>
  <c r="D143" i="8" s="1"/>
  <c r="AD145" i="8"/>
  <c r="AD143" i="8" s="1"/>
  <c r="AA145" i="8"/>
  <c r="AA143" i="8" s="1"/>
  <c r="Z145" i="8"/>
  <c r="Z143" i="8" s="1"/>
  <c r="U145" i="8"/>
  <c r="U143" i="8" s="1"/>
  <c r="W145" i="8"/>
  <c r="W143" i="8" s="1"/>
  <c r="AC145" i="8"/>
  <c r="AC143" i="8" s="1"/>
  <c r="AE145" i="8"/>
  <c r="AE143" i="8" s="1"/>
  <c r="T145" i="8"/>
  <c r="T143" i="8" s="1"/>
  <c r="X145" i="8"/>
  <c r="X143" i="8" s="1"/>
  <c r="Y145" i="8"/>
  <c r="Y143" i="8" s="1"/>
  <c r="R148" i="8" l="1"/>
  <c r="Q146" i="8"/>
  <c r="E150" i="8"/>
  <c r="AB145" i="8"/>
  <c r="AB143" i="8" s="1"/>
  <c r="G146" i="8"/>
  <c r="I147" i="8" s="1"/>
  <c r="G147" i="8"/>
  <c r="N149" i="8" l="1"/>
  <c r="O149" i="8"/>
  <c r="I149" i="8"/>
  <c r="P149" i="8"/>
  <c r="H149" i="8"/>
  <c r="R149" i="8"/>
  <c r="W148" i="8" s="1"/>
  <c r="W146" i="8" s="1"/>
  <c r="L149" i="8"/>
  <c r="M149" i="8"/>
  <c r="C146" i="8"/>
  <c r="B146" i="8"/>
  <c r="E148" i="8"/>
  <c r="Z148" i="8"/>
  <c r="Z146" i="8" s="1"/>
  <c r="X148" i="8"/>
  <c r="X146" i="8" s="1"/>
  <c r="T148" i="8"/>
  <c r="F150" i="8" l="1"/>
  <c r="F149" i="8"/>
  <c r="AA148" i="8"/>
  <c r="AA146" i="8" s="1"/>
  <c r="D148" i="8"/>
  <c r="D146" i="8" s="1"/>
  <c r="AB148" i="8"/>
  <c r="AB146" i="8" s="1"/>
  <c r="U148" i="8"/>
  <c r="U146" i="8" s="1"/>
  <c r="Y148" i="8"/>
  <c r="Y146" i="8" s="1"/>
  <c r="AE148" i="8"/>
  <c r="AE146" i="8" s="1"/>
  <c r="AC148" i="8"/>
  <c r="AC146" i="8" s="1"/>
  <c r="T146" i="8"/>
  <c r="Q149" i="8"/>
  <c r="R151" i="8"/>
  <c r="E153" i="8"/>
  <c r="V148" i="8"/>
  <c r="V146" i="8" s="1"/>
  <c r="G150" i="8"/>
  <c r="G149" i="8"/>
  <c r="I150" i="8" s="1"/>
  <c r="AD148" i="8"/>
  <c r="AD146" i="8" s="1"/>
  <c r="L152" i="8" l="1"/>
  <c r="O152" i="8"/>
  <c r="H152" i="8"/>
  <c r="R152" i="8"/>
  <c r="F152" i="8" s="1"/>
  <c r="P152" i="8"/>
  <c r="N152" i="8"/>
  <c r="M152" i="8"/>
  <c r="I152" i="8"/>
  <c r="E151" i="8"/>
  <c r="B149" i="8"/>
  <c r="C149" i="8"/>
  <c r="Y151" i="8"/>
  <c r="Y149" i="8" s="1"/>
  <c r="AD151" i="8" l="1"/>
  <c r="AD149" i="8" s="1"/>
  <c r="AE151" i="8"/>
  <c r="AE149" i="8" s="1"/>
  <c r="X151" i="8"/>
  <c r="X149" i="8" s="1"/>
  <c r="U151" i="8"/>
  <c r="U149" i="8" s="1"/>
  <c r="T151" i="8"/>
  <c r="W151" i="8"/>
  <c r="W149" i="8" s="1"/>
  <c r="F153" i="8"/>
  <c r="D151" i="8"/>
  <c r="D149" i="8" s="1"/>
  <c r="AA151" i="8"/>
  <c r="AA149" i="8" s="1"/>
  <c r="V151" i="8"/>
  <c r="V149" i="8" s="1"/>
  <c r="Z151" i="8"/>
  <c r="Z149" i="8" s="1"/>
  <c r="AC151" i="8"/>
  <c r="AC149" i="8" s="1"/>
  <c r="T149" i="8"/>
  <c r="AB151" i="8"/>
  <c r="AB149" i="8" s="1"/>
  <c r="G153" i="8"/>
  <c r="G152" i="8"/>
  <c r="I153" i="8" s="1"/>
  <c r="R154" i="8"/>
  <c r="Q152" i="8"/>
  <c r="E156" i="8"/>
  <c r="I155" i="8" l="1"/>
  <c r="H155" i="8"/>
  <c r="R155" i="8"/>
  <c r="F155" i="8" s="1"/>
  <c r="L155" i="8"/>
  <c r="M155" i="8"/>
  <c r="N155" i="8"/>
  <c r="O155" i="8"/>
  <c r="P155" i="8"/>
  <c r="B152" i="8"/>
  <c r="E154" i="8"/>
  <c r="C152" i="8"/>
  <c r="AA154" i="8"/>
  <c r="AA152" i="8" s="1"/>
  <c r="Z154" i="8"/>
  <c r="Z152" i="8" s="1"/>
  <c r="AC154" i="8"/>
  <c r="AC152" i="8" s="1"/>
  <c r="AB154" i="8"/>
  <c r="AB152" i="8" s="1"/>
  <c r="U154" i="8"/>
  <c r="U152" i="8" s="1"/>
  <c r="Y154" i="8"/>
  <c r="Y152" i="8" s="1"/>
  <c r="AE154" i="8"/>
  <c r="AE152" i="8" s="1"/>
  <c r="W154" i="8"/>
  <c r="W152" i="8" s="1"/>
  <c r="T154" i="8"/>
  <c r="AD154" i="8"/>
  <c r="AD152" i="8" s="1"/>
  <c r="X154" i="8"/>
  <c r="X152" i="8" s="1"/>
  <c r="D154" i="8"/>
  <c r="F156" i="8" l="1"/>
  <c r="D152" i="8"/>
  <c r="T152" i="8"/>
  <c r="Q155" i="8"/>
  <c r="R157" i="8"/>
  <c r="E159" i="8"/>
  <c r="V154" i="8"/>
  <c r="V152" i="8" s="1"/>
  <c r="G156" i="8"/>
  <c r="G155" i="8"/>
  <c r="I156" i="8" s="1"/>
  <c r="R158" i="8" l="1"/>
  <c r="U157" i="8" s="1"/>
  <c r="U155" i="8" s="1"/>
  <c r="L158" i="8"/>
  <c r="M158" i="8"/>
  <c r="O158" i="8"/>
  <c r="I158" i="8"/>
  <c r="N158" i="8"/>
  <c r="P158" i="8"/>
  <c r="H158" i="8"/>
  <c r="E157" i="8"/>
  <c r="B155" i="8"/>
  <c r="C155" i="8"/>
  <c r="AE157" i="8"/>
  <c r="AE155" i="8" s="1"/>
  <c r="D157" i="8"/>
  <c r="AB157" i="8"/>
  <c r="AB155" i="8" s="1"/>
  <c r="Y157" i="8"/>
  <c r="Y155" i="8" s="1"/>
  <c r="T157" i="8"/>
  <c r="W157" i="8"/>
  <c r="W155" i="8" s="1"/>
  <c r="AA157" i="8" l="1"/>
  <c r="AA155" i="8" s="1"/>
  <c r="F158" i="8"/>
  <c r="Z157" i="8"/>
  <c r="Z155" i="8" s="1"/>
  <c r="AC157" i="8"/>
  <c r="AC155" i="8" s="1"/>
  <c r="V157" i="8"/>
  <c r="V155" i="8" s="1"/>
  <c r="AD157" i="8"/>
  <c r="AD155" i="8" s="1"/>
  <c r="X157" i="8"/>
  <c r="X155" i="8" s="1"/>
  <c r="T155" i="8"/>
  <c r="Q158" i="8"/>
  <c r="R160" i="8"/>
  <c r="E162" i="8"/>
  <c r="D155" i="8"/>
  <c r="F159" i="8"/>
  <c r="G159" i="8"/>
  <c r="G158" i="8"/>
  <c r="I159" i="8" s="1"/>
  <c r="P161" i="8" l="1"/>
  <c r="L161" i="8"/>
  <c r="N161" i="8"/>
  <c r="M161" i="8"/>
  <c r="I161" i="8"/>
  <c r="O161" i="8"/>
  <c r="R161" i="8"/>
  <c r="V160" i="8" s="1"/>
  <c r="V158" i="8" s="1"/>
  <c r="H161" i="8"/>
  <c r="B158" i="8"/>
  <c r="E160" i="8"/>
  <c r="C158" i="8"/>
  <c r="AC160" i="8"/>
  <c r="AC158" i="8" s="1"/>
  <c r="AD160" i="8"/>
  <c r="AD158" i="8" s="1"/>
  <c r="Y160" i="8"/>
  <c r="Y158" i="8" s="1"/>
  <c r="Z160" i="8"/>
  <c r="Z158" i="8" s="1"/>
  <c r="F161" i="8" l="1"/>
  <c r="F162" i="8"/>
  <c r="T160" i="8"/>
  <c r="T158" i="8" s="1"/>
  <c r="X160" i="8"/>
  <c r="X158" i="8" s="1"/>
  <c r="AA160" i="8"/>
  <c r="AA158" i="8" s="1"/>
  <c r="M14" i="8"/>
  <c r="Q14" i="8" s="1"/>
  <c r="M17" i="8"/>
  <c r="Q17" i="8" s="1"/>
  <c r="M20" i="8"/>
  <c r="Q20" i="8" s="1"/>
  <c r="M23" i="8"/>
  <c r="Q23" i="8" s="1"/>
  <c r="M26" i="8"/>
  <c r="Q26" i="8" s="1"/>
  <c r="M29" i="8"/>
  <c r="Q29" i="8" s="1"/>
  <c r="M32" i="8"/>
  <c r="Q32" i="8" s="1"/>
  <c r="M35" i="8"/>
  <c r="Q35" i="8" s="1"/>
  <c r="M38" i="8"/>
  <c r="Q38" i="8" s="1"/>
  <c r="N56" i="8"/>
  <c r="Q56" i="8" s="1"/>
  <c r="U160" i="8"/>
  <c r="U158" i="8" s="1"/>
  <c r="G161" i="8"/>
  <c r="I162" i="8" s="1"/>
  <c r="G162" i="8"/>
  <c r="AB160" i="8"/>
  <c r="AB158" i="8" s="1"/>
  <c r="W160" i="8"/>
  <c r="W158" i="8" s="1"/>
  <c r="D160" i="8"/>
  <c r="D158" i="8" s="1"/>
  <c r="R163" i="8"/>
  <c r="Q161" i="8"/>
  <c r="AE160" i="8"/>
  <c r="AE158" i="8" s="1"/>
  <c r="E58" i="8" l="1"/>
  <c r="E40" i="8"/>
  <c r="E37" i="8"/>
  <c r="D35" i="8"/>
  <c r="AD35" i="8"/>
  <c r="V35" i="8"/>
  <c r="U35" i="8"/>
  <c r="T35" i="8"/>
  <c r="Z35" i="8"/>
  <c r="W35" i="8"/>
  <c r="AC35" i="8"/>
  <c r="AB35" i="8"/>
  <c r="Y35" i="8"/>
  <c r="AE35" i="8"/>
  <c r="X35" i="8"/>
  <c r="AA35" i="8"/>
  <c r="E34" i="8"/>
  <c r="E31" i="8"/>
  <c r="E28" i="8"/>
  <c r="E25" i="8"/>
  <c r="E22" i="8"/>
  <c r="E19" i="8"/>
  <c r="AE17" i="8"/>
  <c r="T17" i="8"/>
  <c r="V17" i="8"/>
  <c r="D17" i="8"/>
  <c r="U17" i="8"/>
  <c r="X17" i="8"/>
  <c r="Y17" i="8"/>
  <c r="AB17" i="8"/>
  <c r="AD17" i="8"/>
  <c r="W17" i="8"/>
  <c r="Z17" i="8"/>
  <c r="AC17" i="8"/>
  <c r="AA17" i="8"/>
  <c r="E16" i="8"/>
  <c r="C14" i="8"/>
  <c r="B14" i="8"/>
  <c r="X163" i="8"/>
  <c r="X161" i="8" s="1"/>
  <c r="B161" i="8"/>
  <c r="AB163" i="8"/>
  <c r="AB161" i="8" s="1"/>
  <c r="Y163" i="8"/>
  <c r="Y161" i="8" s="1"/>
  <c r="C161" i="8"/>
  <c r="Z163" i="8"/>
  <c r="Z161" i="8" s="1"/>
  <c r="V163" i="8"/>
  <c r="V161" i="8" s="1"/>
  <c r="T163" i="8"/>
  <c r="AC163" i="8"/>
  <c r="AC161" i="8" s="1"/>
  <c r="E163" i="8"/>
  <c r="AD163" i="8"/>
  <c r="AD161" i="8" s="1"/>
  <c r="U163" i="8"/>
  <c r="U161" i="8" s="1"/>
  <c r="W163" i="8"/>
  <c r="W161" i="8" s="1"/>
  <c r="AE163" i="8"/>
  <c r="AE161" i="8" s="1"/>
  <c r="AA163" i="8"/>
  <c r="AA161" i="8" s="1"/>
  <c r="D163" i="8"/>
  <c r="D161" i="8" l="1"/>
  <c r="T161" i="8"/>
  <c r="AF24" i="5" l="1"/>
  <c r="AF83" i="5"/>
  <c r="AF76" i="5"/>
  <c r="AF67" i="5"/>
  <c r="AF88" i="5"/>
  <c r="AF33" i="5"/>
  <c r="AF74" i="5"/>
  <c r="AF114" i="5"/>
  <c r="AF59" i="5"/>
  <c r="AF97" i="5"/>
  <c r="AF118" i="5"/>
  <c r="AF73" i="5"/>
  <c r="AF56" i="5"/>
  <c r="AF47" i="5"/>
  <c r="AF80" i="5"/>
  <c r="AF39" i="5"/>
  <c r="AF108" i="5"/>
  <c r="AF112" i="5"/>
  <c r="AF86" i="5"/>
  <c r="AF104" i="5"/>
  <c r="AF100" i="5"/>
  <c r="AF26" i="5"/>
  <c r="AF19" i="5"/>
  <c r="AF18" i="5"/>
  <c r="AF109" i="5"/>
  <c r="AF55" i="5"/>
  <c r="AF95" i="5"/>
  <c r="AF37" i="5"/>
  <c r="AF41" i="5"/>
  <c r="AF49" i="5"/>
  <c r="AF84" i="5"/>
  <c r="AF30" i="5"/>
  <c r="AF16" i="5"/>
  <c r="AF23" i="5"/>
  <c r="AF64" i="5"/>
  <c r="AF40" i="5"/>
  <c r="AF106" i="5"/>
  <c r="AF34" i="5"/>
  <c r="AF99" i="5"/>
  <c r="AF45" i="5"/>
  <c r="AF60" i="5"/>
  <c r="AF43" i="5"/>
  <c r="AF82" i="5"/>
  <c r="AF94" i="5"/>
  <c r="AF98" i="5"/>
  <c r="AF87" i="5"/>
  <c r="AF46" i="5"/>
  <c r="AF52" i="5"/>
  <c r="AF65" i="5"/>
  <c r="AF101" i="5"/>
  <c r="AF116" i="5"/>
  <c r="AF63" i="5"/>
  <c r="AF51" i="5"/>
  <c r="AF96" i="5"/>
  <c r="AF17" i="5"/>
  <c r="AF21" i="5"/>
  <c r="AF29" i="5"/>
  <c r="AF48" i="5"/>
  <c r="AF31" i="5"/>
  <c r="AF32" i="5"/>
  <c r="AF54" i="5"/>
  <c r="AF102" i="5"/>
  <c r="AF20" i="5"/>
  <c r="AF69" i="5"/>
  <c r="AF58" i="5"/>
  <c r="AF92" i="5"/>
  <c r="AF75" i="5"/>
  <c r="AF119" i="5"/>
  <c r="AF107" i="5"/>
  <c r="AF36" i="5"/>
  <c r="AF113" i="5"/>
  <c r="AF27" i="5"/>
  <c r="AF81" i="5"/>
  <c r="AF38" i="5"/>
  <c r="AF90" i="5"/>
  <c r="AF71" i="5"/>
  <c r="AF77" i="5"/>
  <c r="AF110" i="5"/>
  <c r="AF93" i="5"/>
  <c r="AF115" i="5"/>
  <c r="AF89" i="5"/>
  <c r="AF105" i="5"/>
  <c r="AF78" i="5"/>
  <c r="AF62" i="5"/>
  <c r="AF25" i="5"/>
  <c r="AF22" i="5"/>
  <c r="AF117" i="5"/>
  <c r="AF85" i="5"/>
  <c r="AF35" i="5"/>
  <c r="AF111" i="5"/>
  <c r="AF44" i="5"/>
  <c r="AF70" i="5"/>
  <c r="AF14" i="5"/>
  <c r="AG14" i="5" l="1"/>
  <c r="S14" i="5"/>
  <c r="R14" i="5"/>
  <c r="AG70" i="5"/>
  <c r="U70" i="5" s="1"/>
  <c r="R70" i="5"/>
  <c r="S70" i="5"/>
  <c r="AG44" i="5"/>
  <c r="U44" i="5" s="1"/>
  <c r="R44" i="5"/>
  <c r="S44" i="5"/>
  <c r="R111" i="5"/>
  <c r="S111" i="5"/>
  <c r="AG111" i="5"/>
  <c r="U111" i="5" s="1"/>
  <c r="AG35" i="5"/>
  <c r="U35" i="5" s="1"/>
  <c r="S35" i="5"/>
  <c r="R35" i="5"/>
  <c r="AG85" i="5"/>
  <c r="U85" i="5" s="1"/>
  <c r="S85" i="5"/>
  <c r="R85" i="5"/>
  <c r="AG117" i="5"/>
  <c r="U117" i="5" s="1"/>
  <c r="R117" i="5"/>
  <c r="S117" i="5"/>
  <c r="S22" i="5"/>
  <c r="AG22" i="5"/>
  <c r="S25" i="5"/>
  <c r="R25" i="5"/>
  <c r="AG25" i="5"/>
  <c r="U25" i="5" s="1"/>
  <c r="S62" i="5"/>
  <c r="R62" i="5"/>
  <c r="AG62" i="5"/>
  <c r="U62" i="5" s="1"/>
  <c r="AG78" i="5"/>
  <c r="U78" i="5" s="1"/>
  <c r="S78" i="5"/>
  <c r="R78" i="5"/>
  <c r="R105" i="5"/>
  <c r="AG105" i="5"/>
  <c r="U105" i="5" s="1"/>
  <c r="S105" i="5"/>
  <c r="S89" i="5"/>
  <c r="AG89" i="5"/>
  <c r="U89" i="5" s="1"/>
  <c r="R89" i="5"/>
  <c r="AG115" i="5"/>
  <c r="U115" i="5" s="1"/>
  <c r="R115" i="5"/>
  <c r="S115" i="5"/>
  <c r="R93" i="5"/>
  <c r="AG93" i="5"/>
  <c r="U93" i="5" s="1"/>
  <c r="S93" i="5"/>
  <c r="S110" i="5"/>
  <c r="R110" i="5"/>
  <c r="AG110" i="5"/>
  <c r="U110" i="5" s="1"/>
  <c r="S77" i="5"/>
  <c r="AG77" i="5"/>
  <c r="U77" i="5" s="1"/>
  <c r="R77" i="5"/>
  <c r="R71" i="5"/>
  <c r="S71" i="5"/>
  <c r="AG71" i="5"/>
  <c r="U71" i="5" s="1"/>
  <c r="S90" i="5"/>
  <c r="AG90" i="5"/>
  <c r="U90" i="5" s="1"/>
  <c r="R90" i="5"/>
  <c r="AG38" i="5"/>
  <c r="U38" i="5" s="1"/>
  <c r="S38" i="5"/>
  <c r="R38" i="5"/>
  <c r="S81" i="5"/>
  <c r="R81" i="5"/>
  <c r="AG81" i="5"/>
  <c r="U81" i="5" s="1"/>
  <c r="R27" i="5"/>
  <c r="S27" i="5"/>
  <c r="AG27" i="5"/>
  <c r="U27" i="5" s="1"/>
  <c r="R113" i="5"/>
  <c r="AG113" i="5"/>
  <c r="U113" i="5" s="1"/>
  <c r="S113" i="5"/>
  <c r="AG36" i="5"/>
  <c r="U36" i="5" s="1"/>
  <c r="R36" i="5"/>
  <c r="S36" i="5"/>
  <c r="AG107" i="5"/>
  <c r="U107" i="5" s="1"/>
  <c r="R107" i="5"/>
  <c r="S107" i="5"/>
  <c r="R119" i="5"/>
  <c r="AG119" i="5"/>
  <c r="U119" i="5" s="1"/>
  <c r="S119" i="5"/>
  <c r="AG75" i="5"/>
  <c r="U75" i="5" s="1"/>
  <c r="S75" i="5"/>
  <c r="R75" i="5"/>
  <c r="S92" i="5"/>
  <c r="R92" i="5"/>
  <c r="AG92" i="5"/>
  <c r="U92" i="5" s="1"/>
  <c r="AG58" i="5"/>
  <c r="U58" i="5" s="1"/>
  <c r="R58" i="5"/>
  <c r="S58" i="5"/>
  <c r="R69" i="5"/>
  <c r="S69" i="5"/>
  <c r="AG69" i="5"/>
  <c r="U69" i="5" s="1"/>
  <c r="AG20" i="5"/>
  <c r="U20" i="5" s="1"/>
  <c r="S20" i="5"/>
  <c r="R20" i="5"/>
  <c r="R102" i="5"/>
  <c r="AG102" i="5"/>
  <c r="U102" i="5" s="1"/>
  <c r="S102" i="5"/>
  <c r="R54" i="5"/>
  <c r="S54" i="5"/>
  <c r="AG54" i="5"/>
  <c r="U54" i="5" s="1"/>
  <c r="AG32" i="5"/>
  <c r="U32" i="5" s="1"/>
  <c r="R32" i="5"/>
  <c r="S32" i="5"/>
  <c r="S31" i="5"/>
  <c r="R31" i="5"/>
  <c r="AG31" i="5"/>
  <c r="U31" i="5" s="1"/>
  <c r="AG48" i="5"/>
  <c r="U48" i="5" s="1"/>
  <c r="R48" i="5"/>
  <c r="S48" i="5"/>
  <c r="R29" i="5"/>
  <c r="AG29" i="5"/>
  <c r="U29" i="5" s="1"/>
  <c r="S29" i="5"/>
  <c r="AG21" i="5"/>
  <c r="U21" i="5" s="1"/>
  <c r="S21" i="5"/>
  <c r="R21" i="5"/>
  <c r="AG17" i="5"/>
  <c r="S17" i="5"/>
  <c r="R96" i="5"/>
  <c r="S96" i="5"/>
  <c r="AG96" i="5"/>
  <c r="U96" i="5" s="1"/>
  <c r="S51" i="5"/>
  <c r="AG51" i="5"/>
  <c r="U51" i="5" s="1"/>
  <c r="R51" i="5"/>
  <c r="S63" i="5"/>
  <c r="R63" i="5"/>
  <c r="AG63" i="5"/>
  <c r="U63" i="5" s="1"/>
  <c r="S116" i="5"/>
  <c r="R116" i="5"/>
  <c r="AG116" i="5"/>
  <c r="U116" i="5" s="1"/>
  <c r="R101" i="5"/>
  <c r="AG101" i="5"/>
  <c r="U101" i="5" s="1"/>
  <c r="S101" i="5"/>
  <c r="S65" i="5"/>
  <c r="R65" i="5"/>
  <c r="AG65" i="5"/>
  <c r="U65" i="5" s="1"/>
  <c r="AG52" i="5"/>
  <c r="U52" i="5" s="1"/>
  <c r="R52" i="5"/>
  <c r="S52" i="5"/>
  <c r="S46" i="5"/>
  <c r="R46" i="5"/>
  <c r="AG46" i="5"/>
  <c r="U46" i="5" s="1"/>
  <c r="R87" i="5"/>
  <c r="AG87" i="5"/>
  <c r="U87" i="5" s="1"/>
  <c r="S87" i="5"/>
  <c r="S98" i="5"/>
  <c r="AG98" i="5"/>
  <c r="U98" i="5" s="1"/>
  <c r="R98" i="5"/>
  <c r="AG94" i="5"/>
  <c r="U94" i="5" s="1"/>
  <c r="S94" i="5"/>
  <c r="R94" i="5"/>
  <c r="R82" i="5"/>
  <c r="AG82" i="5"/>
  <c r="U82" i="5" s="1"/>
  <c r="S82" i="5"/>
  <c r="AG43" i="5"/>
  <c r="U43" i="5" s="1"/>
  <c r="R43" i="5"/>
  <c r="S43" i="5"/>
  <c r="R60" i="5"/>
  <c r="S60" i="5"/>
  <c r="AG60" i="5"/>
  <c r="U60" i="5" s="1"/>
  <c r="R45" i="5"/>
  <c r="AG45" i="5"/>
  <c r="U45" i="5" s="1"/>
  <c r="S45" i="5"/>
  <c r="R99" i="5"/>
  <c r="S99" i="5"/>
  <c r="AG99" i="5"/>
  <c r="U99" i="5" s="1"/>
  <c r="R34" i="5"/>
  <c r="S34" i="5"/>
  <c r="AG34" i="5"/>
  <c r="U34" i="5" s="1"/>
  <c r="S106" i="5"/>
  <c r="R106" i="5"/>
  <c r="AG106" i="5"/>
  <c r="U106" i="5" s="1"/>
  <c r="R40" i="5"/>
  <c r="S40" i="5"/>
  <c r="AG40" i="5"/>
  <c r="U40" i="5" s="1"/>
  <c r="AG64" i="5"/>
  <c r="U64" i="5" s="1"/>
  <c r="R64" i="5"/>
  <c r="S64" i="5"/>
  <c r="R23" i="5"/>
  <c r="AG23" i="5"/>
  <c r="U23" i="5" s="1"/>
  <c r="S23" i="5"/>
  <c r="S16" i="5"/>
  <c r="AG16" i="5"/>
  <c r="R30" i="5"/>
  <c r="S30" i="5"/>
  <c r="AG30" i="5"/>
  <c r="U30" i="5" s="1"/>
  <c r="R84" i="5"/>
  <c r="AG84" i="5"/>
  <c r="U84" i="5" s="1"/>
  <c r="S84" i="5"/>
  <c r="R49" i="5"/>
  <c r="S49" i="5"/>
  <c r="AG49" i="5"/>
  <c r="U49" i="5" s="1"/>
  <c r="S41" i="5"/>
  <c r="R41" i="5"/>
  <c r="AG41" i="5"/>
  <c r="U41" i="5" s="1"/>
  <c r="AG37" i="5"/>
  <c r="U37" i="5" s="1"/>
  <c r="R37" i="5"/>
  <c r="S37" i="5"/>
  <c r="R95" i="5"/>
  <c r="S95" i="5"/>
  <c r="AG95" i="5"/>
  <c r="U95" i="5" s="1"/>
  <c r="S55" i="5"/>
  <c r="R55" i="5"/>
  <c r="AG55" i="5"/>
  <c r="U55" i="5" s="1"/>
  <c r="S109" i="5"/>
  <c r="R109" i="5"/>
  <c r="AG109" i="5"/>
  <c r="U109" i="5" s="1"/>
  <c r="S18" i="5"/>
  <c r="R18" i="5"/>
  <c r="AG18" i="5"/>
  <c r="U18" i="5" s="1"/>
  <c r="R19" i="5"/>
  <c r="S19" i="5"/>
  <c r="AG19" i="5"/>
  <c r="U19" i="5" s="1"/>
  <c r="S26" i="5"/>
  <c r="AG26" i="5"/>
  <c r="U26" i="5" s="1"/>
  <c r="R26" i="5"/>
  <c r="AG100" i="5"/>
  <c r="U100" i="5" s="1"/>
  <c r="S100" i="5"/>
  <c r="R100" i="5"/>
  <c r="R104" i="5"/>
  <c r="S104" i="5"/>
  <c r="AG104" i="5"/>
  <c r="U104" i="5" s="1"/>
  <c r="S86" i="5"/>
  <c r="R86" i="5"/>
  <c r="AG86" i="5"/>
  <c r="U86" i="5" s="1"/>
  <c r="S112" i="5"/>
  <c r="R112" i="5"/>
  <c r="AG112" i="5"/>
  <c r="U112" i="5" s="1"/>
  <c r="AG108" i="5"/>
  <c r="U108" i="5" s="1"/>
  <c r="R108" i="5"/>
  <c r="S108" i="5"/>
  <c r="S39" i="5"/>
  <c r="AG39" i="5"/>
  <c r="U39" i="5" s="1"/>
  <c r="R39" i="5"/>
  <c r="S80" i="5"/>
  <c r="R80" i="5"/>
  <c r="AG80" i="5"/>
  <c r="U80" i="5" s="1"/>
  <c r="S47" i="5"/>
  <c r="R47" i="5"/>
  <c r="AG47" i="5"/>
  <c r="U47" i="5" s="1"/>
  <c r="R56" i="5"/>
  <c r="S56" i="5"/>
  <c r="AG56" i="5"/>
  <c r="U56" i="5" s="1"/>
  <c r="S73" i="5"/>
  <c r="AG73" i="5"/>
  <c r="U73" i="5" s="1"/>
  <c r="R73" i="5"/>
  <c r="S118" i="5"/>
  <c r="AG118" i="5"/>
  <c r="U118" i="5" s="1"/>
  <c r="R118" i="5"/>
  <c r="S97" i="5"/>
  <c r="AG97" i="5"/>
  <c r="U97" i="5" s="1"/>
  <c r="R97" i="5"/>
  <c r="R59" i="5"/>
  <c r="S59" i="5"/>
  <c r="AG59" i="5"/>
  <c r="U59" i="5" s="1"/>
  <c r="R114" i="5"/>
  <c r="S114" i="5"/>
  <c r="AG114" i="5"/>
  <c r="U114" i="5" s="1"/>
  <c r="R74" i="5"/>
  <c r="AG74" i="5"/>
  <c r="U74" i="5" s="1"/>
  <c r="S74" i="5"/>
  <c r="R33" i="5"/>
  <c r="S33" i="5"/>
  <c r="AG33" i="5"/>
  <c r="U33" i="5" s="1"/>
  <c r="S88" i="5"/>
  <c r="R88" i="5"/>
  <c r="AG88" i="5"/>
  <c r="U88" i="5" s="1"/>
  <c r="R67" i="5"/>
  <c r="S67" i="5"/>
  <c r="AG67" i="5"/>
  <c r="U67" i="5" s="1"/>
  <c r="AG76" i="5"/>
  <c r="U76" i="5" s="1"/>
  <c r="R76" i="5"/>
  <c r="S76" i="5"/>
  <c r="S83" i="5"/>
  <c r="R83" i="5"/>
  <c r="AG83" i="5"/>
  <c r="U83" i="5" s="1"/>
  <c r="S24" i="5"/>
  <c r="R24" i="5"/>
  <c r="AG24" i="5"/>
  <c r="U24" i="5" s="1"/>
  <c r="W76" i="5" l="1"/>
  <c r="AN76" i="5"/>
  <c r="W59" i="5"/>
  <c r="AN59" i="5"/>
  <c r="AN56" i="5"/>
  <c r="W56" i="5"/>
  <c r="F80" i="12"/>
  <c r="G80" i="6"/>
  <c r="F86" i="12"/>
  <c r="G86" i="6"/>
  <c r="E19" i="12"/>
  <c r="F19" i="6"/>
  <c r="AN41" i="5"/>
  <c r="W41" i="5"/>
  <c r="E106" i="12"/>
  <c r="F106" i="6"/>
  <c r="F45" i="12"/>
  <c r="G45" i="6"/>
  <c r="W98" i="5"/>
  <c r="AN98" i="5"/>
  <c r="F52" i="12"/>
  <c r="G52" i="6"/>
  <c r="E96" i="12"/>
  <c r="F96" i="6"/>
  <c r="W31" i="5"/>
  <c r="AN31" i="5"/>
  <c r="F20" i="6"/>
  <c r="E20" i="12"/>
  <c r="AN119" i="5"/>
  <c r="W119" i="5"/>
  <c r="G81" i="6"/>
  <c r="F81" i="12"/>
  <c r="F77" i="12"/>
  <c r="G77" i="6"/>
  <c r="E115" i="12"/>
  <c r="F115" i="6"/>
  <c r="F62" i="6"/>
  <c r="E62" i="12"/>
  <c r="AN111" i="5"/>
  <c r="W111" i="5"/>
  <c r="F24" i="6"/>
  <c r="E24" i="12"/>
  <c r="E33" i="12"/>
  <c r="F33" i="6"/>
  <c r="F73" i="6"/>
  <c r="E73" i="12"/>
  <c r="F47" i="12"/>
  <c r="G47" i="6"/>
  <c r="F39" i="6"/>
  <c r="E39" i="12"/>
  <c r="E108" i="12"/>
  <c r="F108" i="6"/>
  <c r="G112" i="6"/>
  <c r="F112" i="12"/>
  <c r="W104" i="5"/>
  <c r="AN104" i="5"/>
  <c r="G100" i="6"/>
  <c r="F100" i="12"/>
  <c r="F26" i="12"/>
  <c r="G26" i="6"/>
  <c r="W18" i="5"/>
  <c r="AN18" i="5"/>
  <c r="E109" i="12"/>
  <c r="F109" i="6"/>
  <c r="F55" i="12"/>
  <c r="G55" i="6"/>
  <c r="G37" i="6"/>
  <c r="F37" i="12"/>
  <c r="E41" i="12"/>
  <c r="F41" i="6"/>
  <c r="F49" i="6"/>
  <c r="E49" i="12"/>
  <c r="AN30" i="5"/>
  <c r="W30" i="5"/>
  <c r="F16" i="12"/>
  <c r="F64" i="12"/>
  <c r="G64" i="6"/>
  <c r="F40" i="12"/>
  <c r="G40" i="6"/>
  <c r="F106" i="12"/>
  <c r="G106" i="6"/>
  <c r="W99" i="5"/>
  <c r="AN99" i="5"/>
  <c r="W45" i="5"/>
  <c r="AN45" i="5"/>
  <c r="E60" i="12"/>
  <c r="F60" i="6"/>
  <c r="F82" i="12"/>
  <c r="G82" i="6"/>
  <c r="F94" i="12"/>
  <c r="G94" i="6"/>
  <c r="F98" i="12"/>
  <c r="G98" i="6"/>
  <c r="AN46" i="5"/>
  <c r="W46" i="5"/>
  <c r="E52" i="12"/>
  <c r="F52" i="6"/>
  <c r="F65" i="12"/>
  <c r="G65" i="6"/>
  <c r="AN116" i="5"/>
  <c r="W116" i="5"/>
  <c r="F63" i="6"/>
  <c r="E63" i="12"/>
  <c r="F51" i="12"/>
  <c r="G51" i="6"/>
  <c r="F17" i="12"/>
  <c r="AN21" i="5"/>
  <c r="W21" i="5"/>
  <c r="G48" i="6"/>
  <c r="F48" i="12"/>
  <c r="E31" i="12"/>
  <c r="F31" i="6"/>
  <c r="W32" i="5"/>
  <c r="AN32" i="5"/>
  <c r="G102" i="6"/>
  <c r="F102" i="12"/>
  <c r="G20" i="6"/>
  <c r="F20" i="12"/>
  <c r="F69" i="6"/>
  <c r="E69" i="12"/>
  <c r="W92" i="5"/>
  <c r="AN92" i="5"/>
  <c r="F75" i="12"/>
  <c r="G75" i="6"/>
  <c r="E119" i="12"/>
  <c r="F119" i="6"/>
  <c r="F36" i="12"/>
  <c r="G36" i="6"/>
  <c r="W113" i="5"/>
  <c r="AN113" i="5"/>
  <c r="F27" i="6"/>
  <c r="E27" i="12"/>
  <c r="E38" i="12"/>
  <c r="F38" i="6"/>
  <c r="W90" i="5"/>
  <c r="AN90" i="5"/>
  <c r="E71" i="12"/>
  <c r="F71" i="6"/>
  <c r="AN110" i="5"/>
  <c r="W110" i="5"/>
  <c r="AN93" i="5"/>
  <c r="W93" i="5"/>
  <c r="W115" i="5"/>
  <c r="AN115" i="5"/>
  <c r="G105" i="6"/>
  <c r="F105" i="12"/>
  <c r="G78" i="6"/>
  <c r="F78" i="12"/>
  <c r="F62" i="12"/>
  <c r="G62" i="6"/>
  <c r="W117" i="5"/>
  <c r="AN117" i="5"/>
  <c r="E35" i="12"/>
  <c r="F35" i="6"/>
  <c r="F111" i="12"/>
  <c r="G111" i="6"/>
  <c r="AN44" i="5"/>
  <c r="W44" i="5"/>
  <c r="F14" i="6"/>
  <c r="AC14" i="5"/>
  <c r="E14" i="12"/>
  <c r="E83" i="12"/>
  <c r="F83" i="6"/>
  <c r="G33" i="6"/>
  <c r="F33" i="12"/>
  <c r="W97" i="5"/>
  <c r="AN97" i="5"/>
  <c r="F47" i="6"/>
  <c r="E47" i="12"/>
  <c r="F108" i="12"/>
  <c r="G108" i="6"/>
  <c r="F100" i="6"/>
  <c r="E100" i="12"/>
  <c r="AN109" i="5"/>
  <c r="W109" i="5"/>
  <c r="E95" i="12"/>
  <c r="F95" i="6"/>
  <c r="E84" i="12"/>
  <c r="F84" i="6"/>
  <c r="AN40" i="5"/>
  <c r="W40" i="5"/>
  <c r="W43" i="5"/>
  <c r="AN43" i="5"/>
  <c r="E94" i="12"/>
  <c r="F94" i="6"/>
  <c r="E101" i="12"/>
  <c r="F101" i="6"/>
  <c r="AN51" i="5"/>
  <c r="W51" i="5"/>
  <c r="F21" i="12"/>
  <c r="G21" i="6"/>
  <c r="F32" i="6"/>
  <c r="E32" i="12"/>
  <c r="W58" i="5"/>
  <c r="AN58" i="5"/>
  <c r="E75" i="12"/>
  <c r="F75" i="6"/>
  <c r="F113" i="12"/>
  <c r="G113" i="6"/>
  <c r="E90" i="12"/>
  <c r="F90" i="6"/>
  <c r="F93" i="12"/>
  <c r="G93" i="6"/>
  <c r="E78" i="12"/>
  <c r="F78" i="6"/>
  <c r="G25" i="6"/>
  <c r="F25" i="12"/>
  <c r="AN85" i="5"/>
  <c r="W85" i="5"/>
  <c r="E44" i="12"/>
  <c r="F44" i="6"/>
  <c r="AN67" i="5"/>
  <c r="W67" i="5"/>
  <c r="AN114" i="5"/>
  <c r="W114" i="5"/>
  <c r="G59" i="6"/>
  <c r="F59" i="12"/>
  <c r="F56" i="12"/>
  <c r="G56" i="6"/>
  <c r="G24" i="6"/>
  <c r="F24" i="12"/>
  <c r="F76" i="12"/>
  <c r="G76" i="6"/>
  <c r="F67" i="12"/>
  <c r="G67" i="6"/>
  <c r="F88" i="12"/>
  <c r="G88" i="6"/>
  <c r="F74" i="12"/>
  <c r="G74" i="6"/>
  <c r="F114" i="12"/>
  <c r="G114" i="6"/>
  <c r="F59" i="6"/>
  <c r="E59" i="12"/>
  <c r="F118" i="6"/>
  <c r="E118" i="12"/>
  <c r="W73" i="5"/>
  <c r="AN73" i="5"/>
  <c r="E56" i="12"/>
  <c r="F56" i="6"/>
  <c r="AN80" i="5"/>
  <c r="W80" i="5"/>
  <c r="W39" i="5"/>
  <c r="AN39" i="5"/>
  <c r="AN108" i="5"/>
  <c r="W108" i="5"/>
  <c r="W86" i="5"/>
  <c r="AN86" i="5"/>
  <c r="G104" i="6"/>
  <c r="F104" i="12"/>
  <c r="W100" i="5"/>
  <c r="AN100" i="5"/>
  <c r="AN19" i="5"/>
  <c r="W19" i="5"/>
  <c r="F18" i="6"/>
  <c r="E18" i="12"/>
  <c r="F109" i="12"/>
  <c r="G109" i="6"/>
  <c r="W95" i="5"/>
  <c r="AN95" i="5"/>
  <c r="F37" i="6"/>
  <c r="E37" i="12"/>
  <c r="F41" i="12"/>
  <c r="G41" i="6"/>
  <c r="G84" i="6"/>
  <c r="F84" i="12"/>
  <c r="F30" i="12"/>
  <c r="G30" i="6"/>
  <c r="F23" i="12"/>
  <c r="G23" i="6"/>
  <c r="F64" i="6"/>
  <c r="E64" i="12"/>
  <c r="E40" i="12"/>
  <c r="F40" i="6"/>
  <c r="W34" i="5"/>
  <c r="AN34" i="5"/>
  <c r="F99" i="12"/>
  <c r="G99" i="6"/>
  <c r="E45" i="12"/>
  <c r="F45" i="6"/>
  <c r="F43" i="12"/>
  <c r="G43" i="6"/>
  <c r="W82" i="5"/>
  <c r="AN82" i="5"/>
  <c r="AN94" i="5"/>
  <c r="W94" i="5"/>
  <c r="G87" i="6"/>
  <c r="F87" i="12"/>
  <c r="F46" i="6"/>
  <c r="E46" i="12"/>
  <c r="AN52" i="5"/>
  <c r="W52" i="5"/>
  <c r="G101" i="6"/>
  <c r="F101" i="12"/>
  <c r="E116" i="12"/>
  <c r="F116" i="6"/>
  <c r="F63" i="12"/>
  <c r="G63" i="6"/>
  <c r="W96" i="5"/>
  <c r="AN96" i="5"/>
  <c r="G29" i="6"/>
  <c r="F29" i="12"/>
  <c r="F48" i="6"/>
  <c r="E48" i="12"/>
  <c r="F31" i="12"/>
  <c r="G31" i="6"/>
  <c r="AN54" i="5"/>
  <c r="W54" i="5"/>
  <c r="AN102" i="5"/>
  <c r="W102" i="5"/>
  <c r="AN20" i="5"/>
  <c r="W20" i="5"/>
  <c r="G58" i="6"/>
  <c r="F58" i="12"/>
  <c r="F92" i="6"/>
  <c r="E92" i="12"/>
  <c r="W75" i="5"/>
  <c r="AN75" i="5"/>
  <c r="F107" i="12"/>
  <c r="G107" i="6"/>
  <c r="E36" i="12"/>
  <c r="F36" i="6"/>
  <c r="F113" i="6"/>
  <c r="E113" i="12"/>
  <c r="W81" i="5"/>
  <c r="AN81" i="5"/>
  <c r="G38" i="6"/>
  <c r="F38" i="12"/>
  <c r="F90" i="12"/>
  <c r="G90" i="6"/>
  <c r="E77" i="12"/>
  <c r="F77" i="6"/>
  <c r="E110" i="12"/>
  <c r="F110" i="6"/>
  <c r="F93" i="6"/>
  <c r="E93" i="12"/>
  <c r="F89" i="6"/>
  <c r="E89" i="12"/>
  <c r="AN105" i="5"/>
  <c r="W105" i="5"/>
  <c r="AN78" i="5"/>
  <c r="W78" i="5"/>
  <c r="AN25" i="5"/>
  <c r="W25" i="5"/>
  <c r="F22" i="12"/>
  <c r="E85" i="12"/>
  <c r="F85" i="6"/>
  <c r="F35" i="12"/>
  <c r="G35" i="6"/>
  <c r="F111" i="6"/>
  <c r="E111" i="12"/>
  <c r="F70" i="12"/>
  <c r="G70" i="6"/>
  <c r="G14" i="6"/>
  <c r="F14" i="12"/>
  <c r="AN24" i="5"/>
  <c r="W24" i="5"/>
  <c r="AN88" i="5"/>
  <c r="W88" i="5"/>
  <c r="F74" i="6"/>
  <c r="E74" i="12"/>
  <c r="G118" i="6"/>
  <c r="F118" i="12"/>
  <c r="F112" i="6"/>
  <c r="E112" i="12"/>
  <c r="W26" i="5"/>
  <c r="AN26" i="5"/>
  <c r="F55" i="6"/>
  <c r="E55" i="12"/>
  <c r="G49" i="6"/>
  <c r="F49" i="12"/>
  <c r="E23" i="12"/>
  <c r="F23" i="6"/>
  <c r="F34" i="6"/>
  <c r="E34" i="12"/>
  <c r="F60" i="12"/>
  <c r="G60" i="6"/>
  <c r="F87" i="6"/>
  <c r="E87" i="12"/>
  <c r="F65" i="6"/>
  <c r="E65" i="12"/>
  <c r="W63" i="5"/>
  <c r="AN63" i="5"/>
  <c r="F29" i="6"/>
  <c r="E29" i="12"/>
  <c r="F54" i="6"/>
  <c r="E54" i="12"/>
  <c r="F69" i="12"/>
  <c r="G69" i="6"/>
  <c r="W107" i="5"/>
  <c r="AN107" i="5"/>
  <c r="G27" i="6"/>
  <c r="F27" i="12"/>
  <c r="G71" i="6"/>
  <c r="F71" i="12"/>
  <c r="F89" i="12"/>
  <c r="G89" i="6"/>
  <c r="E117" i="12"/>
  <c r="F117" i="6"/>
  <c r="W70" i="5"/>
  <c r="AN70" i="5"/>
  <c r="F83" i="12"/>
  <c r="G83" i="6"/>
  <c r="E88" i="12"/>
  <c r="F88" i="6"/>
  <c r="F97" i="12"/>
  <c r="G97" i="6"/>
  <c r="AN83" i="5"/>
  <c r="W83" i="5"/>
  <c r="E76" i="12"/>
  <c r="F76" i="6"/>
  <c r="E67" i="12"/>
  <c r="F67" i="6"/>
  <c r="W33" i="5"/>
  <c r="AN33" i="5"/>
  <c r="AN74" i="5"/>
  <c r="W74" i="5"/>
  <c r="F114" i="6"/>
  <c r="E114" i="12"/>
  <c r="F97" i="6"/>
  <c r="E97" i="12"/>
  <c r="AN118" i="5"/>
  <c r="W118" i="5"/>
  <c r="F73" i="12"/>
  <c r="G73" i="6"/>
  <c r="AN47" i="5"/>
  <c r="W47" i="5"/>
  <c r="E80" i="12"/>
  <c r="F80" i="6"/>
  <c r="G39" i="6"/>
  <c r="F39" i="12"/>
  <c r="W112" i="5"/>
  <c r="AN112" i="5"/>
  <c r="F86" i="6"/>
  <c r="E86" i="12"/>
  <c r="E104" i="12"/>
  <c r="F104" i="6"/>
  <c r="F26" i="6"/>
  <c r="E26" i="12"/>
  <c r="F19" i="12"/>
  <c r="G19" i="6"/>
  <c r="G18" i="6"/>
  <c r="F18" i="12"/>
  <c r="W55" i="5"/>
  <c r="AN55" i="5"/>
  <c r="G95" i="6"/>
  <c r="F95" i="12"/>
  <c r="W37" i="5"/>
  <c r="AN37" i="5"/>
  <c r="W49" i="5"/>
  <c r="AN49" i="5"/>
  <c r="W84" i="5"/>
  <c r="AN84" i="5"/>
  <c r="F30" i="6"/>
  <c r="E30" i="12"/>
  <c r="AN23" i="5"/>
  <c r="W23" i="5"/>
  <c r="W64" i="5"/>
  <c r="AN64" i="5"/>
  <c r="W106" i="5"/>
  <c r="AN106" i="5"/>
  <c r="G34" i="6"/>
  <c r="F34" i="12"/>
  <c r="F99" i="6"/>
  <c r="E99" i="12"/>
  <c r="W60" i="5"/>
  <c r="AN60" i="5"/>
  <c r="F43" i="6"/>
  <c r="E43" i="12"/>
  <c r="F82" i="6"/>
  <c r="E82" i="12"/>
  <c r="F98" i="6"/>
  <c r="E98" i="12"/>
  <c r="AN87" i="5"/>
  <c r="W87" i="5"/>
  <c r="G46" i="6"/>
  <c r="F46" i="12"/>
  <c r="AN65" i="5"/>
  <c r="W65" i="5"/>
  <c r="W101" i="5"/>
  <c r="AN101" i="5"/>
  <c r="G116" i="6"/>
  <c r="F116" i="12"/>
  <c r="F51" i="6"/>
  <c r="E51" i="12"/>
  <c r="G96" i="6"/>
  <c r="F96" i="12"/>
  <c r="E21" i="12"/>
  <c r="F21" i="6"/>
  <c r="AN29" i="5"/>
  <c r="W29" i="5"/>
  <c r="AN48" i="5"/>
  <c r="W48" i="5"/>
  <c r="G32" i="6"/>
  <c r="F32" i="12"/>
  <c r="F54" i="12"/>
  <c r="G54" i="6"/>
  <c r="F102" i="6"/>
  <c r="E102" i="12"/>
  <c r="AN69" i="5"/>
  <c r="W69" i="5"/>
  <c r="F58" i="6"/>
  <c r="E58" i="12"/>
  <c r="G92" i="6"/>
  <c r="F92" i="12"/>
  <c r="F119" i="12"/>
  <c r="G119" i="6"/>
  <c r="E107" i="12"/>
  <c r="F107" i="6"/>
  <c r="AN36" i="5"/>
  <c r="W36" i="5"/>
  <c r="W27" i="5"/>
  <c r="AN27" i="5"/>
  <c r="F81" i="6"/>
  <c r="E81" i="12"/>
  <c r="AN38" i="5"/>
  <c r="W38" i="5"/>
  <c r="W71" i="5"/>
  <c r="AN71" i="5"/>
  <c r="W77" i="5"/>
  <c r="AN77" i="5"/>
  <c r="G110" i="6"/>
  <c r="F110" i="12"/>
  <c r="G115" i="6"/>
  <c r="F115" i="12"/>
  <c r="W89" i="5"/>
  <c r="AN89" i="5"/>
  <c r="E105" i="12"/>
  <c r="F105" i="6"/>
  <c r="W62" i="5"/>
  <c r="AN62" i="5"/>
  <c r="F25" i="6"/>
  <c r="E25" i="12"/>
  <c r="F117" i="12"/>
  <c r="G117" i="6"/>
  <c r="G85" i="6"/>
  <c r="F85" i="12"/>
  <c r="AN35" i="5"/>
  <c r="W35" i="5"/>
  <c r="G44" i="6"/>
  <c r="F44" i="12"/>
  <c r="F70" i="6"/>
  <c r="E70" i="12"/>
  <c r="X64" i="5" l="1"/>
  <c r="H64" i="12"/>
  <c r="H47" i="12"/>
  <c r="X47" i="5"/>
  <c r="X70" i="5"/>
  <c r="H70" i="12"/>
  <c r="X81" i="5"/>
  <c r="H81" i="12"/>
  <c r="X20" i="5"/>
  <c r="H20" i="12"/>
  <c r="H117" i="12"/>
  <c r="X117" i="5"/>
  <c r="X31" i="5"/>
  <c r="H31" i="12"/>
  <c r="X62" i="5"/>
  <c r="H62" i="12"/>
  <c r="H27" i="12"/>
  <c r="X27" i="5"/>
  <c r="H29" i="12"/>
  <c r="X29" i="5"/>
  <c r="X23" i="5"/>
  <c r="H23" i="12"/>
  <c r="H49" i="12"/>
  <c r="X49" i="5"/>
  <c r="H63" i="12"/>
  <c r="X63" i="5"/>
  <c r="H24" i="12"/>
  <c r="X24" i="5"/>
  <c r="X25" i="5"/>
  <c r="H25" i="12"/>
  <c r="H105" i="12"/>
  <c r="X105" i="5"/>
  <c r="X94" i="5"/>
  <c r="H94" i="12"/>
  <c r="H34" i="12"/>
  <c r="X34" i="5"/>
  <c r="H100" i="12"/>
  <c r="X100" i="5"/>
  <c r="H86" i="12"/>
  <c r="X86" i="5"/>
  <c r="X39" i="5"/>
  <c r="H39" i="12"/>
  <c r="H67" i="12"/>
  <c r="X67" i="5"/>
  <c r="H93" i="12"/>
  <c r="X93" i="5"/>
  <c r="H90" i="12"/>
  <c r="X90" i="5"/>
  <c r="H113" i="12"/>
  <c r="X113" i="5"/>
  <c r="X21" i="5"/>
  <c r="H21" i="12"/>
  <c r="H46" i="12"/>
  <c r="X46" i="5"/>
  <c r="H45" i="12"/>
  <c r="X45" i="5"/>
  <c r="X41" i="5"/>
  <c r="H41" i="12"/>
  <c r="H59" i="12"/>
  <c r="X59" i="5"/>
  <c r="X77" i="5"/>
  <c r="H77" i="12"/>
  <c r="X118" i="5"/>
  <c r="H118" i="12"/>
  <c r="H54" i="12"/>
  <c r="X54" i="5"/>
  <c r="X82" i="5"/>
  <c r="H82" i="12"/>
  <c r="H95" i="12"/>
  <c r="X95" i="5"/>
  <c r="H73" i="12"/>
  <c r="X73" i="5"/>
  <c r="H40" i="12"/>
  <c r="X40" i="5"/>
  <c r="H44" i="12"/>
  <c r="X44" i="5"/>
  <c r="X18" i="5"/>
  <c r="H18" i="12"/>
  <c r="H89" i="12"/>
  <c r="X89" i="5"/>
  <c r="X71" i="5"/>
  <c r="H71" i="12"/>
  <c r="X36" i="5"/>
  <c r="H36" i="12"/>
  <c r="H69" i="12"/>
  <c r="X69" i="5"/>
  <c r="H101" i="12"/>
  <c r="X101" i="5"/>
  <c r="H106" i="12"/>
  <c r="X106" i="5"/>
  <c r="X112" i="5"/>
  <c r="H112" i="12"/>
  <c r="X83" i="5"/>
  <c r="H83" i="12"/>
  <c r="X26" i="5"/>
  <c r="H26" i="12"/>
  <c r="X75" i="5"/>
  <c r="H75" i="12"/>
  <c r="H102" i="12"/>
  <c r="X102" i="5"/>
  <c r="H96" i="12"/>
  <c r="X96" i="5"/>
  <c r="X52" i="5"/>
  <c r="H52" i="12"/>
  <c r="X19" i="5"/>
  <c r="H19" i="12"/>
  <c r="X108" i="5"/>
  <c r="H108" i="12"/>
  <c r="H80" i="12"/>
  <c r="X80" i="5"/>
  <c r="X85" i="5"/>
  <c r="H85" i="12"/>
  <c r="H51" i="12"/>
  <c r="X51" i="5"/>
  <c r="X92" i="5"/>
  <c r="H92" i="12"/>
  <c r="H116" i="12"/>
  <c r="X116" i="5"/>
  <c r="X104" i="5"/>
  <c r="H104" i="12"/>
  <c r="X111" i="5"/>
  <c r="H111" i="12"/>
  <c r="X119" i="5"/>
  <c r="H119" i="12"/>
  <c r="X56" i="5"/>
  <c r="H56" i="12"/>
  <c r="X74" i="5"/>
  <c r="H74" i="12"/>
  <c r="H58" i="12"/>
  <c r="X58" i="5"/>
  <c r="X109" i="5"/>
  <c r="H109" i="12"/>
  <c r="H115" i="12"/>
  <c r="X115" i="5"/>
  <c r="X30" i="5"/>
  <c r="H30" i="12"/>
  <c r="H35" i="12"/>
  <c r="X35" i="5"/>
  <c r="X38" i="5"/>
  <c r="H38" i="12"/>
  <c r="H48" i="12"/>
  <c r="X48" i="5"/>
  <c r="X65" i="5"/>
  <c r="H65" i="12"/>
  <c r="X87" i="5"/>
  <c r="H87" i="12"/>
  <c r="X60" i="5"/>
  <c r="H60" i="12"/>
  <c r="H84" i="12"/>
  <c r="X84" i="5"/>
  <c r="X37" i="5"/>
  <c r="H37" i="12"/>
  <c r="X55" i="5"/>
  <c r="H55" i="12"/>
  <c r="H33" i="12"/>
  <c r="X33" i="5"/>
  <c r="X107" i="5"/>
  <c r="H107" i="12"/>
  <c r="H88" i="12"/>
  <c r="X88" i="5"/>
  <c r="X78" i="5"/>
  <c r="H78" i="12"/>
  <c r="H114" i="12"/>
  <c r="X114" i="5"/>
  <c r="X43" i="5"/>
  <c r="H43" i="12"/>
  <c r="X97" i="5"/>
  <c r="H97" i="12"/>
  <c r="X110" i="5"/>
  <c r="H110" i="12"/>
  <c r="H32" i="12"/>
  <c r="X32" i="5"/>
  <c r="X99" i="5"/>
  <c r="H99" i="12"/>
  <c r="H98" i="12"/>
  <c r="X98" i="5"/>
  <c r="X76" i="5"/>
  <c r="H76" i="12"/>
  <c r="Z88" i="5" l="1"/>
  <c r="L88" i="5"/>
  <c r="I88" i="12"/>
  <c r="AM88" i="5"/>
  <c r="AC88" i="5"/>
  <c r="I102" i="12"/>
  <c r="Z102" i="5"/>
  <c r="L102" i="5"/>
  <c r="AM102" i="5"/>
  <c r="AC102" i="5"/>
  <c r="I86" i="12"/>
  <c r="L86" i="5"/>
  <c r="AM86" i="5"/>
  <c r="Z86" i="5"/>
  <c r="AC86" i="5"/>
  <c r="I24" i="12"/>
  <c r="Z24" i="5"/>
  <c r="AM24" i="5"/>
  <c r="L24" i="5"/>
  <c r="AC24" i="5"/>
  <c r="L49" i="5"/>
  <c r="AM49" i="5"/>
  <c r="Z49" i="5"/>
  <c r="I49" i="12"/>
  <c r="AC49" i="5"/>
  <c r="I29" i="5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X28" i="5"/>
  <c r="AM29" i="5"/>
  <c r="I29" i="12"/>
  <c r="Z29" i="5"/>
  <c r="L29" i="5"/>
  <c r="AC29" i="5"/>
  <c r="I47" i="12"/>
  <c r="L47" i="5"/>
  <c r="AM47" i="5"/>
  <c r="Z47" i="5"/>
  <c r="AC47" i="5"/>
  <c r="Z97" i="5"/>
  <c r="AM97" i="5"/>
  <c r="L97" i="5"/>
  <c r="I97" i="12"/>
  <c r="AC97" i="5"/>
  <c r="Z37" i="5"/>
  <c r="AM37" i="5"/>
  <c r="L37" i="5"/>
  <c r="I37" i="12"/>
  <c r="AC37" i="5"/>
  <c r="I60" i="12"/>
  <c r="AM60" i="5"/>
  <c r="Z60" i="5"/>
  <c r="L60" i="5"/>
  <c r="AC60" i="5"/>
  <c r="I65" i="12"/>
  <c r="L65" i="5"/>
  <c r="Z65" i="5"/>
  <c r="AM65" i="5"/>
  <c r="AC65" i="5"/>
  <c r="I38" i="12"/>
  <c r="L38" i="5"/>
  <c r="AM38" i="5"/>
  <c r="Z38" i="5"/>
  <c r="AC38" i="5"/>
  <c r="I30" i="12"/>
  <c r="L30" i="5"/>
  <c r="Z30" i="5"/>
  <c r="AM30" i="5"/>
  <c r="AC30" i="5"/>
  <c r="L109" i="5"/>
  <c r="I109" i="12"/>
  <c r="Z109" i="5"/>
  <c r="AM109" i="5"/>
  <c r="AC109" i="5"/>
  <c r="Z74" i="5"/>
  <c r="L74" i="5"/>
  <c r="I74" i="12"/>
  <c r="AM74" i="5"/>
  <c r="AC74" i="5"/>
  <c r="Z119" i="5"/>
  <c r="I119" i="12"/>
  <c r="L119" i="5"/>
  <c r="C119" i="6" s="1"/>
  <c r="AM119" i="5"/>
  <c r="AC119" i="5"/>
  <c r="Z104" i="5"/>
  <c r="X103" i="5"/>
  <c r="AM104" i="5"/>
  <c r="I104" i="12"/>
  <c r="L104" i="5"/>
  <c r="I104" i="5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O119" i="5" s="1"/>
  <c r="AC104" i="5"/>
  <c r="X91" i="5"/>
  <c r="AM92" i="5"/>
  <c r="I92" i="12"/>
  <c r="Z92" i="5"/>
  <c r="L92" i="5"/>
  <c r="I92" i="5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AC92" i="5"/>
  <c r="Z85" i="5"/>
  <c r="AM85" i="5"/>
  <c r="I85" i="12"/>
  <c r="L85" i="5"/>
  <c r="AC85" i="5"/>
  <c r="AM108" i="5"/>
  <c r="Z108" i="5"/>
  <c r="I108" i="12"/>
  <c r="L108" i="5"/>
  <c r="AC108" i="5"/>
  <c r="I52" i="12"/>
  <c r="AM52" i="5"/>
  <c r="L52" i="5"/>
  <c r="Z52" i="5"/>
  <c r="AC52" i="5"/>
  <c r="L26" i="5"/>
  <c r="Z26" i="5"/>
  <c r="AM26" i="5"/>
  <c r="I26" i="12"/>
  <c r="AC26" i="5"/>
  <c r="Z112" i="5"/>
  <c r="L112" i="5"/>
  <c r="AM112" i="5"/>
  <c r="I112" i="12"/>
  <c r="AC112" i="5"/>
  <c r="L36" i="5"/>
  <c r="I36" i="12"/>
  <c r="AM36" i="5"/>
  <c r="Z36" i="5"/>
  <c r="AC36" i="5"/>
  <c r="I82" i="12"/>
  <c r="AM82" i="5"/>
  <c r="Z82" i="5"/>
  <c r="L82" i="5"/>
  <c r="AC82" i="5"/>
  <c r="Z118" i="5"/>
  <c r="AB118" i="5" s="1"/>
  <c r="I118" i="12"/>
  <c r="L118" i="5"/>
  <c r="AM118" i="5"/>
  <c r="AC118" i="5"/>
  <c r="I21" i="12"/>
  <c r="Z21" i="5"/>
  <c r="AM21" i="5"/>
  <c r="L21" i="5"/>
  <c r="C21" i="6" s="1"/>
  <c r="AC21" i="5"/>
  <c r="I62" i="5"/>
  <c r="I63" i="5" s="1"/>
  <c r="I64" i="5" s="1"/>
  <c r="I65" i="5" s="1"/>
  <c r="I66" i="5" s="1"/>
  <c r="I67" i="5" s="1"/>
  <c r="I68" i="5" s="1"/>
  <c r="I69" i="5" s="1"/>
  <c r="I70" i="5" s="1"/>
  <c r="I71" i="5" s="1"/>
  <c r="Z62" i="5"/>
  <c r="X61" i="5"/>
  <c r="AM62" i="5"/>
  <c r="L62" i="5"/>
  <c r="I62" i="12"/>
  <c r="AC62" i="5"/>
  <c r="AM81" i="5"/>
  <c r="I81" i="12"/>
  <c r="Z81" i="5"/>
  <c r="L81" i="5"/>
  <c r="AC81" i="5"/>
  <c r="L32" i="5"/>
  <c r="I32" i="12"/>
  <c r="Z32" i="5"/>
  <c r="AM32" i="5"/>
  <c r="AC32" i="5"/>
  <c r="AM101" i="5"/>
  <c r="Z101" i="5"/>
  <c r="L101" i="5"/>
  <c r="I101" i="12"/>
  <c r="AC101" i="5"/>
  <c r="L44" i="5"/>
  <c r="AM44" i="5"/>
  <c r="I44" i="12"/>
  <c r="Z44" i="5"/>
  <c r="AC44" i="5"/>
  <c r="Z73" i="5"/>
  <c r="I73" i="5"/>
  <c r="I74" i="5" s="1"/>
  <c r="I75" i="5" s="1"/>
  <c r="I76" i="5" s="1"/>
  <c r="I77" i="5" s="1"/>
  <c r="I78" i="5" s="1"/>
  <c r="X72" i="5"/>
  <c r="AM73" i="5"/>
  <c r="I73" i="12"/>
  <c r="L73" i="5"/>
  <c r="AC73" i="5"/>
  <c r="I59" i="12"/>
  <c r="AM59" i="5"/>
  <c r="L59" i="5"/>
  <c r="Z59" i="5"/>
  <c r="AC59" i="5"/>
  <c r="AM90" i="5"/>
  <c r="I90" i="12"/>
  <c r="L90" i="5"/>
  <c r="Z90" i="5"/>
  <c r="AC90" i="5"/>
  <c r="Z34" i="5"/>
  <c r="I34" i="12"/>
  <c r="AM34" i="5"/>
  <c r="L34" i="5"/>
  <c r="AC34" i="5"/>
  <c r="L84" i="5"/>
  <c r="Z84" i="5"/>
  <c r="I84" i="12"/>
  <c r="AM84" i="5"/>
  <c r="AC84" i="5"/>
  <c r="I48" i="12"/>
  <c r="L48" i="5"/>
  <c r="Z48" i="5"/>
  <c r="AM48" i="5"/>
  <c r="AC48" i="5"/>
  <c r="I35" i="12"/>
  <c r="Z35" i="5"/>
  <c r="L35" i="5"/>
  <c r="AM35" i="5"/>
  <c r="AC35" i="5"/>
  <c r="I115" i="12"/>
  <c r="L115" i="5"/>
  <c r="Z115" i="5"/>
  <c r="AM115" i="5"/>
  <c r="AC115" i="5"/>
  <c r="L58" i="5"/>
  <c r="Z58" i="5"/>
  <c r="I58" i="12"/>
  <c r="X57" i="5"/>
  <c r="AM58" i="5"/>
  <c r="AC58" i="5"/>
  <c r="AM116" i="5"/>
  <c r="Z116" i="5"/>
  <c r="L116" i="5"/>
  <c r="I116" i="12"/>
  <c r="AC116" i="5"/>
  <c r="X50" i="5"/>
  <c r="Z51" i="5"/>
  <c r="AM51" i="5"/>
  <c r="I51" i="5"/>
  <c r="I52" i="5" s="1"/>
  <c r="I51" i="12"/>
  <c r="L51" i="5"/>
  <c r="AC51" i="5"/>
  <c r="X79" i="5"/>
  <c r="AM80" i="5"/>
  <c r="Z80" i="5"/>
  <c r="I80" i="12"/>
  <c r="L80" i="5"/>
  <c r="I80" i="5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AC80" i="5"/>
  <c r="L96" i="5"/>
  <c r="AM96" i="5"/>
  <c r="Z96" i="5"/>
  <c r="I96" i="12"/>
  <c r="AC96" i="5"/>
  <c r="L106" i="5"/>
  <c r="I106" i="12"/>
  <c r="AM106" i="5"/>
  <c r="Z106" i="5"/>
  <c r="AC106" i="5"/>
  <c r="AM69" i="5"/>
  <c r="L69" i="5"/>
  <c r="X68" i="5"/>
  <c r="Z69" i="5"/>
  <c r="I69" i="12"/>
  <c r="AC69" i="5"/>
  <c r="AM40" i="5"/>
  <c r="I40" i="12"/>
  <c r="Z40" i="5"/>
  <c r="L40" i="5"/>
  <c r="AC40" i="5"/>
  <c r="L95" i="5"/>
  <c r="Z95" i="5"/>
  <c r="AM95" i="5"/>
  <c r="I95" i="12"/>
  <c r="AC95" i="5"/>
  <c r="I54" i="12"/>
  <c r="L54" i="5"/>
  <c r="I54" i="5"/>
  <c r="I55" i="5" s="1"/>
  <c r="I56" i="5" s="1"/>
  <c r="I57" i="5" s="1"/>
  <c r="I58" i="5" s="1"/>
  <c r="I59" i="5" s="1"/>
  <c r="I60" i="5" s="1"/>
  <c r="X53" i="5"/>
  <c r="AM54" i="5"/>
  <c r="Z54" i="5"/>
  <c r="AC54" i="5"/>
  <c r="Z46" i="5"/>
  <c r="L46" i="5"/>
  <c r="AM46" i="5"/>
  <c r="I46" i="12"/>
  <c r="AC46" i="5"/>
  <c r="AM113" i="5"/>
  <c r="I113" i="12"/>
  <c r="L113" i="5"/>
  <c r="Z113" i="5"/>
  <c r="AC113" i="5"/>
  <c r="L93" i="5"/>
  <c r="I93" i="12"/>
  <c r="AM93" i="5"/>
  <c r="Z93" i="5"/>
  <c r="AC93" i="5"/>
  <c r="Z100" i="5"/>
  <c r="L100" i="5"/>
  <c r="AM100" i="5"/>
  <c r="I100" i="12"/>
  <c r="AC100" i="5"/>
  <c r="AM63" i="5"/>
  <c r="Z63" i="5"/>
  <c r="L63" i="5"/>
  <c r="I63" i="12"/>
  <c r="AC63" i="5"/>
  <c r="L27" i="5"/>
  <c r="C27" i="6" s="1"/>
  <c r="Z27" i="5"/>
  <c r="I27" i="12"/>
  <c r="AM27" i="5"/>
  <c r="AC27" i="5"/>
  <c r="AM98" i="5"/>
  <c r="L98" i="5"/>
  <c r="I98" i="12"/>
  <c r="Z98" i="5"/>
  <c r="AC98" i="5"/>
  <c r="AM114" i="5"/>
  <c r="L114" i="5"/>
  <c r="Z114" i="5"/>
  <c r="I114" i="12"/>
  <c r="AC114" i="5"/>
  <c r="I33" i="12"/>
  <c r="AM33" i="5"/>
  <c r="L33" i="5"/>
  <c r="Z33" i="5"/>
  <c r="AC33" i="5"/>
  <c r="AM89" i="5"/>
  <c r="I89" i="12"/>
  <c r="Z89" i="5"/>
  <c r="L89" i="5"/>
  <c r="AC89" i="5"/>
  <c r="Z45" i="5"/>
  <c r="L45" i="5"/>
  <c r="AM45" i="5"/>
  <c r="I45" i="12"/>
  <c r="AC45" i="5"/>
  <c r="L67" i="5"/>
  <c r="I67" i="12"/>
  <c r="AM67" i="5"/>
  <c r="Z67" i="5"/>
  <c r="X66" i="5"/>
  <c r="AC67" i="5"/>
  <c r="L105" i="5"/>
  <c r="I105" i="12"/>
  <c r="Z105" i="5"/>
  <c r="AM105" i="5"/>
  <c r="AC105" i="5"/>
  <c r="AM117" i="5"/>
  <c r="L117" i="5"/>
  <c r="Z117" i="5"/>
  <c r="I117" i="12"/>
  <c r="AC117" i="5"/>
  <c r="Z76" i="5"/>
  <c r="L76" i="5"/>
  <c r="AM76" i="5"/>
  <c r="I76" i="12"/>
  <c r="AC76" i="5"/>
  <c r="AM99" i="5"/>
  <c r="L99" i="5"/>
  <c r="I99" i="12"/>
  <c r="Z99" i="5"/>
  <c r="AC99" i="5"/>
  <c r="AM110" i="5"/>
  <c r="Z110" i="5"/>
  <c r="I110" i="12"/>
  <c r="L110" i="5"/>
  <c r="AC110" i="5"/>
  <c r="I43" i="5"/>
  <c r="I44" i="5" s="1"/>
  <c r="I45" i="5" s="1"/>
  <c r="I46" i="5" s="1"/>
  <c r="I47" i="5" s="1"/>
  <c r="I48" i="5" s="1"/>
  <c r="I49" i="5" s="1"/>
  <c r="Z43" i="5"/>
  <c r="AM43" i="5"/>
  <c r="I43" i="12"/>
  <c r="L43" i="5"/>
  <c r="X42" i="5"/>
  <c r="AC43" i="5"/>
  <c r="L78" i="5"/>
  <c r="AM78" i="5"/>
  <c r="Z78" i="5"/>
  <c r="I78" i="12"/>
  <c r="AC78" i="5"/>
  <c r="L107" i="5"/>
  <c r="AM107" i="5"/>
  <c r="I107" i="12"/>
  <c r="Z107" i="5"/>
  <c r="AC107" i="5"/>
  <c r="I55" i="12"/>
  <c r="AM55" i="5"/>
  <c r="L55" i="5"/>
  <c r="Z55" i="5"/>
  <c r="AC55" i="5"/>
  <c r="L87" i="5"/>
  <c r="Z87" i="5"/>
  <c r="I87" i="12"/>
  <c r="AM87" i="5"/>
  <c r="AC87" i="5"/>
  <c r="L56" i="5"/>
  <c r="AM56" i="5"/>
  <c r="Z56" i="5"/>
  <c r="I56" i="12"/>
  <c r="AC56" i="5"/>
  <c r="Z111" i="5"/>
  <c r="I111" i="12"/>
  <c r="L111" i="5"/>
  <c r="AM111" i="5"/>
  <c r="AC111" i="5"/>
  <c r="Z19" i="5"/>
  <c r="I19" i="12"/>
  <c r="AM19" i="5"/>
  <c r="L19" i="5"/>
  <c r="AC19" i="5"/>
  <c r="L75" i="5"/>
  <c r="Z75" i="5"/>
  <c r="AM75" i="5"/>
  <c r="I75" i="12"/>
  <c r="AC75" i="5"/>
  <c r="L83" i="5"/>
  <c r="AM83" i="5"/>
  <c r="I83" i="12"/>
  <c r="Z83" i="5"/>
  <c r="AC83" i="5"/>
  <c r="Z71" i="5"/>
  <c r="AM71" i="5"/>
  <c r="L71" i="5"/>
  <c r="I71" i="12"/>
  <c r="AC71" i="5"/>
  <c r="X17" i="5"/>
  <c r="X16" i="5"/>
  <c r="Z18" i="5"/>
  <c r="I18" i="5"/>
  <c r="I19" i="5" s="1"/>
  <c r="I20" i="5" s="1"/>
  <c r="I21" i="5" s="1"/>
  <c r="O21" i="5" s="1"/>
  <c r="I18" i="12"/>
  <c r="L18" i="5"/>
  <c r="AM18" i="5"/>
  <c r="X15" i="5"/>
  <c r="AC18" i="5"/>
  <c r="L77" i="5"/>
  <c r="Z77" i="5"/>
  <c r="AM77" i="5"/>
  <c r="I77" i="12"/>
  <c r="AC77" i="5"/>
  <c r="I41" i="12"/>
  <c r="AM41" i="5"/>
  <c r="Z41" i="5"/>
  <c r="L41" i="5"/>
  <c r="AC41" i="5"/>
  <c r="L39" i="5"/>
  <c r="AM39" i="5"/>
  <c r="Z39" i="5"/>
  <c r="I39" i="12"/>
  <c r="AC39" i="5"/>
  <c r="AM94" i="5"/>
  <c r="I94" i="12"/>
  <c r="L94" i="5"/>
  <c r="Z94" i="5"/>
  <c r="AC94" i="5"/>
  <c r="Z25" i="5"/>
  <c r="I25" i="12"/>
  <c r="L25" i="5"/>
  <c r="AM25" i="5"/>
  <c r="AC25" i="5"/>
  <c r="L23" i="5"/>
  <c r="AM23" i="5"/>
  <c r="Z23" i="5"/>
  <c r="I23" i="5"/>
  <c r="I24" i="5" s="1"/>
  <c r="I25" i="5" s="1"/>
  <c r="I26" i="5" s="1"/>
  <c r="I27" i="5" s="1"/>
  <c r="O27" i="5" s="1"/>
  <c r="I23" i="12"/>
  <c r="X22" i="5"/>
  <c r="AC23" i="5"/>
  <c r="L31" i="5"/>
  <c r="Z31" i="5"/>
  <c r="I31" i="12"/>
  <c r="AM31" i="5"/>
  <c r="AC31" i="5"/>
  <c r="I20" i="12"/>
  <c r="AM20" i="5"/>
  <c r="L20" i="5"/>
  <c r="Z20" i="5"/>
  <c r="AC20" i="5"/>
  <c r="Z70" i="5"/>
  <c r="AM70" i="5"/>
  <c r="L70" i="5"/>
  <c r="I70" i="12"/>
  <c r="AC70" i="5"/>
  <c r="L64" i="5"/>
  <c r="I64" i="12"/>
  <c r="AM64" i="5"/>
  <c r="Z64" i="5"/>
  <c r="AC64" i="5"/>
  <c r="D27" i="12" l="1"/>
  <c r="E27" i="6"/>
  <c r="E119" i="6"/>
  <c r="D119" i="12"/>
  <c r="M106" i="12"/>
  <c r="C106" i="12"/>
  <c r="AO106" i="12"/>
  <c r="O106" i="12"/>
  <c r="AB96" i="5"/>
  <c r="AA96" i="5"/>
  <c r="Z50" i="5"/>
  <c r="L50" i="5"/>
  <c r="AM50" i="5"/>
  <c r="AC50" i="5"/>
  <c r="I50" i="12"/>
  <c r="R29" i="8"/>
  <c r="C58" i="6"/>
  <c r="O58" i="5"/>
  <c r="AB115" i="5"/>
  <c r="AA115" i="5"/>
  <c r="AB90" i="5"/>
  <c r="AA90" i="5"/>
  <c r="C59" i="12"/>
  <c r="O59" i="12"/>
  <c r="M59" i="12"/>
  <c r="AO59" i="12"/>
  <c r="AC61" i="5"/>
  <c r="AM61" i="5"/>
  <c r="R38" i="8"/>
  <c r="L61" i="5"/>
  <c r="Z61" i="5"/>
  <c r="I61" i="12"/>
  <c r="AO21" i="12"/>
  <c r="M21" i="12"/>
  <c r="O21" i="12"/>
  <c r="C21" i="12"/>
  <c r="C93" i="6"/>
  <c r="O93" i="5"/>
  <c r="C113" i="6"/>
  <c r="O113" i="5"/>
  <c r="O46" i="12"/>
  <c r="AO46" i="12"/>
  <c r="C46" i="12"/>
  <c r="M46" i="12"/>
  <c r="M95" i="12"/>
  <c r="C95" i="12"/>
  <c r="O95" i="12"/>
  <c r="AO95" i="12"/>
  <c r="AC68" i="5"/>
  <c r="L68" i="5"/>
  <c r="I68" i="12"/>
  <c r="Z68" i="5"/>
  <c r="R44" i="8"/>
  <c r="AM68" i="5"/>
  <c r="C106" i="6"/>
  <c r="O106" i="5"/>
  <c r="C80" i="6"/>
  <c r="O80" i="5"/>
  <c r="AM79" i="5"/>
  <c r="AC79" i="5"/>
  <c r="L79" i="5"/>
  <c r="R50" i="8"/>
  <c r="Z79" i="5"/>
  <c r="I79" i="12"/>
  <c r="AB116" i="5"/>
  <c r="AA116" i="5"/>
  <c r="AM57" i="5"/>
  <c r="R35" i="8"/>
  <c r="AC57" i="5"/>
  <c r="L57" i="5"/>
  <c r="Z57" i="5"/>
  <c r="I57" i="12"/>
  <c r="C115" i="6"/>
  <c r="O115" i="5"/>
  <c r="C35" i="6"/>
  <c r="O35" i="5"/>
  <c r="O84" i="5"/>
  <c r="C84" i="6"/>
  <c r="C34" i="12"/>
  <c r="AO34" i="12"/>
  <c r="O34" i="12"/>
  <c r="N34" i="12" s="1"/>
  <c r="M34" i="12"/>
  <c r="C90" i="6"/>
  <c r="O90" i="5"/>
  <c r="AB59" i="5"/>
  <c r="AA59" i="5"/>
  <c r="Z72" i="5"/>
  <c r="AC72" i="5"/>
  <c r="I72" i="12"/>
  <c r="AM72" i="5"/>
  <c r="L72" i="5"/>
  <c r="R47" i="8"/>
  <c r="AB44" i="5"/>
  <c r="AA44" i="5"/>
  <c r="M32" i="12"/>
  <c r="AO32" i="12"/>
  <c r="Y32" i="12" s="1"/>
  <c r="C32" i="12"/>
  <c r="O32" i="12"/>
  <c r="AB81" i="5"/>
  <c r="AA81" i="5"/>
  <c r="O62" i="12"/>
  <c r="AO62" i="12"/>
  <c r="M62" i="12"/>
  <c r="C62" i="12"/>
  <c r="AB62" i="5"/>
  <c r="AA62" i="5"/>
  <c r="M118" i="12"/>
  <c r="C118" i="12"/>
  <c r="AO118" i="12"/>
  <c r="Y118" i="12" s="1"/>
  <c r="O118" i="12"/>
  <c r="AB82" i="5"/>
  <c r="AA82" i="5"/>
  <c r="AB36" i="5"/>
  <c r="AA36" i="5"/>
  <c r="C112" i="6"/>
  <c r="O112" i="5"/>
  <c r="M26" i="12"/>
  <c r="O26" i="12"/>
  <c r="AO26" i="12"/>
  <c r="C26" i="12"/>
  <c r="C52" i="12"/>
  <c r="AO52" i="12"/>
  <c r="M52" i="12"/>
  <c r="O52" i="12"/>
  <c r="C108" i="12"/>
  <c r="AO108" i="12"/>
  <c r="O108" i="12"/>
  <c r="M108" i="12"/>
  <c r="O85" i="5"/>
  <c r="C85" i="6"/>
  <c r="C92" i="12"/>
  <c r="AO92" i="12"/>
  <c r="O92" i="12"/>
  <c r="M92" i="12"/>
  <c r="AC103" i="5"/>
  <c r="Z103" i="5"/>
  <c r="AM103" i="5"/>
  <c r="R56" i="8"/>
  <c r="L103" i="5"/>
  <c r="I103" i="12"/>
  <c r="AB74" i="5"/>
  <c r="AA74" i="5"/>
  <c r="AB109" i="5"/>
  <c r="AA109" i="5"/>
  <c r="AO38" i="12"/>
  <c r="Y38" i="12" s="1"/>
  <c r="C38" i="12"/>
  <c r="M38" i="12"/>
  <c r="O38" i="12"/>
  <c r="C65" i="6"/>
  <c r="O65" i="5"/>
  <c r="AB60" i="5"/>
  <c r="AA60" i="5"/>
  <c r="AO37" i="12"/>
  <c r="M37" i="12"/>
  <c r="O37" i="12"/>
  <c r="N37" i="12" s="1"/>
  <c r="C37" i="12"/>
  <c r="AB97" i="5"/>
  <c r="AA97" i="5"/>
  <c r="C47" i="6"/>
  <c r="O47" i="5"/>
  <c r="AB29" i="5"/>
  <c r="AA29" i="5"/>
  <c r="AO86" i="12"/>
  <c r="Y86" i="12" s="1"/>
  <c r="M86" i="12"/>
  <c r="C86" i="12"/>
  <c r="O86" i="12"/>
  <c r="AB102" i="5"/>
  <c r="AA102" i="5"/>
  <c r="C88" i="12"/>
  <c r="O88" i="12"/>
  <c r="AO88" i="12"/>
  <c r="Y88" i="12" s="1"/>
  <c r="M88" i="12"/>
  <c r="AO64" i="12"/>
  <c r="Y64" i="12" s="1"/>
  <c r="O64" i="12"/>
  <c r="M64" i="12"/>
  <c r="C64" i="12"/>
  <c r="C70" i="6"/>
  <c r="O70" i="5"/>
  <c r="AB20" i="5"/>
  <c r="AA20" i="5"/>
  <c r="O31" i="5"/>
  <c r="C31" i="6"/>
  <c r="AB25" i="5"/>
  <c r="AA25" i="5"/>
  <c r="O94" i="12"/>
  <c r="N94" i="12" s="1"/>
  <c r="M94" i="12"/>
  <c r="AO94" i="12"/>
  <c r="C94" i="12"/>
  <c r="AB39" i="5"/>
  <c r="AA39" i="5"/>
  <c r="C41" i="6"/>
  <c r="O41" i="5"/>
  <c r="C77" i="6"/>
  <c r="O77" i="5"/>
  <c r="O18" i="5"/>
  <c r="C18" i="6"/>
  <c r="C71" i="6"/>
  <c r="O71" i="5"/>
  <c r="AB83" i="5"/>
  <c r="AA83" i="5"/>
  <c r="C75" i="6"/>
  <c r="O75" i="5"/>
  <c r="C19" i="12"/>
  <c r="M19" i="12"/>
  <c r="O19" i="12"/>
  <c r="N19" i="12" s="1"/>
  <c r="AO19" i="12"/>
  <c r="O56" i="5"/>
  <c r="C56" i="6"/>
  <c r="AB87" i="5"/>
  <c r="AA87" i="5"/>
  <c r="C55" i="6"/>
  <c r="O55" i="5"/>
  <c r="C107" i="6"/>
  <c r="O107" i="5"/>
  <c r="O43" i="5"/>
  <c r="C43" i="6"/>
  <c r="AO110" i="12"/>
  <c r="Y110" i="12" s="1"/>
  <c r="O110" i="12"/>
  <c r="C110" i="12"/>
  <c r="M110" i="12"/>
  <c r="AB99" i="5"/>
  <c r="AA99" i="5"/>
  <c r="AB76" i="5"/>
  <c r="AA76" i="5"/>
  <c r="AB117" i="5"/>
  <c r="AA117" i="5"/>
  <c r="C67" i="12"/>
  <c r="AO67" i="12"/>
  <c r="M67" i="12"/>
  <c r="M66" i="12" s="1"/>
  <c r="O67" i="12"/>
  <c r="M114" i="12"/>
  <c r="O114" i="12"/>
  <c r="AO114" i="12"/>
  <c r="Y114" i="12" s="1"/>
  <c r="C114" i="12"/>
  <c r="AO27" i="12"/>
  <c r="O27" i="12"/>
  <c r="N27" i="12" s="1"/>
  <c r="C27" i="12"/>
  <c r="M27" i="12"/>
  <c r="C63" i="12"/>
  <c r="AO63" i="12"/>
  <c r="Y63" i="12" s="1"/>
  <c r="M63" i="12"/>
  <c r="O63" i="12"/>
  <c r="AB100" i="5"/>
  <c r="AA100" i="5"/>
  <c r="M93" i="12"/>
  <c r="AO93" i="12"/>
  <c r="C93" i="12"/>
  <c r="O93" i="12"/>
  <c r="AB113" i="5"/>
  <c r="AA113" i="5"/>
  <c r="AB46" i="5"/>
  <c r="AA46" i="5"/>
  <c r="AM53" i="5"/>
  <c r="I53" i="12"/>
  <c r="AC53" i="5"/>
  <c r="L53" i="5"/>
  <c r="R32" i="8"/>
  <c r="Z53" i="5"/>
  <c r="O95" i="5"/>
  <c r="C95" i="6"/>
  <c r="M40" i="12"/>
  <c r="C40" i="12"/>
  <c r="AO40" i="12"/>
  <c r="Y40" i="12" s="1"/>
  <c r="O40" i="12"/>
  <c r="AB69" i="5"/>
  <c r="AA69" i="5"/>
  <c r="AO51" i="12"/>
  <c r="M51" i="12"/>
  <c r="O51" i="12"/>
  <c r="C51" i="12"/>
  <c r="C116" i="6"/>
  <c r="O116" i="5"/>
  <c r="M48" i="12"/>
  <c r="AO48" i="12"/>
  <c r="C48" i="12"/>
  <c r="O48" i="12"/>
  <c r="AB84" i="5"/>
  <c r="AA84" i="5"/>
  <c r="C44" i="6"/>
  <c r="O44" i="5"/>
  <c r="AB101" i="5"/>
  <c r="AA101" i="5"/>
  <c r="AB32" i="5"/>
  <c r="AA32" i="5"/>
  <c r="O81" i="5"/>
  <c r="C81" i="6"/>
  <c r="D21" i="12"/>
  <c r="E21" i="6"/>
  <c r="C118" i="6"/>
  <c r="O118" i="5"/>
  <c r="C82" i="6"/>
  <c r="O82" i="5"/>
  <c r="O36" i="5"/>
  <c r="C36" i="6"/>
  <c r="C26" i="6"/>
  <c r="O26" i="5"/>
  <c r="C108" i="6"/>
  <c r="O108" i="5"/>
  <c r="AB85" i="5"/>
  <c r="AA85" i="5"/>
  <c r="AB92" i="5"/>
  <c r="AA92" i="5"/>
  <c r="AB119" i="5"/>
  <c r="AA119" i="5"/>
  <c r="C74" i="6"/>
  <c r="O74" i="5"/>
  <c r="AO30" i="12"/>
  <c r="M30" i="12"/>
  <c r="O30" i="12"/>
  <c r="N30" i="12" s="1"/>
  <c r="C30" i="12"/>
  <c r="C38" i="6"/>
  <c r="O38" i="5"/>
  <c r="AB65" i="5"/>
  <c r="AA65" i="5"/>
  <c r="O60" i="5"/>
  <c r="C60" i="6"/>
  <c r="AB37" i="5"/>
  <c r="AA37" i="5"/>
  <c r="C29" i="6"/>
  <c r="O29" i="5"/>
  <c r="AM28" i="5"/>
  <c r="AC28" i="5"/>
  <c r="L28" i="5"/>
  <c r="I28" i="12"/>
  <c r="R23" i="8"/>
  <c r="Z28" i="5"/>
  <c r="AB49" i="5"/>
  <c r="AA49" i="5"/>
  <c r="C24" i="6"/>
  <c r="O24" i="5"/>
  <c r="C24" i="12"/>
  <c r="M24" i="12"/>
  <c r="AO24" i="12"/>
  <c r="Y24" i="12" s="1"/>
  <c r="O24" i="12"/>
  <c r="O86" i="5"/>
  <c r="C86" i="6"/>
  <c r="C64" i="6"/>
  <c r="O64" i="5"/>
  <c r="C20" i="6"/>
  <c r="O20" i="5"/>
  <c r="AB23" i="5"/>
  <c r="AA23" i="5"/>
  <c r="AB41" i="5"/>
  <c r="AA41" i="5"/>
  <c r="AO77" i="12"/>
  <c r="Y77" i="12" s="1"/>
  <c r="O77" i="12"/>
  <c r="C77" i="12"/>
  <c r="M77" i="12"/>
  <c r="O18" i="12"/>
  <c r="C18" i="12"/>
  <c r="AO18" i="12"/>
  <c r="M18" i="12"/>
  <c r="AM17" i="5"/>
  <c r="L17" i="5"/>
  <c r="I17" i="12"/>
  <c r="Z17" i="5"/>
  <c r="R17" i="8"/>
  <c r="AC17" i="5"/>
  <c r="C83" i="12"/>
  <c r="O83" i="12"/>
  <c r="AO83" i="12"/>
  <c r="Y83" i="12" s="1"/>
  <c r="M83" i="12"/>
  <c r="O75" i="12"/>
  <c r="C75" i="12"/>
  <c r="AO75" i="12"/>
  <c r="M75" i="12"/>
  <c r="AB19" i="5"/>
  <c r="AA19" i="5"/>
  <c r="C111" i="6"/>
  <c r="O111" i="5"/>
  <c r="C56" i="12"/>
  <c r="AO56" i="12"/>
  <c r="M56" i="12"/>
  <c r="O56" i="12"/>
  <c r="C87" i="6"/>
  <c r="O87" i="5"/>
  <c r="AB107" i="5"/>
  <c r="AA107" i="5"/>
  <c r="C78" i="6"/>
  <c r="O78" i="5"/>
  <c r="M43" i="12"/>
  <c r="O43" i="12"/>
  <c r="AO43" i="12"/>
  <c r="C43" i="12"/>
  <c r="AB110" i="5"/>
  <c r="AA110" i="5"/>
  <c r="M99" i="12"/>
  <c r="O99" i="12"/>
  <c r="AO99" i="12"/>
  <c r="Y99" i="12" s="1"/>
  <c r="C99" i="12"/>
  <c r="AO76" i="12"/>
  <c r="C76" i="12"/>
  <c r="M76" i="12"/>
  <c r="O76" i="12"/>
  <c r="C117" i="6"/>
  <c r="O117" i="5"/>
  <c r="AB105" i="5"/>
  <c r="AA105" i="5"/>
  <c r="Z66" i="5"/>
  <c r="L66" i="5"/>
  <c r="AC66" i="5"/>
  <c r="R41" i="8"/>
  <c r="I66" i="12"/>
  <c r="AM66" i="5"/>
  <c r="O67" i="5"/>
  <c r="C67" i="6"/>
  <c r="C89" i="6"/>
  <c r="O89" i="5"/>
  <c r="C33" i="12"/>
  <c r="M33" i="12"/>
  <c r="O33" i="12"/>
  <c r="AO33" i="12"/>
  <c r="AB114" i="5"/>
  <c r="AA114" i="5"/>
  <c r="AB98" i="5"/>
  <c r="AA98" i="5"/>
  <c r="AB27" i="5"/>
  <c r="AA27" i="5"/>
  <c r="C63" i="6"/>
  <c r="O63" i="5"/>
  <c r="AO100" i="12"/>
  <c r="C100" i="12"/>
  <c r="O100" i="12"/>
  <c r="N100" i="12" s="1"/>
  <c r="M100" i="12"/>
  <c r="AB64" i="5"/>
  <c r="AA64" i="5"/>
  <c r="AB70" i="5"/>
  <c r="AA70" i="5"/>
  <c r="M31" i="12"/>
  <c r="O31" i="12"/>
  <c r="C31" i="12"/>
  <c r="AO31" i="12"/>
  <c r="I22" i="12"/>
  <c r="Z22" i="5"/>
  <c r="AM22" i="5"/>
  <c r="L22" i="5"/>
  <c r="R20" i="8"/>
  <c r="AC22" i="5"/>
  <c r="C25" i="6"/>
  <c r="O25" i="5"/>
  <c r="AB94" i="5"/>
  <c r="AA94" i="5"/>
  <c r="C39" i="6"/>
  <c r="O39" i="5"/>
  <c r="S73" i="10"/>
  <c r="Z15" i="5"/>
  <c r="W73" i="10"/>
  <c r="K73" i="10"/>
  <c r="AE73" i="10"/>
  <c r="AA73" i="10"/>
  <c r="I73" i="10"/>
  <c r="Q73" i="10"/>
  <c r="U73" i="10"/>
  <c r="AM15" i="5"/>
  <c r="AC73" i="10"/>
  <c r="M73" i="10"/>
  <c r="O73" i="10"/>
  <c r="Y73" i="10"/>
  <c r="AB71" i="5"/>
  <c r="AA71" i="5"/>
  <c r="O19" i="5"/>
  <c r="C19" i="6"/>
  <c r="C111" i="12"/>
  <c r="AO111" i="12"/>
  <c r="Y111" i="12" s="1"/>
  <c r="M111" i="12"/>
  <c r="O111" i="12"/>
  <c r="AB56" i="5"/>
  <c r="AA56" i="5"/>
  <c r="M55" i="12"/>
  <c r="AO55" i="12"/>
  <c r="O55" i="12"/>
  <c r="C55" i="12"/>
  <c r="C107" i="12"/>
  <c r="O107" i="12"/>
  <c r="M107" i="12"/>
  <c r="AO107" i="12"/>
  <c r="Y107" i="12" s="1"/>
  <c r="AO78" i="12"/>
  <c r="Y78" i="12" s="1"/>
  <c r="O78" i="12"/>
  <c r="M78" i="12"/>
  <c r="C78" i="12"/>
  <c r="C99" i="6"/>
  <c r="O99" i="5"/>
  <c r="AO105" i="12"/>
  <c r="Y105" i="12" s="1"/>
  <c r="O105" i="12"/>
  <c r="M105" i="12"/>
  <c r="C105" i="12"/>
  <c r="AB67" i="5"/>
  <c r="AB66" i="5" s="1"/>
  <c r="AA67" i="5"/>
  <c r="AA66" i="5" s="1"/>
  <c r="B41" i="8" s="1"/>
  <c r="C45" i="6"/>
  <c r="O45" i="5"/>
  <c r="AB89" i="5"/>
  <c r="AA89" i="5"/>
  <c r="AB33" i="5"/>
  <c r="AA33" i="5"/>
  <c r="C114" i="6"/>
  <c r="O114" i="5"/>
  <c r="O98" i="12"/>
  <c r="N98" i="12" s="1"/>
  <c r="AO98" i="12"/>
  <c r="C98" i="12"/>
  <c r="M98" i="12"/>
  <c r="AB63" i="5"/>
  <c r="AA63" i="5"/>
  <c r="AB93" i="5"/>
  <c r="AA93" i="5"/>
  <c r="AO113" i="12"/>
  <c r="Y113" i="12" s="1"/>
  <c r="C113" i="12"/>
  <c r="O113" i="12"/>
  <c r="N113" i="12" s="1"/>
  <c r="M113" i="12"/>
  <c r="AB54" i="5"/>
  <c r="AB53" i="5" s="1"/>
  <c r="C32" i="8" s="1"/>
  <c r="AA54" i="5"/>
  <c r="O54" i="5"/>
  <c r="C54" i="6"/>
  <c r="C40" i="6"/>
  <c r="O40" i="5"/>
  <c r="C69" i="6"/>
  <c r="O69" i="5"/>
  <c r="AB106" i="5"/>
  <c r="AA106" i="5"/>
  <c r="C96" i="6"/>
  <c r="O96" i="5"/>
  <c r="AO80" i="12"/>
  <c r="M80" i="12"/>
  <c r="C80" i="12"/>
  <c r="O80" i="12"/>
  <c r="AO58" i="12"/>
  <c r="O58" i="12"/>
  <c r="M58" i="12"/>
  <c r="C58" i="12"/>
  <c r="M115" i="12"/>
  <c r="AO115" i="12"/>
  <c r="C115" i="12"/>
  <c r="O115" i="12"/>
  <c r="AB35" i="5"/>
  <c r="AA35" i="5"/>
  <c r="AB48" i="5"/>
  <c r="AA48" i="5"/>
  <c r="AB34" i="5"/>
  <c r="AA34" i="5"/>
  <c r="C90" i="12"/>
  <c r="M90" i="12"/>
  <c r="AO90" i="12"/>
  <c r="Y90" i="12" s="1"/>
  <c r="O90" i="12"/>
  <c r="C59" i="6"/>
  <c r="O59" i="5"/>
  <c r="C73" i="6"/>
  <c r="O73" i="5"/>
  <c r="AO44" i="12"/>
  <c r="C44" i="12"/>
  <c r="O44" i="12"/>
  <c r="N44" i="12" s="1"/>
  <c r="M44" i="12"/>
  <c r="C101" i="12"/>
  <c r="M101" i="12"/>
  <c r="O101" i="12"/>
  <c r="N101" i="12" s="1"/>
  <c r="AO101" i="12"/>
  <c r="O32" i="5"/>
  <c r="C32" i="6"/>
  <c r="C81" i="12"/>
  <c r="AO81" i="12"/>
  <c r="M81" i="12"/>
  <c r="O81" i="12"/>
  <c r="C62" i="6"/>
  <c r="O62" i="5"/>
  <c r="AB112" i="5"/>
  <c r="AA112" i="5"/>
  <c r="AB52" i="5"/>
  <c r="AA52" i="5"/>
  <c r="AB108" i="5"/>
  <c r="AA108" i="5"/>
  <c r="C85" i="12"/>
  <c r="AO85" i="12"/>
  <c r="O85" i="12"/>
  <c r="N85" i="12" s="1"/>
  <c r="M85" i="12"/>
  <c r="C104" i="6"/>
  <c r="O104" i="5"/>
  <c r="AB104" i="5"/>
  <c r="AA104" i="5"/>
  <c r="O109" i="12"/>
  <c r="N109" i="12" s="1"/>
  <c r="AO109" i="12"/>
  <c r="C109" i="12"/>
  <c r="M109" i="12"/>
  <c r="AB30" i="5"/>
  <c r="AA30" i="5"/>
  <c r="AB38" i="5"/>
  <c r="AA38" i="5"/>
  <c r="O65" i="12"/>
  <c r="N65" i="12" s="1"/>
  <c r="AO65" i="12"/>
  <c r="C65" i="12"/>
  <c r="M65" i="12"/>
  <c r="C37" i="6"/>
  <c r="O37" i="5"/>
  <c r="C97" i="12"/>
  <c r="M97" i="12"/>
  <c r="AO97" i="12"/>
  <c r="Y97" i="12" s="1"/>
  <c r="O97" i="12"/>
  <c r="AO47" i="12"/>
  <c r="Y47" i="12" s="1"/>
  <c r="O47" i="12"/>
  <c r="M47" i="12"/>
  <c r="C47" i="12"/>
  <c r="O29" i="12"/>
  <c r="AO29" i="12"/>
  <c r="M29" i="12"/>
  <c r="C29" i="12"/>
  <c r="O49" i="5"/>
  <c r="C49" i="6"/>
  <c r="AB86" i="5"/>
  <c r="AA86" i="5"/>
  <c r="M102" i="12"/>
  <c r="AO102" i="12"/>
  <c r="O102" i="12"/>
  <c r="N102" i="12" s="1"/>
  <c r="C102" i="12"/>
  <c r="C88" i="6"/>
  <c r="O88" i="5"/>
  <c r="R14" i="8"/>
  <c r="I16" i="12"/>
  <c r="L16" i="5"/>
  <c r="Z16" i="5"/>
  <c r="AM16" i="5"/>
  <c r="O14" i="11"/>
  <c r="AC16" i="5"/>
  <c r="C102" i="6"/>
  <c r="O102" i="5"/>
  <c r="M70" i="12"/>
  <c r="AO70" i="12"/>
  <c r="C70" i="12"/>
  <c r="O70" i="12"/>
  <c r="N70" i="12" s="1"/>
  <c r="AO20" i="12"/>
  <c r="C20" i="12"/>
  <c r="M20" i="12"/>
  <c r="O20" i="12"/>
  <c r="N20" i="12" s="1"/>
  <c r="AB31" i="5"/>
  <c r="AA31" i="5"/>
  <c r="AO23" i="12"/>
  <c r="O23" i="12"/>
  <c r="C23" i="12"/>
  <c r="M23" i="12"/>
  <c r="O23" i="5"/>
  <c r="C23" i="6"/>
  <c r="M25" i="12"/>
  <c r="C25" i="12"/>
  <c r="O25" i="12"/>
  <c r="N25" i="12" s="1"/>
  <c r="AO25" i="12"/>
  <c r="Y25" i="12" s="1"/>
  <c r="O94" i="5"/>
  <c r="C94" i="6"/>
  <c r="C39" i="12"/>
  <c r="O39" i="12"/>
  <c r="AO39" i="12"/>
  <c r="M39" i="12"/>
  <c r="AO41" i="12"/>
  <c r="O41" i="12"/>
  <c r="C41" i="12"/>
  <c r="M41" i="12"/>
  <c r="AB77" i="5"/>
  <c r="AA77" i="5"/>
  <c r="AB18" i="5"/>
  <c r="AA18" i="5"/>
  <c r="AO71" i="12"/>
  <c r="Y71" i="12" s="1"/>
  <c r="M71" i="12"/>
  <c r="O71" i="12"/>
  <c r="C71" i="12"/>
  <c r="O83" i="5"/>
  <c r="C83" i="6"/>
  <c r="AB75" i="5"/>
  <c r="AA75" i="5"/>
  <c r="AB111" i="5"/>
  <c r="AA111" i="5"/>
  <c r="C87" i="12"/>
  <c r="AO87" i="12"/>
  <c r="Y87" i="12" s="1"/>
  <c r="O87" i="12"/>
  <c r="M87" i="12"/>
  <c r="AB55" i="5"/>
  <c r="AA55" i="5"/>
  <c r="AB78" i="5"/>
  <c r="AA78" i="5"/>
  <c r="L42" i="5"/>
  <c r="Z42" i="5"/>
  <c r="AM42" i="5"/>
  <c r="AC42" i="5"/>
  <c r="R26" i="8"/>
  <c r="I42" i="12"/>
  <c r="AB43" i="5"/>
  <c r="AA43" i="5"/>
  <c r="C110" i="6"/>
  <c r="O110" i="5"/>
  <c r="O76" i="5"/>
  <c r="C76" i="6"/>
  <c r="O117" i="12"/>
  <c r="C117" i="12"/>
  <c r="M117" i="12"/>
  <c r="AO117" i="12"/>
  <c r="Y117" i="12" s="1"/>
  <c r="C105" i="6"/>
  <c r="O105" i="5"/>
  <c r="C45" i="12"/>
  <c r="M45" i="12"/>
  <c r="AO45" i="12"/>
  <c r="O45" i="12"/>
  <c r="AB45" i="5"/>
  <c r="AA45" i="5"/>
  <c r="O89" i="12"/>
  <c r="M89" i="12"/>
  <c r="C89" i="12"/>
  <c r="AO89" i="12"/>
  <c r="Y89" i="12" s="1"/>
  <c r="O33" i="5"/>
  <c r="C33" i="6"/>
  <c r="O98" i="5"/>
  <c r="C98" i="6"/>
  <c r="O100" i="5"/>
  <c r="C100" i="6"/>
  <c r="C46" i="6"/>
  <c r="O46" i="5"/>
  <c r="M54" i="12"/>
  <c r="AO54" i="12"/>
  <c r="O54" i="12"/>
  <c r="C54" i="12"/>
  <c r="AB95" i="5"/>
  <c r="AA95" i="5"/>
  <c r="AB40" i="5"/>
  <c r="AA40" i="5"/>
  <c r="AO69" i="12"/>
  <c r="M69" i="12"/>
  <c r="O69" i="12"/>
  <c r="C69" i="12"/>
  <c r="C96" i="12"/>
  <c r="M96" i="12"/>
  <c r="AO96" i="12"/>
  <c r="O96" i="12"/>
  <c r="N96" i="12" s="1"/>
  <c r="AB80" i="5"/>
  <c r="AA80" i="5"/>
  <c r="O51" i="5"/>
  <c r="C51" i="6"/>
  <c r="AB51" i="5"/>
  <c r="AA51" i="5"/>
  <c r="AA50" i="5" s="1"/>
  <c r="B29" i="8" s="1"/>
  <c r="C116" i="12"/>
  <c r="M116" i="12"/>
  <c r="AO116" i="12"/>
  <c r="O116" i="12"/>
  <c r="AB58" i="5"/>
  <c r="AA58" i="5"/>
  <c r="AA57" i="5" s="1"/>
  <c r="B35" i="8" s="1"/>
  <c r="C35" i="12"/>
  <c r="O35" i="12"/>
  <c r="AO35" i="12"/>
  <c r="M35" i="12"/>
  <c r="C48" i="6"/>
  <c r="O48" i="5"/>
  <c r="AO84" i="12"/>
  <c r="Y84" i="12" s="1"/>
  <c r="C84" i="12"/>
  <c r="O84" i="12"/>
  <c r="M84" i="12"/>
  <c r="C34" i="6"/>
  <c r="O34" i="5"/>
  <c r="C73" i="12"/>
  <c r="M73" i="12"/>
  <c r="AO73" i="12"/>
  <c r="O73" i="12"/>
  <c r="AB73" i="5"/>
  <c r="AA73" i="5"/>
  <c r="C101" i="6"/>
  <c r="O101" i="5"/>
  <c r="AB21" i="5"/>
  <c r="AA21" i="5"/>
  <c r="C82" i="12"/>
  <c r="AO82" i="12"/>
  <c r="M82" i="12"/>
  <c r="O82" i="12"/>
  <c r="N82" i="12" s="1"/>
  <c r="M36" i="12"/>
  <c r="O36" i="12"/>
  <c r="N36" i="12" s="1"/>
  <c r="C36" i="12"/>
  <c r="AO36" i="12"/>
  <c r="C112" i="12"/>
  <c r="O112" i="12"/>
  <c r="N112" i="12" s="1"/>
  <c r="M112" i="12"/>
  <c r="AO112" i="12"/>
  <c r="AB26" i="5"/>
  <c r="AA26" i="5"/>
  <c r="O52" i="5"/>
  <c r="C52" i="6"/>
  <c r="C92" i="6"/>
  <c r="O92" i="5"/>
  <c r="L91" i="5"/>
  <c r="Z91" i="5"/>
  <c r="R53" i="8"/>
  <c r="AM91" i="5"/>
  <c r="AC91" i="5"/>
  <c r="I91" i="12"/>
  <c r="O104" i="12"/>
  <c r="C104" i="12"/>
  <c r="AO104" i="12"/>
  <c r="M104" i="12"/>
  <c r="O119" i="12"/>
  <c r="M119" i="12"/>
  <c r="AO119" i="12"/>
  <c r="C119" i="12"/>
  <c r="AO74" i="12"/>
  <c r="Y74" i="12" s="1"/>
  <c r="C74" i="12"/>
  <c r="O74" i="12"/>
  <c r="M74" i="12"/>
  <c r="C109" i="6"/>
  <c r="O109" i="5"/>
  <c r="O30" i="5"/>
  <c r="C30" i="6"/>
  <c r="O60" i="12"/>
  <c r="N60" i="12" s="1"/>
  <c r="AO60" i="12"/>
  <c r="Y60" i="12" s="1"/>
  <c r="M60" i="12"/>
  <c r="C60" i="12"/>
  <c r="C97" i="6"/>
  <c r="O97" i="5"/>
  <c r="AB47" i="5"/>
  <c r="AA47" i="5"/>
  <c r="C49" i="12"/>
  <c r="AO49" i="12"/>
  <c r="M49" i="12"/>
  <c r="O49" i="12"/>
  <c r="N49" i="12" s="1"/>
  <c r="AB24" i="5"/>
  <c r="AA24" i="5"/>
  <c r="AB88" i="5"/>
  <c r="AA88" i="5"/>
  <c r="AB57" i="5" l="1"/>
  <c r="C35" i="8" s="1"/>
  <c r="Y31" i="12"/>
  <c r="Y56" i="12"/>
  <c r="N83" i="12"/>
  <c r="Y34" i="12"/>
  <c r="N59" i="12"/>
  <c r="N106" i="12"/>
  <c r="AA72" i="5"/>
  <c r="B47" i="8" s="1"/>
  <c r="N45" i="12"/>
  <c r="M57" i="12"/>
  <c r="N33" i="12"/>
  <c r="Y76" i="12"/>
  <c r="W76" i="12" s="1"/>
  <c r="N75" i="12"/>
  <c r="Y30" i="12"/>
  <c r="Y27" i="12"/>
  <c r="Y94" i="12"/>
  <c r="X94" i="12" s="1"/>
  <c r="N108" i="12"/>
  <c r="Y26" i="12"/>
  <c r="N95" i="12"/>
  <c r="N21" i="12"/>
  <c r="M103" i="12"/>
  <c r="Y112" i="12"/>
  <c r="Y36" i="12"/>
  <c r="N35" i="12"/>
  <c r="N116" i="12"/>
  <c r="M68" i="12"/>
  <c r="AB103" i="5"/>
  <c r="Y46" i="12"/>
  <c r="X46" i="12" s="1"/>
  <c r="L91" i="12"/>
  <c r="C91" i="12"/>
  <c r="J91" i="12"/>
  <c r="D97" i="12"/>
  <c r="E97" i="6"/>
  <c r="D109" i="12"/>
  <c r="E109" i="6"/>
  <c r="D101" i="12"/>
  <c r="E101" i="6"/>
  <c r="O72" i="12"/>
  <c r="N73" i="12"/>
  <c r="D34" i="12"/>
  <c r="E34" i="6"/>
  <c r="N39" i="12"/>
  <c r="N23" i="12"/>
  <c r="O22" i="12"/>
  <c r="M28" i="12"/>
  <c r="W97" i="12"/>
  <c r="X97" i="12"/>
  <c r="W90" i="12"/>
  <c r="X90" i="12"/>
  <c r="AO57" i="12"/>
  <c r="Y58" i="12"/>
  <c r="Y80" i="12"/>
  <c r="AO79" i="12"/>
  <c r="X113" i="12"/>
  <c r="W113" i="12"/>
  <c r="W78" i="12"/>
  <c r="X78" i="12"/>
  <c r="E19" i="6"/>
  <c r="D19" i="12"/>
  <c r="U71" i="10"/>
  <c r="U70" i="10" s="1"/>
  <c r="U72" i="10"/>
  <c r="S71" i="10"/>
  <c r="S70" i="10" s="1"/>
  <c r="S72" i="10"/>
  <c r="C22" i="12"/>
  <c r="L22" i="12"/>
  <c r="K22" i="12" s="1"/>
  <c r="J22" i="12"/>
  <c r="AB22" i="5"/>
  <c r="X74" i="12"/>
  <c r="W74" i="12"/>
  <c r="N119" i="12"/>
  <c r="O103" i="12"/>
  <c r="N103" i="12" s="1"/>
  <c r="N104" i="12"/>
  <c r="F53" i="8"/>
  <c r="AE55" i="8"/>
  <c r="AE53" i="8" s="1"/>
  <c r="Z55" i="8"/>
  <c r="Z53" i="8" s="1"/>
  <c r="AA55" i="8"/>
  <c r="AA53" i="8" s="1"/>
  <c r="G54" i="8"/>
  <c r="T55" i="8"/>
  <c r="T53" i="8" s="1"/>
  <c r="AC55" i="8"/>
  <c r="AC53" i="8" s="1"/>
  <c r="D55" i="8"/>
  <c r="D53" i="8" s="1"/>
  <c r="Y55" i="8"/>
  <c r="Y53" i="8" s="1"/>
  <c r="V55" i="8"/>
  <c r="V53" i="8" s="1"/>
  <c r="AD55" i="8"/>
  <c r="AD53" i="8" s="1"/>
  <c r="U55" i="8"/>
  <c r="U53" i="8" s="1"/>
  <c r="X55" i="8"/>
  <c r="X53" i="8" s="1"/>
  <c r="F54" i="8"/>
  <c r="W55" i="8"/>
  <c r="W53" i="8" s="1"/>
  <c r="AB55" i="8"/>
  <c r="AB53" i="8" s="1"/>
  <c r="G53" i="8"/>
  <c r="I54" i="8" s="1"/>
  <c r="AO72" i="12"/>
  <c r="Y72" i="12" s="1"/>
  <c r="Y73" i="12"/>
  <c r="X84" i="12"/>
  <c r="W84" i="12"/>
  <c r="Y35" i="12"/>
  <c r="D51" i="12"/>
  <c r="E51" i="6"/>
  <c r="Y96" i="12"/>
  <c r="O68" i="12"/>
  <c r="N68" i="12" s="1"/>
  <c r="N69" i="12"/>
  <c r="N54" i="12"/>
  <c r="O53" i="12"/>
  <c r="E98" i="6"/>
  <c r="D98" i="12"/>
  <c r="E76" i="6"/>
  <c r="D76" i="12"/>
  <c r="AB42" i="5"/>
  <c r="AB15" i="11" s="1"/>
  <c r="N87" i="12"/>
  <c r="E83" i="6"/>
  <c r="D83" i="12"/>
  <c r="X71" i="12"/>
  <c r="W71" i="12"/>
  <c r="Y41" i="12"/>
  <c r="E23" i="6"/>
  <c r="D23" i="12"/>
  <c r="Y23" i="12"/>
  <c r="AO22" i="12"/>
  <c r="Y22" i="12" s="1"/>
  <c r="E88" i="6"/>
  <c r="D88" i="12"/>
  <c r="Y102" i="12"/>
  <c r="Y29" i="12"/>
  <c r="AO28" i="12"/>
  <c r="N47" i="12"/>
  <c r="N81" i="12"/>
  <c r="E59" i="6"/>
  <c r="D59" i="12"/>
  <c r="N115" i="12"/>
  <c r="O79" i="12"/>
  <c r="N80" i="12"/>
  <c r="E96" i="6"/>
  <c r="D96" i="12"/>
  <c r="E69" i="6"/>
  <c r="D69" i="12"/>
  <c r="D114" i="12"/>
  <c r="E114" i="6"/>
  <c r="N105" i="12"/>
  <c r="X107" i="12"/>
  <c r="W107" i="12"/>
  <c r="W111" i="12"/>
  <c r="X111" i="12"/>
  <c r="M72" i="10"/>
  <c r="M71" i="10"/>
  <c r="M70" i="10" s="1"/>
  <c r="Q72" i="10"/>
  <c r="Q71" i="10"/>
  <c r="Q70" i="10" s="1"/>
  <c r="K71" i="10"/>
  <c r="K70" i="10" s="1"/>
  <c r="K72" i="10"/>
  <c r="E39" i="6"/>
  <c r="D39" i="12"/>
  <c r="D25" i="12"/>
  <c r="E25" i="6"/>
  <c r="O22" i="5"/>
  <c r="C22" i="6"/>
  <c r="X31" i="12"/>
  <c r="W31" i="12"/>
  <c r="D63" i="12"/>
  <c r="E63" i="6"/>
  <c r="Y33" i="12"/>
  <c r="D89" i="12"/>
  <c r="E89" i="6"/>
  <c r="O66" i="5"/>
  <c r="C66" i="6"/>
  <c r="D117" i="12"/>
  <c r="E117" i="6"/>
  <c r="N99" i="12"/>
  <c r="D78" i="12"/>
  <c r="E78" i="6"/>
  <c r="D87" i="12"/>
  <c r="E87" i="6"/>
  <c r="W56" i="12"/>
  <c r="X56" i="12"/>
  <c r="M17" i="12"/>
  <c r="M16" i="12"/>
  <c r="D20" i="12"/>
  <c r="E20" i="6"/>
  <c r="M22" i="12"/>
  <c r="L28" i="12"/>
  <c r="J28" i="12"/>
  <c r="C28" i="12"/>
  <c r="E29" i="6"/>
  <c r="D29" i="12"/>
  <c r="E38" i="6"/>
  <c r="D38" i="12"/>
  <c r="E26" i="6"/>
  <c r="D26" i="12"/>
  <c r="D82" i="12"/>
  <c r="E82" i="6"/>
  <c r="D44" i="12"/>
  <c r="E44" i="6"/>
  <c r="N48" i="12"/>
  <c r="E116" i="6"/>
  <c r="D116" i="12"/>
  <c r="M50" i="12"/>
  <c r="N40" i="12"/>
  <c r="C53" i="6"/>
  <c r="O53" i="5"/>
  <c r="N93" i="12"/>
  <c r="W63" i="12"/>
  <c r="X63" i="12"/>
  <c r="N114" i="12"/>
  <c r="Y67" i="12"/>
  <c r="AO66" i="12"/>
  <c r="D55" i="12"/>
  <c r="E55" i="6"/>
  <c r="D41" i="12"/>
  <c r="E41" i="6"/>
  <c r="D47" i="12"/>
  <c r="E47" i="6"/>
  <c r="N38" i="12"/>
  <c r="J103" i="12"/>
  <c r="L103" i="12"/>
  <c r="C103" i="12"/>
  <c r="AO91" i="12"/>
  <c r="Y92" i="12"/>
  <c r="N52" i="12"/>
  <c r="E112" i="6"/>
  <c r="D112" i="12"/>
  <c r="W32" i="12"/>
  <c r="X32" i="12"/>
  <c r="AD49" i="8"/>
  <c r="AD47" i="8" s="1"/>
  <c r="Z49" i="8"/>
  <c r="Z47" i="8" s="1"/>
  <c r="D49" i="8"/>
  <c r="D47" i="8" s="1"/>
  <c r="T49" i="8"/>
  <c r="T47" i="8" s="1"/>
  <c r="Y49" i="8"/>
  <c r="Y47" i="8" s="1"/>
  <c r="W49" i="8"/>
  <c r="W47" i="8" s="1"/>
  <c r="G48" i="8"/>
  <c r="AB49" i="8"/>
  <c r="AB47" i="8" s="1"/>
  <c r="AC49" i="8"/>
  <c r="AC47" i="8" s="1"/>
  <c r="X49" i="8"/>
  <c r="X47" i="8" s="1"/>
  <c r="F48" i="8"/>
  <c r="F47" i="8"/>
  <c r="U49" i="8"/>
  <c r="U47" i="8" s="1"/>
  <c r="AE49" i="8"/>
  <c r="AE47" i="8" s="1"/>
  <c r="AA49" i="8"/>
  <c r="AA47" i="8" s="1"/>
  <c r="V49" i="8"/>
  <c r="V47" i="8" s="1"/>
  <c r="G47" i="8"/>
  <c r="I48" i="8" s="1"/>
  <c r="D90" i="12"/>
  <c r="E90" i="6"/>
  <c r="W34" i="12"/>
  <c r="X34" i="12"/>
  <c r="E35" i="6"/>
  <c r="D35" i="12"/>
  <c r="C57" i="12"/>
  <c r="L57" i="12"/>
  <c r="J57" i="12"/>
  <c r="X37" i="8"/>
  <c r="AB37" i="8"/>
  <c r="V37" i="8"/>
  <c r="D37" i="8"/>
  <c r="Y37" i="8"/>
  <c r="AD37" i="8"/>
  <c r="U37" i="8"/>
  <c r="Z37" i="8"/>
  <c r="F36" i="8"/>
  <c r="AA37" i="8"/>
  <c r="AE37" i="8"/>
  <c r="AC37" i="8"/>
  <c r="G35" i="8"/>
  <c r="I36" i="8" s="1"/>
  <c r="F35" i="8"/>
  <c r="T37" i="8"/>
  <c r="G36" i="8"/>
  <c r="W37" i="8"/>
  <c r="L79" i="12"/>
  <c r="C79" i="12"/>
  <c r="J79" i="12"/>
  <c r="D106" i="12"/>
  <c r="E106" i="6"/>
  <c r="Y95" i="12"/>
  <c r="E113" i="6"/>
  <c r="D113" i="12"/>
  <c r="J61" i="12"/>
  <c r="C61" i="12"/>
  <c r="L61" i="12"/>
  <c r="K61" i="12" s="1"/>
  <c r="V31" i="8"/>
  <c r="V29" i="8" s="1"/>
  <c r="AD31" i="8"/>
  <c r="AD29" i="8" s="1"/>
  <c r="AB31" i="8"/>
  <c r="AB29" i="8" s="1"/>
  <c r="AC31" i="8"/>
  <c r="AC29" i="8" s="1"/>
  <c r="AA31" i="8"/>
  <c r="AA29" i="8" s="1"/>
  <c r="Y31" i="8"/>
  <c r="Y29" i="8" s="1"/>
  <c r="W31" i="8"/>
  <c r="W29" i="8" s="1"/>
  <c r="D31" i="8"/>
  <c r="D29" i="8" s="1"/>
  <c r="F30" i="8"/>
  <c r="AE31" i="8"/>
  <c r="AE29" i="8" s="1"/>
  <c r="Z31" i="8"/>
  <c r="Z29" i="8" s="1"/>
  <c r="U31" i="8"/>
  <c r="U29" i="8" s="1"/>
  <c r="F29" i="8"/>
  <c r="G30" i="8"/>
  <c r="X31" i="8"/>
  <c r="X29" i="8" s="1"/>
  <c r="T31" i="8"/>
  <c r="T29" i="8" s="1"/>
  <c r="G29" i="8"/>
  <c r="I30" i="8" s="1"/>
  <c r="C50" i="6"/>
  <c r="O50" i="5"/>
  <c r="AC11" i="5"/>
  <c r="E49" i="6"/>
  <c r="D49" i="12"/>
  <c r="X47" i="12"/>
  <c r="W47" i="12"/>
  <c r="D32" i="12"/>
  <c r="E32" i="6"/>
  <c r="Y44" i="12"/>
  <c r="D54" i="12"/>
  <c r="E54" i="6"/>
  <c r="X105" i="12"/>
  <c r="W105" i="12"/>
  <c r="N55" i="12"/>
  <c r="W72" i="10"/>
  <c r="W71" i="10"/>
  <c r="W70" i="10" s="1"/>
  <c r="AO42" i="12"/>
  <c r="Y43" i="12"/>
  <c r="E86" i="6"/>
  <c r="D86" i="12"/>
  <c r="W30" i="12"/>
  <c r="X30" i="12"/>
  <c r="E95" i="6"/>
  <c r="D95" i="12"/>
  <c r="W27" i="12"/>
  <c r="X27" i="12"/>
  <c r="E43" i="6"/>
  <c r="D43" i="12"/>
  <c r="E56" i="6"/>
  <c r="D56" i="12"/>
  <c r="D18" i="12"/>
  <c r="E18" i="6"/>
  <c r="W94" i="12"/>
  <c r="W88" i="12"/>
  <c r="X88" i="12"/>
  <c r="W86" i="12"/>
  <c r="X86" i="12"/>
  <c r="O103" i="5"/>
  <c r="C103" i="6"/>
  <c r="W26" i="12"/>
  <c r="X26" i="12"/>
  <c r="M61" i="12"/>
  <c r="O72" i="5"/>
  <c r="C72" i="6"/>
  <c r="C68" i="12"/>
  <c r="J68" i="12"/>
  <c r="L68" i="12"/>
  <c r="J50" i="12"/>
  <c r="L50" i="12"/>
  <c r="C50" i="12"/>
  <c r="Y106" i="12"/>
  <c r="X112" i="12"/>
  <c r="W112" i="12"/>
  <c r="X36" i="12"/>
  <c r="W36" i="12"/>
  <c r="M72" i="12"/>
  <c r="D48" i="12"/>
  <c r="E48" i="6"/>
  <c r="AA79" i="5"/>
  <c r="B50" i="8" s="1"/>
  <c r="AO53" i="12"/>
  <c r="Y53" i="12" s="1"/>
  <c r="Y54" i="12"/>
  <c r="D105" i="12"/>
  <c r="E105" i="6"/>
  <c r="E110" i="6"/>
  <c r="D110" i="12"/>
  <c r="J42" i="12"/>
  <c r="C42" i="12"/>
  <c r="L42" i="12"/>
  <c r="W87" i="12"/>
  <c r="X87" i="12"/>
  <c r="AA17" i="5"/>
  <c r="B17" i="8" s="1"/>
  <c r="Y70" i="12"/>
  <c r="O16" i="5"/>
  <c r="C16" i="6"/>
  <c r="O28" i="12"/>
  <c r="N28" i="12" s="1"/>
  <c r="N29" i="12"/>
  <c r="AC72" i="10"/>
  <c r="AC71" i="10"/>
  <c r="AC70" i="10" s="1"/>
  <c r="I72" i="10"/>
  <c r="AE9" i="10" s="1"/>
  <c r="I71" i="10"/>
  <c r="I70" i="10" s="1"/>
  <c r="Y9" i="10" s="1"/>
  <c r="J66" i="12"/>
  <c r="L66" i="12"/>
  <c r="C66" i="12"/>
  <c r="L17" i="12"/>
  <c r="J17" i="12"/>
  <c r="C17" i="12"/>
  <c r="AO16" i="12"/>
  <c r="Y18" i="12"/>
  <c r="AO17" i="12"/>
  <c r="O28" i="5"/>
  <c r="C28" i="6"/>
  <c r="D60" i="12"/>
  <c r="E60" i="6"/>
  <c r="AO50" i="12"/>
  <c r="Y51" i="12"/>
  <c r="W40" i="12"/>
  <c r="X40" i="12"/>
  <c r="E30" i="6"/>
  <c r="D30" i="12"/>
  <c r="N74" i="12"/>
  <c r="Y119" i="12"/>
  <c r="Y104" i="12"/>
  <c r="AO103" i="12"/>
  <c r="Y103" i="12" s="1"/>
  <c r="C91" i="6"/>
  <c r="O91" i="5"/>
  <c r="E52" i="6"/>
  <c r="D52" i="12"/>
  <c r="AB72" i="5"/>
  <c r="C47" i="8" s="1"/>
  <c r="N84" i="12"/>
  <c r="Y116" i="12"/>
  <c r="AB50" i="5"/>
  <c r="C29" i="8" s="1"/>
  <c r="AB79" i="5"/>
  <c r="C50" i="8" s="1"/>
  <c r="Y69" i="12"/>
  <c r="AO68" i="12"/>
  <c r="Y68" i="12" s="1"/>
  <c r="M53" i="12"/>
  <c r="E100" i="6"/>
  <c r="D100" i="12"/>
  <c r="D33" i="12"/>
  <c r="E33" i="6"/>
  <c r="N89" i="12"/>
  <c r="Y45" i="12"/>
  <c r="N117" i="12"/>
  <c r="F27" i="8"/>
  <c r="D28" i="8"/>
  <c r="D26" i="8" s="1"/>
  <c r="AD28" i="8"/>
  <c r="AD26" i="8" s="1"/>
  <c r="AC28" i="8"/>
  <c r="AC26" i="8" s="1"/>
  <c r="Z28" i="8"/>
  <c r="Z26" i="8" s="1"/>
  <c r="F26" i="8"/>
  <c r="X28" i="8"/>
  <c r="X26" i="8" s="1"/>
  <c r="AE28" i="8"/>
  <c r="AE26" i="8" s="1"/>
  <c r="T28" i="8"/>
  <c r="T26" i="8" s="1"/>
  <c r="W28" i="8"/>
  <c r="W26" i="8" s="1"/>
  <c r="G27" i="8"/>
  <c r="AA28" i="8"/>
  <c r="AA26" i="8" s="1"/>
  <c r="Y28" i="8"/>
  <c r="Y26" i="8" s="1"/>
  <c r="C26" i="8"/>
  <c r="U28" i="8"/>
  <c r="U26" i="8" s="1"/>
  <c r="AB28" i="8"/>
  <c r="AB26" i="8" s="1"/>
  <c r="V28" i="8"/>
  <c r="V26" i="8" s="1"/>
  <c r="G26" i="8"/>
  <c r="I27" i="8" s="1"/>
  <c r="O42" i="5"/>
  <c r="C42" i="6"/>
  <c r="N71" i="12"/>
  <c r="AB15" i="5"/>
  <c r="AB17" i="5"/>
  <c r="C17" i="8" s="1"/>
  <c r="AB16" i="5"/>
  <c r="AB14" i="11" s="1"/>
  <c r="Y39" i="12"/>
  <c r="D94" i="12"/>
  <c r="E94" i="6"/>
  <c r="Y20" i="12"/>
  <c r="W14" i="11"/>
  <c r="L14" i="13"/>
  <c r="O24" i="11"/>
  <c r="C14" i="11"/>
  <c r="J16" i="12"/>
  <c r="L16" i="12"/>
  <c r="C16" i="12"/>
  <c r="N97" i="12"/>
  <c r="D37" i="12"/>
  <c r="E37" i="6"/>
  <c r="Y65" i="12"/>
  <c r="Y109" i="12"/>
  <c r="E104" i="6"/>
  <c r="D104" i="12"/>
  <c r="Y85" i="12"/>
  <c r="D62" i="12"/>
  <c r="E62" i="6"/>
  <c r="Y81" i="12"/>
  <c r="Y101" i="12"/>
  <c r="E73" i="6"/>
  <c r="D73" i="12"/>
  <c r="N90" i="12"/>
  <c r="Y115" i="12"/>
  <c r="O57" i="12"/>
  <c r="N57" i="12" s="1"/>
  <c r="N58" i="12"/>
  <c r="M79" i="12"/>
  <c r="D40" i="12"/>
  <c r="E40" i="6"/>
  <c r="AA53" i="5"/>
  <c r="B32" i="8" s="1"/>
  <c r="Y98" i="12"/>
  <c r="D45" i="12"/>
  <c r="E45" i="6"/>
  <c r="D99" i="12"/>
  <c r="E99" i="6"/>
  <c r="N78" i="12"/>
  <c r="N107" i="12"/>
  <c r="Y55" i="12"/>
  <c r="N111" i="12"/>
  <c r="Y71" i="10"/>
  <c r="Y70" i="10" s="1"/>
  <c r="Y72" i="10"/>
  <c r="AA72" i="10"/>
  <c r="AA71" i="10"/>
  <c r="AA70" i="10" s="1"/>
  <c r="N31" i="12"/>
  <c r="Y43" i="8"/>
  <c r="Y41" i="8" s="1"/>
  <c r="AE43" i="8"/>
  <c r="AE41" i="8" s="1"/>
  <c r="V43" i="8"/>
  <c r="V41" i="8" s="1"/>
  <c r="X43" i="8"/>
  <c r="X41" i="8" s="1"/>
  <c r="AB43" i="8"/>
  <c r="AB41" i="8" s="1"/>
  <c r="U43" i="8"/>
  <c r="U41" i="8" s="1"/>
  <c r="C41" i="8"/>
  <c r="F41" i="8"/>
  <c r="AC43" i="8"/>
  <c r="AC41" i="8" s="1"/>
  <c r="AD43" i="8"/>
  <c r="AD41" i="8" s="1"/>
  <c r="AA43" i="8"/>
  <c r="AA41" i="8" s="1"/>
  <c r="W43" i="8"/>
  <c r="W41" i="8" s="1"/>
  <c r="F42" i="8"/>
  <c r="D43" i="8"/>
  <c r="D41" i="8" s="1"/>
  <c r="G42" i="8"/>
  <c r="T43" i="8"/>
  <c r="T41" i="8" s="1"/>
  <c r="Z43" i="8"/>
  <c r="Z41" i="8" s="1"/>
  <c r="G41" i="8"/>
  <c r="I42" i="8" s="1"/>
  <c r="N76" i="12"/>
  <c r="O42" i="12"/>
  <c r="N43" i="12"/>
  <c r="N56" i="12"/>
  <c r="E111" i="6"/>
  <c r="D111" i="12"/>
  <c r="C17" i="6"/>
  <c r="O17" i="5"/>
  <c r="N77" i="12"/>
  <c r="AA22" i="5"/>
  <c r="B20" i="8" s="1"/>
  <c r="E64" i="6"/>
  <c r="D64" i="12"/>
  <c r="N24" i="12"/>
  <c r="D24" i="12"/>
  <c r="E24" i="6"/>
  <c r="E74" i="6"/>
  <c r="D74" i="12"/>
  <c r="AA91" i="5"/>
  <c r="B53" i="8" s="1"/>
  <c r="D108" i="12"/>
  <c r="E108" i="6"/>
  <c r="E118" i="6"/>
  <c r="D118" i="12"/>
  <c r="Y48" i="12"/>
  <c r="AA68" i="5"/>
  <c r="B44" i="8" s="1"/>
  <c r="C53" i="12"/>
  <c r="L53" i="12"/>
  <c r="J53" i="12"/>
  <c r="Y93" i="12"/>
  <c r="N63" i="12"/>
  <c r="O66" i="12"/>
  <c r="N66" i="12" s="1"/>
  <c r="N67" i="12"/>
  <c r="N110" i="12"/>
  <c r="E107" i="6"/>
  <c r="D107" i="12"/>
  <c r="Y19" i="12"/>
  <c r="D75" i="12"/>
  <c r="E75" i="6"/>
  <c r="D71" i="12"/>
  <c r="E71" i="6"/>
  <c r="E77" i="6"/>
  <c r="D77" i="12"/>
  <c r="E70" i="6"/>
  <c r="D70" i="12"/>
  <c r="N64" i="12"/>
  <c r="N88" i="12"/>
  <c r="N86" i="12"/>
  <c r="AA28" i="5"/>
  <c r="B23" i="8" s="1"/>
  <c r="D65" i="12"/>
  <c r="E65" i="6"/>
  <c r="AA58" i="8"/>
  <c r="AA56" i="8" s="1"/>
  <c r="AC58" i="8"/>
  <c r="AC56" i="8" s="1"/>
  <c r="X58" i="8"/>
  <c r="X56" i="8" s="1"/>
  <c r="U58" i="8"/>
  <c r="U56" i="8" s="1"/>
  <c r="AE58" i="8"/>
  <c r="AE56" i="8" s="1"/>
  <c r="AB58" i="8"/>
  <c r="AB56" i="8" s="1"/>
  <c r="C56" i="8"/>
  <c r="V58" i="8"/>
  <c r="V56" i="8" s="1"/>
  <c r="W58" i="8"/>
  <c r="W56" i="8" s="1"/>
  <c r="D58" i="8"/>
  <c r="D56" i="8" s="1"/>
  <c r="F57" i="8"/>
  <c r="T58" i="8"/>
  <c r="T56" i="8" s="1"/>
  <c r="AD58" i="8"/>
  <c r="AD56" i="8" s="1"/>
  <c r="Y58" i="8"/>
  <c r="Y56" i="8" s="1"/>
  <c r="F56" i="8"/>
  <c r="G57" i="8"/>
  <c r="Z58" i="8"/>
  <c r="Z56" i="8" s="1"/>
  <c r="G56" i="8"/>
  <c r="I57" i="8" s="1"/>
  <c r="M91" i="12"/>
  <c r="Y108" i="12"/>
  <c r="Y52" i="12"/>
  <c r="N26" i="12"/>
  <c r="N118" i="12"/>
  <c r="AA61" i="5"/>
  <c r="B38" i="8" s="1"/>
  <c r="Y62" i="12"/>
  <c r="AO61" i="12"/>
  <c r="N32" i="12"/>
  <c r="E115" i="6"/>
  <c r="D115" i="12"/>
  <c r="O57" i="5"/>
  <c r="C57" i="6"/>
  <c r="AD52" i="8"/>
  <c r="AD50" i="8" s="1"/>
  <c r="V52" i="8"/>
  <c r="V50" i="8" s="1"/>
  <c r="AE52" i="8"/>
  <c r="AE50" i="8" s="1"/>
  <c r="Y52" i="8"/>
  <c r="Y50" i="8" s="1"/>
  <c r="U52" i="8"/>
  <c r="U50" i="8" s="1"/>
  <c r="AB52" i="8"/>
  <c r="AB50" i="8" s="1"/>
  <c r="AA52" i="8"/>
  <c r="AA50" i="8" s="1"/>
  <c r="G51" i="8"/>
  <c r="T52" i="8"/>
  <c r="T50" i="8" s="1"/>
  <c r="AC52" i="8"/>
  <c r="AC50" i="8" s="1"/>
  <c r="D52" i="8"/>
  <c r="D50" i="8" s="1"/>
  <c r="F50" i="8"/>
  <c r="W52" i="8"/>
  <c r="W50" i="8" s="1"/>
  <c r="F51" i="8"/>
  <c r="Z52" i="8"/>
  <c r="Z50" i="8" s="1"/>
  <c r="X52" i="8"/>
  <c r="X50" i="8" s="1"/>
  <c r="G50" i="8"/>
  <c r="I51" i="8" s="1"/>
  <c r="D80" i="12"/>
  <c r="E80" i="6"/>
  <c r="C68" i="6"/>
  <c r="O68" i="5"/>
  <c r="E93" i="6"/>
  <c r="D93" i="12"/>
  <c r="O61" i="5"/>
  <c r="C61" i="6"/>
  <c r="Y59" i="12"/>
  <c r="D58" i="12"/>
  <c r="E58" i="6"/>
  <c r="Y49" i="12"/>
  <c r="X60" i="12"/>
  <c r="W60" i="12"/>
  <c r="E92" i="6"/>
  <c r="D92" i="12"/>
  <c r="Y82" i="12"/>
  <c r="E46" i="6"/>
  <c r="D46" i="12"/>
  <c r="W89" i="12"/>
  <c r="X89" i="12"/>
  <c r="X117" i="12"/>
  <c r="W117" i="12"/>
  <c r="AA42" i="5"/>
  <c r="B26" i="8" s="1"/>
  <c r="N41" i="12"/>
  <c r="X25" i="12"/>
  <c r="W25" i="12"/>
  <c r="D102" i="12"/>
  <c r="E102" i="6"/>
  <c r="F14" i="8"/>
  <c r="G14" i="8"/>
  <c r="I15" i="8" s="1"/>
  <c r="Q165" i="8"/>
  <c r="H165" i="8" s="1"/>
  <c r="F15" i="8"/>
  <c r="G15" i="8"/>
  <c r="O71" i="10"/>
  <c r="O70" i="10" s="1"/>
  <c r="O72" i="10"/>
  <c r="AE72" i="10"/>
  <c r="AE71" i="10"/>
  <c r="AE70" i="10" s="1"/>
  <c r="Z22" i="8"/>
  <c r="Z20" i="8" s="1"/>
  <c r="AB22" i="8"/>
  <c r="AB20" i="8" s="1"/>
  <c r="G21" i="8"/>
  <c r="AA22" i="8"/>
  <c r="AA20" i="8" s="1"/>
  <c r="F20" i="8"/>
  <c r="V22" i="8"/>
  <c r="V20" i="8" s="1"/>
  <c r="C20" i="8"/>
  <c r="F21" i="8"/>
  <c r="T22" i="8"/>
  <c r="T20" i="8" s="1"/>
  <c r="X22" i="8"/>
  <c r="X20" i="8" s="1"/>
  <c r="AD22" i="8"/>
  <c r="AD20" i="8" s="1"/>
  <c r="U22" i="8"/>
  <c r="U20" i="8" s="1"/>
  <c r="Y22" i="8"/>
  <c r="Y20" i="8" s="1"/>
  <c r="AC22" i="8"/>
  <c r="AC20" i="8" s="1"/>
  <c r="AE22" i="8"/>
  <c r="AE20" i="8" s="1"/>
  <c r="D22" i="8"/>
  <c r="D20" i="8" s="1"/>
  <c r="W22" i="8"/>
  <c r="W20" i="8" s="1"/>
  <c r="G20" i="8"/>
  <c r="I21" i="8" s="1"/>
  <c r="Y100" i="12"/>
  <c r="D67" i="12"/>
  <c r="E67" i="6"/>
  <c r="X99" i="12"/>
  <c r="W99" i="12"/>
  <c r="M42" i="12"/>
  <c r="Y75" i="12"/>
  <c r="X83" i="12"/>
  <c r="W83" i="12"/>
  <c r="AE19" i="8"/>
  <c r="AE16" i="8" s="1"/>
  <c r="AE14" i="8" s="1"/>
  <c r="AB19" i="8"/>
  <c r="D19" i="8"/>
  <c r="W19" i="8"/>
  <c r="T19" i="8"/>
  <c r="F17" i="8"/>
  <c r="Z19" i="8"/>
  <c r="X19" i="8"/>
  <c r="V19" i="8"/>
  <c r="AA19" i="8"/>
  <c r="U19" i="8"/>
  <c r="U16" i="8" s="1"/>
  <c r="U14" i="8" s="1"/>
  <c r="F18" i="8"/>
  <c r="AD19" i="8"/>
  <c r="AC19" i="8"/>
  <c r="G17" i="8"/>
  <c r="I18" i="8" s="1"/>
  <c r="Y19" i="8"/>
  <c r="G18" i="8"/>
  <c r="O16" i="12"/>
  <c r="O17" i="12"/>
  <c r="N17" i="12" s="1"/>
  <c r="N18" i="12"/>
  <c r="X77" i="12"/>
  <c r="W77" i="12"/>
  <c r="W24" i="12"/>
  <c r="X24" i="12"/>
  <c r="F23" i="8"/>
  <c r="AD25" i="8"/>
  <c r="AD23" i="8" s="1"/>
  <c r="Z25" i="8"/>
  <c r="Z23" i="8" s="1"/>
  <c r="X25" i="8"/>
  <c r="X23" i="8" s="1"/>
  <c r="F24" i="8"/>
  <c r="AC25" i="8"/>
  <c r="AC23" i="8" s="1"/>
  <c r="Y25" i="8"/>
  <c r="Y23" i="8" s="1"/>
  <c r="V25" i="8"/>
  <c r="V23" i="8" s="1"/>
  <c r="T25" i="8"/>
  <c r="T23" i="8" s="1"/>
  <c r="AE25" i="8"/>
  <c r="AE23" i="8" s="1"/>
  <c r="AB25" i="8"/>
  <c r="AB23" i="8" s="1"/>
  <c r="AA25" i="8"/>
  <c r="AA23" i="8" s="1"/>
  <c r="W25" i="8"/>
  <c r="W23" i="8" s="1"/>
  <c r="G24" i="8"/>
  <c r="U25" i="8"/>
  <c r="U23" i="8" s="1"/>
  <c r="D25" i="8"/>
  <c r="D23" i="8" s="1"/>
  <c r="G23" i="8"/>
  <c r="I24" i="8" s="1"/>
  <c r="AB91" i="5"/>
  <c r="C53" i="8" s="1"/>
  <c r="E36" i="6"/>
  <c r="D36" i="12"/>
  <c r="D81" i="12"/>
  <c r="E81" i="6"/>
  <c r="N51" i="12"/>
  <c r="O50" i="12"/>
  <c r="N50" i="12" s="1"/>
  <c r="AB68" i="5"/>
  <c r="C44" i="8" s="1"/>
  <c r="AC34" i="8"/>
  <c r="AC32" i="8" s="1"/>
  <c r="AE34" i="8"/>
  <c r="AE32" i="8" s="1"/>
  <c r="G33" i="8"/>
  <c r="X34" i="8"/>
  <c r="X32" i="8" s="1"/>
  <c r="W34" i="8"/>
  <c r="W32" i="8" s="1"/>
  <c r="AD34" i="8"/>
  <c r="AD32" i="8" s="1"/>
  <c r="AB34" i="8"/>
  <c r="AB32" i="8" s="1"/>
  <c r="Z34" i="8"/>
  <c r="Z32" i="8" s="1"/>
  <c r="F33" i="8"/>
  <c r="V34" i="8"/>
  <c r="V32" i="8" s="1"/>
  <c r="D34" i="8"/>
  <c r="D32" i="8" s="1"/>
  <c r="Y34" i="8"/>
  <c r="Y32" i="8" s="1"/>
  <c r="F32" i="8"/>
  <c r="U34" i="8"/>
  <c r="U32" i="8" s="1"/>
  <c r="T34" i="8"/>
  <c r="T32" i="8" s="1"/>
  <c r="AA34" i="8"/>
  <c r="AA32" i="8" s="1"/>
  <c r="G32" i="8"/>
  <c r="I33" i="8" s="1"/>
  <c r="W114" i="12"/>
  <c r="X114" i="12"/>
  <c r="W110" i="12"/>
  <c r="X110" i="12"/>
  <c r="D31" i="12"/>
  <c r="E31" i="6"/>
  <c r="X64" i="12"/>
  <c r="W64" i="12"/>
  <c r="AB28" i="5"/>
  <c r="C23" i="8" s="1"/>
  <c r="Y37" i="12"/>
  <c r="X38" i="12"/>
  <c r="W38" i="12"/>
  <c r="N92" i="12"/>
  <c r="O91" i="12"/>
  <c r="N91" i="12" s="1"/>
  <c r="D85" i="12"/>
  <c r="E85" i="6"/>
  <c r="W118" i="12"/>
  <c r="X118" i="12"/>
  <c r="AB61" i="5"/>
  <c r="C38" i="8" s="1"/>
  <c r="N62" i="12"/>
  <c r="O61" i="12"/>
  <c r="N61" i="12" s="1"/>
  <c r="J72" i="12"/>
  <c r="C72" i="12"/>
  <c r="L72" i="12"/>
  <c r="D84" i="12"/>
  <c r="E84" i="6"/>
  <c r="C79" i="6"/>
  <c r="O79" i="5"/>
  <c r="T46" i="8"/>
  <c r="T44" i="8" s="1"/>
  <c r="Y46" i="8"/>
  <c r="Y44" i="8" s="1"/>
  <c r="AA46" i="8"/>
  <c r="AA44" i="8" s="1"/>
  <c r="G45" i="8"/>
  <c r="AB46" i="8"/>
  <c r="AB44" i="8" s="1"/>
  <c r="AD46" i="8"/>
  <c r="AD44" i="8" s="1"/>
  <c r="U46" i="8"/>
  <c r="U44" i="8" s="1"/>
  <c r="AC46" i="8"/>
  <c r="AC44" i="8" s="1"/>
  <c r="X46" i="8"/>
  <c r="X44" i="8" s="1"/>
  <c r="Z46" i="8"/>
  <c r="Z44" i="8" s="1"/>
  <c r="V46" i="8"/>
  <c r="V44" i="8" s="1"/>
  <c r="W46" i="8"/>
  <c r="W44" i="8" s="1"/>
  <c r="AE46" i="8"/>
  <c r="AE44" i="8" s="1"/>
  <c r="D46" i="8"/>
  <c r="D44" i="8" s="1"/>
  <c r="F45" i="8"/>
  <c r="F44" i="8"/>
  <c r="G44" i="8"/>
  <c r="I45" i="8" s="1"/>
  <c r="N46" i="12"/>
  <c r="Y21" i="12"/>
  <c r="F39" i="8"/>
  <c r="AE40" i="8"/>
  <c r="AE38" i="8" s="1"/>
  <c r="Z40" i="8"/>
  <c r="Z38" i="8" s="1"/>
  <c r="U40" i="8"/>
  <c r="U38" i="8" s="1"/>
  <c r="W40" i="8"/>
  <c r="W38" i="8" s="1"/>
  <c r="AC40" i="8"/>
  <c r="AC38" i="8" s="1"/>
  <c r="X40" i="8"/>
  <c r="X38" i="8" s="1"/>
  <c r="V40" i="8"/>
  <c r="V38" i="8" s="1"/>
  <c r="AA40" i="8"/>
  <c r="AA38" i="8" s="1"/>
  <c r="D40" i="8"/>
  <c r="D38" i="8" s="1"/>
  <c r="AB40" i="8"/>
  <c r="AB38" i="8" s="1"/>
  <c r="Y40" i="8"/>
  <c r="Y38" i="8" s="1"/>
  <c r="AD40" i="8"/>
  <c r="AD38" i="8" s="1"/>
  <c r="F38" i="8"/>
  <c r="T40" i="8"/>
  <c r="T38" i="8" s="1"/>
  <c r="G39" i="8"/>
  <c r="G38" i="8"/>
  <c r="I39" i="8" s="1"/>
  <c r="AD16" i="8" l="1"/>
  <c r="AD14" i="8" s="1"/>
  <c r="X16" i="8"/>
  <c r="X14" i="8" s="1"/>
  <c r="K68" i="12"/>
  <c r="X76" i="12"/>
  <c r="K28" i="12"/>
  <c r="T16" i="8"/>
  <c r="W46" i="12"/>
  <c r="V16" i="8"/>
  <c r="V14" i="8" s="1"/>
  <c r="T14" i="8"/>
  <c r="T174" i="8"/>
  <c r="X37" i="12"/>
  <c r="W37" i="12"/>
  <c r="T89" i="12"/>
  <c r="U89" i="12"/>
  <c r="V89" i="12"/>
  <c r="X49" i="12"/>
  <c r="W49" i="12"/>
  <c r="T46" i="12"/>
  <c r="V46" i="12"/>
  <c r="U46" i="12"/>
  <c r="E57" i="6"/>
  <c r="D57" i="12"/>
  <c r="H35" i="8"/>
  <c r="Y61" i="12"/>
  <c r="W19" i="12"/>
  <c r="X19" i="12"/>
  <c r="X48" i="12"/>
  <c r="W48" i="12"/>
  <c r="W109" i="12"/>
  <c r="X109" i="12"/>
  <c r="O25" i="11"/>
  <c r="AA7" i="11"/>
  <c r="D42" i="12"/>
  <c r="E42" i="6"/>
  <c r="H26" i="8"/>
  <c r="X45" i="12"/>
  <c r="W45" i="12"/>
  <c r="X69" i="12"/>
  <c r="W69" i="12"/>
  <c r="D91" i="12"/>
  <c r="H53" i="8"/>
  <c r="E91" i="6"/>
  <c r="W119" i="12"/>
  <c r="X119" i="12"/>
  <c r="Y17" i="12"/>
  <c r="D16" i="12"/>
  <c r="H14" i="8"/>
  <c r="E16" i="6"/>
  <c r="V36" i="12"/>
  <c r="U36" i="12"/>
  <c r="T36" i="12"/>
  <c r="W106" i="12"/>
  <c r="X106" i="12"/>
  <c r="D72" i="12"/>
  <c r="H47" i="8"/>
  <c r="E72" i="6"/>
  <c r="T47" i="12"/>
  <c r="V47" i="12"/>
  <c r="U47" i="12"/>
  <c r="Y91" i="12"/>
  <c r="W67" i="12"/>
  <c r="X67" i="12"/>
  <c r="AL14" i="13"/>
  <c r="M14" i="13" s="1"/>
  <c r="M28" i="13" s="1"/>
  <c r="AK14" i="13"/>
  <c r="S14" i="13" s="1"/>
  <c r="E66" i="6"/>
  <c r="H41" i="8"/>
  <c r="D66" i="12"/>
  <c r="N79" i="12"/>
  <c r="W29" i="12"/>
  <c r="X29" i="12"/>
  <c r="X22" i="12"/>
  <c r="W22" i="12"/>
  <c r="W41" i="12"/>
  <c r="X41" i="12"/>
  <c r="T78" i="12"/>
  <c r="U78" i="12"/>
  <c r="V78" i="12"/>
  <c r="W80" i="12"/>
  <c r="X80" i="12"/>
  <c r="T90" i="12"/>
  <c r="V90" i="12"/>
  <c r="U90" i="12"/>
  <c r="N22" i="12"/>
  <c r="V118" i="12"/>
  <c r="T118" i="12"/>
  <c r="U118" i="12"/>
  <c r="V114" i="12"/>
  <c r="T114" i="12"/>
  <c r="U114" i="12"/>
  <c r="T24" i="12"/>
  <c r="U24" i="12"/>
  <c r="V24" i="12"/>
  <c r="AC16" i="8"/>
  <c r="AC14" i="8" s="1"/>
  <c r="D16" i="8"/>
  <c r="V83" i="12"/>
  <c r="U83" i="12"/>
  <c r="T83" i="12"/>
  <c r="U99" i="12"/>
  <c r="V99" i="12"/>
  <c r="T99" i="12"/>
  <c r="X100" i="12"/>
  <c r="W100" i="12"/>
  <c r="U25" i="12"/>
  <c r="T25" i="12"/>
  <c r="V25" i="12"/>
  <c r="U117" i="12"/>
  <c r="T117" i="12"/>
  <c r="V117" i="12"/>
  <c r="D61" i="12"/>
  <c r="E61" i="6"/>
  <c r="H38" i="8"/>
  <c r="X62" i="12"/>
  <c r="W62" i="12"/>
  <c r="W52" i="12"/>
  <c r="X52" i="12"/>
  <c r="K53" i="12"/>
  <c r="N42" i="12"/>
  <c r="X115" i="12"/>
  <c r="W115" i="12"/>
  <c r="X101" i="12"/>
  <c r="W101" i="12"/>
  <c r="X85" i="12"/>
  <c r="W85" i="12"/>
  <c r="X65" i="12"/>
  <c r="W65" i="12"/>
  <c r="D14" i="13"/>
  <c r="L28" i="13"/>
  <c r="V14" i="13"/>
  <c r="T40" i="12"/>
  <c r="V40" i="12"/>
  <c r="U40" i="12"/>
  <c r="X18" i="12"/>
  <c r="W18" i="12"/>
  <c r="K17" i="12"/>
  <c r="X70" i="12"/>
  <c r="W70" i="12"/>
  <c r="H56" i="8"/>
  <c r="E103" i="6"/>
  <c r="D103" i="12"/>
  <c r="V88" i="12"/>
  <c r="T88" i="12"/>
  <c r="U88" i="12"/>
  <c r="T76" i="12"/>
  <c r="V76" i="12"/>
  <c r="U76" i="12"/>
  <c r="T105" i="12"/>
  <c r="V105" i="12"/>
  <c r="U105" i="12"/>
  <c r="X44" i="12"/>
  <c r="W44" i="12"/>
  <c r="H29" i="8"/>
  <c r="D50" i="12"/>
  <c r="E50" i="6"/>
  <c r="W95" i="12"/>
  <c r="X95" i="12"/>
  <c r="K57" i="12"/>
  <c r="E53" i="6"/>
  <c r="D53" i="12"/>
  <c r="H32" i="8"/>
  <c r="E22" i="6"/>
  <c r="H20" i="8"/>
  <c r="D22" i="12"/>
  <c r="U111" i="12"/>
  <c r="V111" i="12"/>
  <c r="T111" i="12"/>
  <c r="W102" i="12"/>
  <c r="X102" i="12"/>
  <c r="W23" i="12"/>
  <c r="X23" i="12"/>
  <c r="U71" i="12"/>
  <c r="T71" i="12"/>
  <c r="V71" i="12"/>
  <c r="W73" i="12"/>
  <c r="X73" i="12"/>
  <c r="U113" i="12"/>
  <c r="V113" i="12"/>
  <c r="T113" i="12"/>
  <c r="W58" i="12"/>
  <c r="X58" i="12"/>
  <c r="AA16" i="8"/>
  <c r="AA14" i="8" s="1"/>
  <c r="E79" i="6"/>
  <c r="H50" i="8"/>
  <c r="D79" i="12"/>
  <c r="K72" i="12"/>
  <c r="U38" i="12"/>
  <c r="T38" i="12"/>
  <c r="V38" i="12"/>
  <c r="U64" i="12"/>
  <c r="T64" i="12"/>
  <c r="V64" i="12"/>
  <c r="V77" i="12"/>
  <c r="T77" i="12"/>
  <c r="U77" i="12"/>
  <c r="N16" i="12"/>
  <c r="AN14" i="13"/>
  <c r="U14" i="13" s="1"/>
  <c r="AO14" i="13"/>
  <c r="O14" i="13" s="1"/>
  <c r="AB16" i="8"/>
  <c r="AB14" i="8" s="1"/>
  <c r="Z16" i="8"/>
  <c r="Z14" i="8" s="1"/>
  <c r="V60" i="12"/>
  <c r="U60" i="12"/>
  <c r="T60" i="12"/>
  <c r="D68" i="12"/>
  <c r="H44" i="8"/>
  <c r="E68" i="6"/>
  <c r="X108" i="12"/>
  <c r="W108" i="12"/>
  <c r="X98" i="12"/>
  <c r="W98" i="12"/>
  <c r="W81" i="12"/>
  <c r="X81" i="12"/>
  <c r="K16" i="12"/>
  <c r="W39" i="12"/>
  <c r="X39" i="12"/>
  <c r="X103" i="12"/>
  <c r="W103" i="12"/>
  <c r="W51" i="12"/>
  <c r="X51" i="12"/>
  <c r="Y16" i="12"/>
  <c r="T87" i="12"/>
  <c r="U87" i="12"/>
  <c r="V87" i="12"/>
  <c r="X54" i="12"/>
  <c r="W54" i="12"/>
  <c r="T112" i="12"/>
  <c r="V112" i="12"/>
  <c r="U112" i="12"/>
  <c r="K50" i="12"/>
  <c r="W43" i="12"/>
  <c r="X43" i="12"/>
  <c r="K79" i="12"/>
  <c r="V34" i="12"/>
  <c r="T34" i="12"/>
  <c r="U34" i="12"/>
  <c r="K103" i="12"/>
  <c r="T31" i="12"/>
  <c r="U31" i="12"/>
  <c r="V31" i="12"/>
  <c r="V107" i="12"/>
  <c r="U107" i="12"/>
  <c r="T107" i="12"/>
  <c r="Z15" i="11"/>
  <c r="U15" i="13"/>
  <c r="N15" i="11"/>
  <c r="S15" i="13"/>
  <c r="X35" i="12"/>
  <c r="W35" i="12"/>
  <c r="X72" i="12"/>
  <c r="W72" i="12"/>
  <c r="Y57" i="12"/>
  <c r="V97" i="12"/>
  <c r="U97" i="12"/>
  <c r="T97" i="12"/>
  <c r="N72" i="12"/>
  <c r="X21" i="12"/>
  <c r="W21" i="12"/>
  <c r="T110" i="12"/>
  <c r="U110" i="12"/>
  <c r="V110" i="12"/>
  <c r="W16" i="8"/>
  <c r="W14" i="8" s="1"/>
  <c r="Y16" i="8"/>
  <c r="Y14" i="8" s="1"/>
  <c r="X75" i="12"/>
  <c r="W75" i="12"/>
  <c r="X82" i="12"/>
  <c r="W82" i="12"/>
  <c r="X59" i="12"/>
  <c r="W59" i="12"/>
  <c r="X93" i="12"/>
  <c r="W93" i="12"/>
  <c r="D17" i="12"/>
  <c r="E17" i="6"/>
  <c r="H17" i="8"/>
  <c r="W55" i="12"/>
  <c r="X55" i="12"/>
  <c r="X20" i="12"/>
  <c r="W20" i="12"/>
  <c r="AB24" i="11"/>
  <c r="AB7" i="11" s="1"/>
  <c r="N14" i="11"/>
  <c r="X68" i="12"/>
  <c r="W68" i="12"/>
  <c r="X116" i="12"/>
  <c r="W116" i="12"/>
  <c r="X104" i="12"/>
  <c r="W104" i="12"/>
  <c r="Y50" i="12"/>
  <c r="D28" i="12"/>
  <c r="E28" i="6"/>
  <c r="H23" i="8"/>
  <c r="K66" i="12"/>
  <c r="K42" i="12"/>
  <c r="X53" i="12"/>
  <c r="W53" i="12"/>
  <c r="T26" i="12"/>
  <c r="U26" i="12"/>
  <c r="V26" i="12"/>
  <c r="T86" i="12"/>
  <c r="V86" i="12"/>
  <c r="U86" i="12"/>
  <c r="T94" i="12"/>
  <c r="V94" i="12"/>
  <c r="U94" i="12"/>
  <c r="V27" i="12"/>
  <c r="T27" i="12"/>
  <c r="U27" i="12"/>
  <c r="U30" i="12"/>
  <c r="V30" i="12"/>
  <c r="T30" i="12"/>
  <c r="Y42" i="12"/>
  <c r="V32" i="12"/>
  <c r="T32" i="12"/>
  <c r="U32" i="12"/>
  <c r="X92" i="12"/>
  <c r="W92" i="12"/>
  <c r="Y66" i="12"/>
  <c r="T63" i="12"/>
  <c r="V63" i="12"/>
  <c r="U63" i="12"/>
  <c r="V56" i="12"/>
  <c r="U56" i="12"/>
  <c r="T56" i="12"/>
  <c r="W33" i="12"/>
  <c r="X33" i="12"/>
  <c r="Y28" i="12"/>
  <c r="N53" i="12"/>
  <c r="W96" i="12"/>
  <c r="X96" i="12"/>
  <c r="V84" i="12"/>
  <c r="U84" i="12"/>
  <c r="T84" i="12"/>
  <c r="V74" i="12"/>
  <c r="T74" i="12"/>
  <c r="U74" i="12"/>
  <c r="Y79" i="12"/>
  <c r="K91" i="12"/>
  <c r="AD4" i="13" l="1"/>
  <c r="T96" i="12"/>
  <c r="U96" i="12"/>
  <c r="V96" i="12"/>
  <c r="U33" i="12"/>
  <c r="T33" i="12"/>
  <c r="V33" i="12"/>
  <c r="V92" i="12"/>
  <c r="T92" i="12"/>
  <c r="U92" i="12"/>
  <c r="T68" i="12"/>
  <c r="U68" i="12"/>
  <c r="V68" i="12"/>
  <c r="U21" i="12"/>
  <c r="V21" i="12"/>
  <c r="T21" i="12"/>
  <c r="X28" i="12"/>
  <c r="W28" i="12"/>
  <c r="T59" i="12"/>
  <c r="U59" i="12"/>
  <c r="V59" i="12"/>
  <c r="U75" i="12"/>
  <c r="V75" i="12"/>
  <c r="T75" i="12"/>
  <c r="U35" i="12"/>
  <c r="V35" i="12"/>
  <c r="T35" i="12"/>
  <c r="W16" i="12"/>
  <c r="X16" i="12"/>
  <c r="T108" i="12"/>
  <c r="V108" i="12"/>
  <c r="U108" i="12"/>
  <c r="X66" i="12"/>
  <c r="W66" i="12"/>
  <c r="U116" i="12"/>
  <c r="T116" i="12"/>
  <c r="V116" i="12"/>
  <c r="N24" i="11"/>
  <c r="W57" i="12"/>
  <c r="X57" i="12"/>
  <c r="V81" i="12"/>
  <c r="U81" i="12"/>
  <c r="T81" i="12"/>
  <c r="T58" i="12"/>
  <c r="U58" i="12"/>
  <c r="V58" i="12"/>
  <c r="V102" i="12"/>
  <c r="T102" i="12"/>
  <c r="U102" i="12"/>
  <c r="U95" i="12"/>
  <c r="V95" i="12"/>
  <c r="T95" i="12"/>
  <c r="T44" i="12"/>
  <c r="U44" i="12"/>
  <c r="V44" i="12"/>
  <c r="V52" i="12"/>
  <c r="T52" i="12"/>
  <c r="U52" i="12"/>
  <c r="T100" i="12"/>
  <c r="V100" i="12"/>
  <c r="U100" i="12"/>
  <c r="D14" i="8"/>
  <c r="D173" i="8" a="1"/>
  <c r="D173" i="8" s="1"/>
  <c r="D168" i="8" s="1"/>
  <c r="D174" i="8"/>
  <c r="V80" i="12"/>
  <c r="U80" i="12"/>
  <c r="T80" i="12"/>
  <c r="M24" i="13"/>
  <c r="O29" i="13"/>
  <c r="U119" i="12"/>
  <c r="V119" i="12"/>
  <c r="T119" i="12"/>
  <c r="T69" i="12"/>
  <c r="U69" i="12"/>
  <c r="V69" i="12"/>
  <c r="W50" i="12"/>
  <c r="X50" i="12"/>
  <c r="T55" i="12"/>
  <c r="U55" i="12"/>
  <c r="V55" i="12"/>
  <c r="V93" i="12"/>
  <c r="U93" i="12"/>
  <c r="T93" i="12"/>
  <c r="V82" i="12"/>
  <c r="T82" i="12"/>
  <c r="U82" i="12"/>
  <c r="U72" i="12"/>
  <c r="T72" i="12"/>
  <c r="V72" i="12"/>
  <c r="U43" i="12"/>
  <c r="T43" i="12"/>
  <c r="V43" i="12"/>
  <c r="V51" i="12"/>
  <c r="T51" i="12"/>
  <c r="U51" i="12"/>
  <c r="T39" i="12"/>
  <c r="U39" i="12"/>
  <c r="V39" i="12"/>
  <c r="V98" i="12"/>
  <c r="T98" i="12"/>
  <c r="U98" i="12"/>
  <c r="U73" i="12"/>
  <c r="V73" i="12"/>
  <c r="T73" i="12"/>
  <c r="U18" i="12"/>
  <c r="T18" i="12"/>
  <c r="V18" i="12"/>
  <c r="U65" i="12"/>
  <c r="T65" i="12"/>
  <c r="V65" i="12"/>
  <c r="V101" i="12"/>
  <c r="T101" i="12"/>
  <c r="U101" i="12"/>
  <c r="U62" i="12"/>
  <c r="V62" i="12"/>
  <c r="T62" i="12"/>
  <c r="U41" i="12"/>
  <c r="T41" i="12"/>
  <c r="V41" i="12"/>
  <c r="V29" i="12"/>
  <c r="U29" i="12"/>
  <c r="T29" i="12"/>
  <c r="T169" i="8"/>
  <c r="T165" i="8" s="1"/>
  <c r="T173" i="8" s="1" a="1"/>
  <c r="T173" i="8" s="1"/>
  <c r="T168" i="8" s="1"/>
  <c r="U174" i="8"/>
  <c r="T170" i="8"/>
  <c r="V70" i="12"/>
  <c r="T70" i="12"/>
  <c r="U70" i="12"/>
  <c r="V15" i="13"/>
  <c r="V16" i="13" s="1"/>
  <c r="V17" i="13" s="1"/>
  <c r="V18" i="13" s="1"/>
  <c r="V19" i="13" s="1"/>
  <c r="V20" i="13" s="1"/>
  <c r="V21" i="13" s="1"/>
  <c r="V22" i="13" s="1"/>
  <c r="V23" i="13" s="1"/>
  <c r="I40" i="14" s="1"/>
  <c r="J40" i="14" s="1"/>
  <c r="K40" i="14" s="1"/>
  <c r="L40" i="14" s="1"/>
  <c r="I30" i="14"/>
  <c r="J30" i="14" s="1"/>
  <c r="K30" i="14" s="1"/>
  <c r="L30" i="14" s="1"/>
  <c r="I22" i="14"/>
  <c r="J22" i="14" s="1"/>
  <c r="K22" i="14" s="1"/>
  <c r="L22" i="14" s="1"/>
  <c r="I17" i="14"/>
  <c r="J17" i="14" s="1"/>
  <c r="K17" i="14" s="1"/>
  <c r="L17" i="14" s="1"/>
  <c r="I46" i="14"/>
  <c r="J46" i="14" s="1"/>
  <c r="K46" i="14" s="1"/>
  <c r="L46" i="14" s="1"/>
  <c r="I29" i="14"/>
  <c r="J29" i="14" s="1"/>
  <c r="K29" i="14" s="1"/>
  <c r="L29" i="14" s="1"/>
  <c r="U22" i="12"/>
  <c r="V22" i="12"/>
  <c r="T22" i="12"/>
  <c r="T67" i="12"/>
  <c r="U67" i="12"/>
  <c r="V67" i="12"/>
  <c r="W17" i="12"/>
  <c r="X17" i="12"/>
  <c r="U45" i="12"/>
  <c r="T45" i="12"/>
  <c r="V45" i="12"/>
  <c r="T109" i="12"/>
  <c r="V109" i="12"/>
  <c r="U109" i="12"/>
  <c r="V19" i="12"/>
  <c r="U19" i="12"/>
  <c r="T19" i="12"/>
  <c r="V49" i="12"/>
  <c r="U49" i="12"/>
  <c r="T49" i="12"/>
  <c r="X79" i="12"/>
  <c r="W79" i="12"/>
  <c r="X42" i="12"/>
  <c r="W42" i="12"/>
  <c r="U53" i="12"/>
  <c r="V53" i="12"/>
  <c r="T53" i="12"/>
  <c r="T104" i="12"/>
  <c r="V104" i="12"/>
  <c r="U104" i="12"/>
  <c r="U20" i="12"/>
  <c r="T20" i="12"/>
  <c r="V20" i="12"/>
  <c r="T54" i="12"/>
  <c r="V54" i="12"/>
  <c r="U54" i="12"/>
  <c r="T103" i="12"/>
  <c r="V103" i="12"/>
  <c r="U103" i="12"/>
  <c r="P14" i="13"/>
  <c r="N14" i="13"/>
  <c r="O28" i="13"/>
  <c r="U23" i="12"/>
  <c r="T23" i="12"/>
  <c r="V23" i="12"/>
  <c r="L24" i="13"/>
  <c r="D33" i="14"/>
  <c r="V85" i="12"/>
  <c r="U85" i="12"/>
  <c r="T85" i="12"/>
  <c r="V115" i="12"/>
  <c r="U115" i="12"/>
  <c r="T115" i="12"/>
  <c r="M27" i="13"/>
  <c r="X91" i="12"/>
  <c r="W91" i="12"/>
  <c r="T106" i="12"/>
  <c r="V106" i="12"/>
  <c r="U106" i="12"/>
  <c r="Z3" i="11"/>
  <c r="AA3" i="11" s="1"/>
  <c r="V48" i="12"/>
  <c r="T48" i="12"/>
  <c r="U48" i="12"/>
  <c r="X61" i="12"/>
  <c r="W61" i="12"/>
  <c r="T37" i="12"/>
  <c r="V37" i="12"/>
  <c r="U37" i="12"/>
  <c r="I38" i="14" l="1"/>
  <c r="J38" i="14" s="1"/>
  <c r="K38" i="14" s="1"/>
  <c r="L38" i="14" s="1"/>
  <c r="I21" i="14"/>
  <c r="J21" i="14" s="1"/>
  <c r="K21" i="14" s="1"/>
  <c r="L21" i="14" s="1"/>
  <c r="I43" i="14"/>
  <c r="J43" i="14" s="1"/>
  <c r="K43" i="14" s="1"/>
  <c r="L43" i="14" s="1"/>
  <c r="I23" i="14"/>
  <c r="J23" i="14" s="1"/>
  <c r="K23" i="14" s="1"/>
  <c r="L23" i="14" s="1"/>
  <c r="I6" i="14"/>
  <c r="J6" i="14" s="1"/>
  <c r="K6" i="14" s="1"/>
  <c r="L6" i="14" s="1"/>
  <c r="I10" i="14"/>
  <c r="J10" i="14" s="1"/>
  <c r="K10" i="14" s="1"/>
  <c r="L10" i="14" s="1"/>
  <c r="I35" i="14"/>
  <c r="J35" i="14" s="1"/>
  <c r="K35" i="14" s="1"/>
  <c r="L35" i="14" s="1"/>
  <c r="I37" i="14"/>
  <c r="J37" i="14" s="1"/>
  <c r="K37" i="14" s="1"/>
  <c r="L37" i="14" s="1"/>
  <c r="I31" i="14"/>
  <c r="J31" i="14" s="1"/>
  <c r="K31" i="14" s="1"/>
  <c r="L31" i="14" s="1"/>
  <c r="I25" i="14"/>
  <c r="J25" i="14" s="1"/>
  <c r="K25" i="14" s="1"/>
  <c r="L25" i="14" s="1"/>
  <c r="I13" i="14"/>
  <c r="J13" i="14" s="1"/>
  <c r="K13" i="14" s="1"/>
  <c r="L13" i="14" s="1"/>
  <c r="I7" i="14"/>
  <c r="J7" i="14" s="1"/>
  <c r="K7" i="14" s="1"/>
  <c r="L7" i="14" s="1"/>
  <c r="I36" i="14"/>
  <c r="J36" i="14" s="1"/>
  <c r="K36" i="14" s="1"/>
  <c r="L36" i="14" s="1"/>
  <c r="I34" i="14"/>
  <c r="J34" i="14" s="1"/>
  <c r="K34" i="14" s="1"/>
  <c r="L34" i="14" s="1"/>
  <c r="I44" i="14"/>
  <c r="J44" i="14" s="1"/>
  <c r="K44" i="14" s="1"/>
  <c r="L44" i="14" s="1"/>
  <c r="D170" i="8"/>
  <c r="D169" i="8"/>
  <c r="D165" i="8" s="1"/>
  <c r="U16" i="12"/>
  <c r="T16" i="12"/>
  <c r="V16" i="12"/>
  <c r="V91" i="12"/>
  <c r="U91" i="12"/>
  <c r="T91" i="12"/>
  <c r="T42" i="12"/>
  <c r="V42" i="12"/>
  <c r="U42" i="12"/>
  <c r="T17" i="12"/>
  <c r="V17" i="12"/>
  <c r="U17" i="12"/>
  <c r="I11" i="14"/>
  <c r="J11" i="14" s="1"/>
  <c r="K11" i="14" s="1"/>
  <c r="L11" i="14" s="1"/>
  <c r="I9" i="14"/>
  <c r="J9" i="14" s="1"/>
  <c r="K9" i="14" s="1"/>
  <c r="L9" i="14" s="1"/>
  <c r="I18" i="14"/>
  <c r="J18" i="14" s="1"/>
  <c r="K18" i="14" s="1"/>
  <c r="L18" i="14" s="1"/>
  <c r="I24" i="14"/>
  <c r="J24" i="14" s="1"/>
  <c r="K24" i="14" s="1"/>
  <c r="L24" i="14" s="1"/>
  <c r="I16" i="14"/>
  <c r="J16" i="14" s="1"/>
  <c r="K16" i="14" s="1"/>
  <c r="L16" i="14" s="1"/>
  <c r="I32" i="14"/>
  <c r="J32" i="14" s="1"/>
  <c r="K32" i="14" s="1"/>
  <c r="L32" i="14" s="1"/>
  <c r="I45" i="14"/>
  <c r="J45" i="14" s="1"/>
  <c r="K45" i="14" s="1"/>
  <c r="L45" i="14" s="1"/>
  <c r="I12" i="14"/>
  <c r="J12" i="14" s="1"/>
  <c r="K12" i="14" s="1"/>
  <c r="L12" i="14" s="1"/>
  <c r="I8" i="14"/>
  <c r="J8" i="14" s="1"/>
  <c r="K8" i="14" s="1"/>
  <c r="L8" i="14" s="1"/>
  <c r="I20" i="14"/>
  <c r="J20" i="14" s="1"/>
  <c r="K20" i="14" s="1"/>
  <c r="L20" i="14" s="1"/>
  <c r="U57" i="12"/>
  <c r="T57" i="12"/>
  <c r="V57" i="12"/>
  <c r="U61" i="12"/>
  <c r="T61" i="12"/>
  <c r="V61" i="12"/>
  <c r="AA118" i="5"/>
  <c r="AD19" i="11"/>
  <c r="AD17" i="11"/>
  <c r="AD21" i="11"/>
  <c r="AD23" i="11"/>
  <c r="AD22" i="11"/>
  <c r="AD20" i="11"/>
  <c r="AD12" i="11"/>
  <c r="AD18" i="11"/>
  <c r="AD15" i="11"/>
  <c r="AD16" i="11"/>
  <c r="AD14" i="11"/>
  <c r="P24" i="13"/>
  <c r="F34" i="14" s="1"/>
  <c r="N28" i="13"/>
  <c r="O24" i="13"/>
  <c r="F33" i="14"/>
  <c r="AD6" i="13"/>
  <c r="AE6" i="13" s="1"/>
  <c r="T79" i="12"/>
  <c r="U79" i="12"/>
  <c r="V79" i="12"/>
  <c r="I33" i="14"/>
  <c r="J33" i="14" s="1"/>
  <c r="K33" i="14" s="1"/>
  <c r="L33" i="14" s="1"/>
  <c r="I39" i="14"/>
  <c r="J39" i="14" s="1"/>
  <c r="K39" i="14" s="1"/>
  <c r="L39" i="14" s="1"/>
  <c r="I41" i="14"/>
  <c r="J41" i="14" s="1"/>
  <c r="K41" i="14" s="1"/>
  <c r="L41" i="14" s="1"/>
  <c r="I14" i="14"/>
  <c r="J14" i="14" s="1"/>
  <c r="K14" i="14" s="1"/>
  <c r="L14" i="14" s="1"/>
  <c r="I27" i="14"/>
  <c r="J27" i="14" s="1"/>
  <c r="K27" i="14" s="1"/>
  <c r="L27" i="14" s="1"/>
  <c r="I26" i="14"/>
  <c r="J26" i="14" s="1"/>
  <c r="K26" i="14" s="1"/>
  <c r="L26" i="14" s="1"/>
  <c r="I42" i="14"/>
  <c r="J42" i="14" s="1"/>
  <c r="K42" i="14" s="1"/>
  <c r="L42" i="14" s="1"/>
  <c r="I19" i="14"/>
  <c r="J19" i="14" s="1"/>
  <c r="K19" i="14" s="1"/>
  <c r="L19" i="14" s="1"/>
  <c r="I15" i="14"/>
  <c r="J15" i="14" s="1"/>
  <c r="K15" i="14" s="1"/>
  <c r="L15" i="14" s="1"/>
  <c r="I28" i="14"/>
  <c r="J28" i="14" s="1"/>
  <c r="K28" i="14" s="1"/>
  <c r="L28" i="14" s="1"/>
  <c r="U169" i="8"/>
  <c r="U165" i="8" s="1"/>
  <c r="U173" i="8" s="1" a="1"/>
  <c r="U173" i="8" s="1"/>
  <c r="U168" i="8" s="1"/>
  <c r="V174" i="8"/>
  <c r="U170" i="8"/>
  <c r="V50" i="12"/>
  <c r="T50" i="12"/>
  <c r="U50" i="12"/>
  <c r="N25" i="11"/>
  <c r="L27" i="13"/>
  <c r="D32" i="14" s="1"/>
  <c r="V66" i="12"/>
  <c r="U66" i="12"/>
  <c r="T66" i="12"/>
  <c r="T28" i="12"/>
  <c r="V28" i="12"/>
  <c r="U28" i="12"/>
  <c r="AE14" i="11" l="1"/>
  <c r="AE21" i="11"/>
  <c r="M21" i="11" s="1"/>
  <c r="L21" i="11" s="1"/>
  <c r="V170" i="8"/>
  <c r="W174" i="8"/>
  <c r="V169" i="8"/>
  <c r="V165" i="8" s="1"/>
  <c r="V173" i="8" s="1" a="1"/>
  <c r="V173" i="8" s="1"/>
  <c r="V168" i="8" s="1"/>
  <c r="AD27" i="13"/>
  <c r="AE15" i="11"/>
  <c r="M15" i="11" s="1"/>
  <c r="L15" i="11" s="1"/>
  <c r="AE19" i="11"/>
  <c r="M19" i="11" s="1"/>
  <c r="L19" i="11" s="1"/>
  <c r="AE16" i="11"/>
  <c r="M16" i="11" s="1"/>
  <c r="L16" i="11" s="1"/>
  <c r="AE4" i="13"/>
  <c r="O27" i="13" s="1"/>
  <c r="N24" i="13"/>
  <c r="E34" i="14"/>
  <c r="E33" i="14"/>
  <c r="AE18" i="11"/>
  <c r="M18" i="11" s="1"/>
  <c r="L18" i="11" s="1"/>
  <c r="AC27" i="13"/>
  <c r="AE17" i="11"/>
  <c r="M17" i="11" s="1"/>
  <c r="L17" i="11" s="1"/>
  <c r="AE23" i="11"/>
  <c r="M23" i="11" s="1"/>
  <c r="L23" i="11" s="1"/>
  <c r="AE22" i="11"/>
  <c r="M22" i="11" s="1"/>
  <c r="L22" i="11" s="1"/>
  <c r="AA16" i="5"/>
  <c r="AA15" i="5"/>
  <c r="AA103" i="5"/>
  <c r="B56" i="8" s="1"/>
  <c r="AE12" i="11"/>
  <c r="M12" i="11" s="1"/>
  <c r="L12" i="11" s="1"/>
  <c r="AE20" i="11"/>
  <c r="M20" i="11" s="1"/>
  <c r="L20" i="11" s="1"/>
  <c r="AA14" i="11" l="1"/>
  <c r="AJ14" i="13"/>
  <c r="R14" i="13" s="1"/>
  <c r="M26" i="13" s="1"/>
  <c r="AM14" i="13"/>
  <c r="T14" i="13" s="1"/>
  <c r="AD3" i="13" s="1"/>
  <c r="AD2" i="13" s="1"/>
  <c r="W170" i="8"/>
  <c r="W169" i="8"/>
  <c r="W165" i="8" s="1"/>
  <c r="W173" i="8" s="1" a="1"/>
  <c r="W173" i="8" s="1"/>
  <c r="W168" i="8" s="1"/>
  <c r="X174" i="8"/>
  <c r="F32" i="14"/>
  <c r="N27" i="13"/>
  <c r="E32" i="14" s="1"/>
  <c r="T172" i="8" a="1"/>
  <c r="T172" i="8" s="1"/>
  <c r="D172" i="8" a="1"/>
  <c r="D172" i="8" s="1"/>
  <c r="M25" i="13" l="1"/>
  <c r="AE3" i="13"/>
  <c r="U172" i="8" a="1"/>
  <c r="U172" i="8" s="1"/>
  <c r="T167" i="8"/>
  <c r="T171" i="8"/>
  <c r="T166" i="8" s="1"/>
  <c r="AA24" i="11"/>
  <c r="M14" i="11"/>
  <c r="Z14" i="11"/>
  <c r="Z24" i="11" s="1"/>
  <c r="Y174" i="8"/>
  <c r="X169" i="8"/>
  <c r="X165" i="8" s="1"/>
  <c r="X173" i="8" s="1" a="1"/>
  <c r="X173" i="8" s="1"/>
  <c r="X168" i="8" s="1"/>
  <c r="X170" i="8"/>
  <c r="D167" i="8"/>
  <c r="D171" i="8"/>
  <c r="D166" i="8" s="1"/>
  <c r="M24" i="11" l="1"/>
  <c r="L14" i="11"/>
  <c r="L24" i="11" s="1"/>
  <c r="V172" i="8" a="1"/>
  <c r="V172" i="8" s="1"/>
  <c r="U167" i="8"/>
  <c r="U171" i="8"/>
  <c r="U166" i="8" s="1"/>
  <c r="O26" i="13"/>
  <c r="AE2" i="13"/>
  <c r="Y170" i="8"/>
  <c r="Y169" i="8"/>
  <c r="Y165" i="8" s="1"/>
  <c r="Y173" i="8" s="1" a="1"/>
  <c r="Y173" i="8" s="1"/>
  <c r="Y168" i="8" s="1"/>
  <c r="Z174" i="8"/>
  <c r="V167" i="8" l="1"/>
  <c r="W172" i="8" a="1"/>
  <c r="W172" i="8" s="1"/>
  <c r="V171" i="8"/>
  <c r="V166" i="8" s="1"/>
  <c r="Z170" i="8"/>
  <c r="Z169" i="8"/>
  <c r="Z165" i="8" s="1"/>
  <c r="Z173" i="8" s="1" a="1"/>
  <c r="Z173" i="8" s="1"/>
  <c r="Z168" i="8" s="1"/>
  <c r="AA174" i="8"/>
  <c r="F31" i="14"/>
  <c r="N26" i="13"/>
  <c r="E31" i="14" s="1"/>
  <c r="O25" i="13"/>
  <c r="L25" i="13"/>
  <c r="D30" i="14" s="1"/>
  <c r="L25" i="11"/>
  <c r="L10" i="11"/>
  <c r="M10" i="13" s="1"/>
  <c r="M10" i="11"/>
  <c r="N10" i="13" s="1"/>
  <c r="M25" i="11"/>
  <c r="L26" i="13"/>
  <c r="N25" i="13" l="1"/>
  <c r="E30" i="14" s="1"/>
  <c r="F30" i="14"/>
  <c r="G9" i="11"/>
  <c r="AA169" i="8"/>
  <c r="AA165" i="8" s="1"/>
  <c r="AA173" i="8" s="1" a="1"/>
  <c r="AA173" i="8" s="1"/>
  <c r="AA168" i="8" s="1"/>
  <c r="AA170" i="8"/>
  <c r="AB174" i="8"/>
  <c r="W167" i="8"/>
  <c r="X172" i="8" a="1"/>
  <c r="X172" i="8" s="1"/>
  <c r="W171" i="8"/>
  <c r="W166" i="8" s="1"/>
  <c r="D31" i="14"/>
  <c r="AD26" i="13"/>
  <c r="AC26" i="13"/>
  <c r="AB170" i="8" l="1"/>
  <c r="AC174" i="8"/>
  <c r="AB169" i="8"/>
  <c r="AB165" i="8" s="1"/>
  <c r="AB173" i="8" s="1" a="1"/>
  <c r="AB173" i="8" s="1"/>
  <c r="AB168" i="8" s="1"/>
  <c r="X167" i="8"/>
  <c r="Y172" i="8" a="1"/>
  <c r="Y172" i="8" s="1"/>
  <c r="X171" i="8"/>
  <c r="X166" i="8" s="1"/>
  <c r="Z172" i="8" l="1" a="1"/>
  <c r="Z172" i="8" s="1"/>
  <c r="Y167" i="8"/>
  <c r="Y171" i="8"/>
  <c r="Y166" i="8" s="1"/>
  <c r="AC169" i="8"/>
  <c r="AC165" i="8" s="1"/>
  <c r="AC173" i="8" s="1" a="1"/>
  <c r="AC173" i="8" s="1"/>
  <c r="AC168" i="8" s="1"/>
  <c r="AC170" i="8"/>
  <c r="J10" i="13" s="1"/>
  <c r="G10" i="13" s="1"/>
  <c r="AD174" i="8"/>
  <c r="AD169" i="8" l="1"/>
  <c r="AD165" i="8" s="1"/>
  <c r="AD173" i="8" s="1" a="1"/>
  <c r="AD173" i="8" s="1"/>
  <c r="AD168" i="8" s="1"/>
  <c r="AD170" i="8"/>
  <c r="AE174" i="8"/>
  <c r="Z167" i="8"/>
  <c r="AA172" i="8" a="1"/>
  <c r="AA172" i="8" s="1"/>
  <c r="Z171" i="8"/>
  <c r="Z166" i="8" s="1"/>
  <c r="J10" i="8" l="1"/>
  <c r="AF174" i="8"/>
  <c r="AE170" i="8"/>
  <c r="AE169" i="8"/>
  <c r="AE165" i="8" s="1"/>
  <c r="AE173" i="8" s="1" a="1"/>
  <c r="AE173" i="8" s="1"/>
  <c r="AE168" i="8" s="1"/>
  <c r="AB172" i="8" a="1"/>
  <c r="AB172" i="8" s="1"/>
  <c r="AA167" i="8"/>
  <c r="AA171" i="8"/>
  <c r="AA166" i="8" s="1"/>
  <c r="AC172" i="8" l="1" a="1"/>
  <c r="AC172" i="8" s="1"/>
  <c r="AB167" i="8"/>
  <c r="AB171" i="8"/>
  <c r="AB166" i="8" s="1"/>
  <c r="AC167" i="8" l="1"/>
  <c r="AD172" i="8" a="1"/>
  <c r="AD172" i="8" s="1"/>
  <c r="AC171" i="8"/>
  <c r="AC166" i="8" s="1"/>
  <c r="AD167" i="8" l="1"/>
  <c r="AE172" i="8" a="1"/>
  <c r="AE172" i="8" s="1"/>
  <c r="AD171" i="8"/>
  <c r="AD166" i="8" s="1"/>
  <c r="AF172" i="8" l="1"/>
  <c r="AE167" i="8"/>
  <c r="AE171" i="8"/>
  <c r="AE166" i="8" l="1"/>
  <c r="AF171" i="8"/>
  <c r="AF173" i="8" s="1"/>
</calcChain>
</file>

<file path=xl/comments1.xml><?xml version="1.0" encoding="utf-8"?>
<comments xmlns="http://schemas.openxmlformats.org/spreadsheetml/2006/main">
  <authors>
    <author/>
  </authors>
  <commentList>
    <comment ref="F41" authorId="0" shape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 shape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<sst xmlns="http://schemas.openxmlformats.org/spreadsheetml/2006/main" count="1799" uniqueCount="565">
  <si>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</si>
  <si>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</si>
  <si>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</si>
  <si>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</si>
  <si>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</si>
  <si>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</si>
  <si>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</si>
  <si>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</si>
  <si>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</si>
  <si>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</si>
  <si>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</si>
  <si>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</si>
  <si>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</si>
  <si>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</si>
  <si>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</si>
  <si>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</si>
  <si>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</si>
  <si>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</si>
  <si>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</si>
  <si>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</si>
  <si>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</si>
  <si>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</si>
  <si>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</si>
  <si>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</si>
  <si>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</si>
  <si>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</si>
  <si>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</si>
  <si>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</si>
  <si>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</si>
  <si>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</si>
  <si>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</si>
  <si>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</si>
  <si>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</si>
  <si>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</si>
  <si>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</si>
  <si>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</si>
  <si>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</si>
  <si>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</si>
  <si>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</si>
  <si>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</si>
  <si>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</si>
  <si>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</si>
  <si>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</si>
  <si>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</si>
  <si>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</si>
  <si>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</si>
  <si>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</si>
  <si>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</si>
  <si>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</si>
  <si>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</si>
  <si>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</si>
  <si>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</si>
  <si>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</si>
  <si>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</si>
  <si>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</si>
  <si>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</si>
  <si>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</si>
  <si>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</si>
  <si>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</si>
  <si>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</si>
  <si>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</si>
  <si>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</si>
  <si>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</si>
  <si>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</si>
  <si>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</si>
  <si>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</si>
  <si>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</si>
  <si>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</si>
  <si>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</si>
  <si>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</si>
  <si>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</si>
  <si>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</si>
  <si>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</si>
  <si>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</si>
  <si>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</si>
  <si>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</si>
  <si>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</si>
  <si>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</si>
  <si>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</si>
  <si>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Nº da Operação (0000000-00):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</si>
  <si>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</si>
  <si>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</si>
  <si>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</si>
  <si>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</si>
  <si>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</si>
  <si>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</si>
  <si>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</si>
  <si>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</si>
  <si>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</si>
  <si>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</si>
  <si>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</si>
  <si>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</si>
  <si>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</si>
  <si>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</si>
  <si>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</si>
  <si>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</si>
  <si>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</si>
  <si>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</si>
  <si>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</si>
  <si>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</si>
  <si>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</si>
  <si>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</si>
  <si>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</si>
  <si>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</si>
  <si>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</si>
  <si>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</si>
  <si>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</si>
  <si>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</si>
  <si>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</si>
  <si>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</si>
  <si>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</si>
  <si>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</si>
  <si>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</si>
  <si>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</si>
  <si>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</si>
  <si>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</si>
  <si>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</si>
  <si>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</si>
  <si>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</si>
  <si>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</si>
  <si>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</si>
  <si>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</si>
  <si>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</si>
  <si>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</si>
  <si>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</si>
  <si>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</si>
  <si>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</si>
  <si>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</si>
  <si>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</si>
  <si>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</si>
  <si>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</si>
  <si>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</si>
  <si>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</si>
  <si>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</si>
  <si>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</si>
  <si>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</si>
  <si>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</si>
  <si>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</si>
  <si>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</si>
  <si>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</si>
  <si>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</si>
  <si>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</si>
  <si>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</si>
  <si>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</si>
  <si>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</si>
  <si>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</si>
  <si>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</si>
  <si>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</si>
  <si>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</si>
  <si>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</si>
  <si>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</si>
  <si>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</si>
  <si>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</si>
  <si>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</si>
  <si>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</si>
  <si>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</si>
  <si>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</si>
  <si>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</si>
  <si>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</si>
  <si>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</si>
  <si>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</si>
  <si>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</si>
  <si>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</si>
  <si>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</si>
  <si>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</si>
  <si>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</si>
  <si>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</si>
  <si>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</si>
  <si>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</si>
  <si>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</si>
  <si>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</si>
  <si>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</si>
  <si>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</si>
  <si>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</si>
  <si>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</si>
  <si>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</si>
  <si>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</si>
  <si>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</si>
  <si>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</si>
  <si>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</si>
  <si>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</si>
  <si>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</si>
  <si>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</si>
  <si>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</si>
  <si>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</si>
  <si>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</si>
  <si>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</si>
  <si>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</si>
  <si>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</si>
  <si>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</si>
  <si>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</si>
  <si>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</si>
  <si>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</si>
  <si>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</si>
  <si>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</si>
  <si>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</si>
  <si>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</si>
  <si>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</si>
  <si>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</si>
  <si>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</si>
  <si>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</si>
  <si>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</si>
  <si>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</si>
  <si>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</si>
  <si>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</si>
  <si>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</si>
  <si>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</si>
  <si>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</si>
  <si>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</si>
  <si>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</si>
  <si>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</si>
  <si>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</si>
  <si>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</si>
  <si>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</si>
  <si>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</si>
  <si>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</si>
  <si>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</si>
  <si>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</si>
  <si>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</si>
  <si>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</si>
  <si>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</si>
  <si>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</si>
  <si>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</si>
  <si>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</si>
  <si>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</si>
  <si>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</si>
  <si>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</si>
  <si>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</si>
  <si>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</si>
  <si>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</si>
  <si>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</si>
  <si>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</si>
  <si>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</si>
  <si>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</si>
  <si>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</si>
  <si>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</si>
  <si>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</si>
  <si>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</si>
  <si>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</si>
  <si>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</si>
  <si>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</si>
  <si>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</si>
  <si>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</si>
  <si>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</si>
  <si>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</si>
  <si>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</si>
  <si>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</si>
  <si>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</si>
  <si>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</si>
  <si>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</si>
  <si>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</si>
  <si>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</si>
  <si>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</si>
  <si>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</si>
  <si>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</si>
  <si>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</si>
  <si>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</si>
  <si>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</si>
  <si>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</si>
  <si>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</si>
  <si>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</si>
  <si>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</si>
  <si>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</si>
  <si>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</si>
  <si>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</si>
  <si>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</si>
  <si>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</si>
  <si>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</si>
  <si>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</si>
  <si>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</si>
  <si>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</si>
  <si>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</si>
  <si>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</si>
  <si>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</si>
  <si>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</si>
  <si>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</si>
  <si>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</si>
  <si>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</si>
  <si>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</si>
  <si>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</si>
  <si>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</si>
  <si>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</si>
  <si>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</si>
  <si>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</si>
  <si>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</si>
  <si>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</si>
  <si>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</si>
  <si>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</si>
  <si>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</si>
  <si>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</si>
  <si>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</si>
  <si>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</si>
  <si>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</si>
  <si>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</si>
  <si>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</si>
  <si>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</si>
  <si>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</si>
  <si>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</si>
  <si>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</si>
  <si>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</si>
  <si>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</si>
  <si>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</si>
  <si>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</si>
  <si>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</si>
  <si>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</si>
  <si>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</si>
  <si>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</si>
  <si>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</si>
  <si>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</si>
  <si>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</si>
  <si>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</si>
  <si>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</si>
  <si>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</si>
  <si>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</si>
  <si>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</si>
  <si>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</si>
  <si>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</si>
  <si>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</si>
  <si>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</si>
  <si>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</si>
  <si>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</si>
  <si>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</si>
  <si>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</si>
  <si>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</si>
  <si>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</si>
  <si>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</si>
  <si>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</si>
  <si>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</si>
  <si>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</si>
  <si>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</si>
  <si>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</si>
  <si>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</si>
  <si>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</si>
  <si>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</si>
  <si>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</si>
  <si>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</si>
  <si>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</si>
  <si>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</si>
  <si>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</si>
  <si>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</si>
  <si>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</si>
  <si>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</si>
  <si>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</si>
  <si>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</si>
  <si>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</si>
  <si>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</si>
  <si>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</si>
  <si>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</si>
  <si>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</si>
  <si>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</si>
  <si>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</si>
  <si>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</si>
  <si>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</si>
  <si>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</si>
  <si>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</si>
  <si>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</si>
  <si>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</si>
  <si>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</si>
  <si>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</si>
  <si>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</si>
  <si>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</si>
  <si>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</si>
  <si>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</si>
  <si>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</si>
  <si>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</si>
  <si>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</si>
  <si>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</si>
  <si>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</si>
  <si>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</si>
  <si>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</si>
  <si>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</si>
  <si>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</si>
  <si>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</si>
  <si>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</si>
  <si>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</si>
  <si>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</si>
  <si>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</si>
  <si>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</si>
  <si>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</si>
  <si>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</si>
  <si>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</si>
  <si>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</si>
  <si>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</si>
  <si>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</si>
  <si>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</si>
  <si>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</si>
  <si>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</si>
  <si>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</si>
  <si>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</si>
  <si>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</si>
  <si>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</si>
  <si>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</si>
  <si>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</si>
  <si>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</si>
  <si>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</si>
  <si>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</si>
  <si>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</si>
  <si>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</si>
  <si>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</si>
  <si>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</si>
  <si>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</si>
  <si>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</si>
  <si>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</si>
  <si>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</si>
  <si>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</si>
  <si>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</si>
  <si>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</si>
  <si>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</si>
  <si>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</si>
  <si>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</si>
  <si>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GIGOV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</si>
  <si>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</si>
  <si>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</si>
  <si>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</si>
  <si>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</si>
  <si>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</si>
  <si>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</si>
  <si>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</si>
  <si>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</si>
  <si>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</si>
  <si>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</si>
  <si>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</si>
  <si>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</si>
  <si>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</si>
  <si>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</si>
  <si>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</si>
  <si>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</si>
  <si>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</si>
  <si>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</si>
  <si>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</si>
  <si>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</si>
  <si>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</si>
  <si>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</si>
  <si>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</si>
  <si>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</si>
  <si>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</si>
  <si>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</si>
  <si>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</si>
  <si>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v3.0.6</t>
  </si>
  <si>
    <t>Arredondamento das frentes:</t>
  </si>
  <si>
    <t>Tradicional</t>
  </si>
  <si>
    <t>V3.0.6</t>
  </si>
  <si>
    <t>Nº do TransfereGOV (000000):</t>
  </si>
  <si>
    <t>Nº TransfereGOV</t>
  </si>
  <si>
    <t>Adicionado modo de arredondamento para compatibilidade com o TransfereGOV, altera na aba DADOS</t>
  </si>
  <si>
    <t>A planilha passará a ser disponibilizada com o formato .xlsm. Deve ser usado arquivo referência 1.9 ou superior, também no formato .xlsm</t>
  </si>
  <si>
    <t>Nº TRANSFEREGOV</t>
  </si>
  <si>
    <t>Nº TGOV</t>
  </si>
  <si>
    <t>LAGES/SC</t>
  </si>
  <si>
    <t>PREFEITURA MUNICIPAL DE LAGES</t>
  </si>
  <si>
    <t>NÃO DESONERADO</t>
  </si>
  <si>
    <t>RODRIGO FAGUNDES DE ALMEIDA</t>
  </si>
  <si>
    <t>CREA/SC 147572-3</t>
  </si>
  <si>
    <t>ANTÔNIO CERON</t>
  </si>
  <si>
    <t>PREFEITO MUNICIPAL</t>
  </si>
  <si>
    <t>SERVIÇOS PRELIMINARES</t>
  </si>
  <si>
    <t>SINAPI-I</t>
  </si>
  <si>
    <t>Composição</t>
  </si>
  <si>
    <t>COMP-01</t>
  </si>
  <si>
    <t>98525</t>
  </si>
  <si>
    <t>COMP-02</t>
  </si>
  <si>
    <t>10776</t>
  </si>
  <si>
    <t>ADMINISTRAÇÃO E CANTEIRO DE OBRAS</t>
  </si>
  <si>
    <t>6081</t>
  </si>
  <si>
    <t>100978</t>
  </si>
  <si>
    <t>96385</t>
  </si>
  <si>
    <t>FUNDAÇÕES</t>
  </si>
  <si>
    <t>ESTRUTURA DE CONCRETO</t>
  </si>
  <si>
    <t>96523</t>
  </si>
  <si>
    <t>98557</t>
  </si>
  <si>
    <t>96558</t>
  </si>
  <si>
    <t>103330</t>
  </si>
  <si>
    <t>94227</t>
  </si>
  <si>
    <t>92540</t>
  </si>
  <si>
    <t>94210</t>
  </si>
  <si>
    <t>88489</t>
  </si>
  <si>
    <t>COBERTURA</t>
  </si>
  <si>
    <t>REVESTIMENTOS DE PAREDES INTERNAS</t>
  </si>
  <si>
    <t>102257</t>
  </si>
  <si>
    <t>105115</t>
  </si>
  <si>
    <t>96527</t>
  </si>
  <si>
    <t>97084</t>
  </si>
  <si>
    <t>92761</t>
  </si>
  <si>
    <t>96529</t>
  </si>
  <si>
    <t>95241</t>
  </si>
  <si>
    <t>96530</t>
  </si>
  <si>
    <t>92759</t>
  </si>
  <si>
    <t>92269</t>
  </si>
  <si>
    <t>92919</t>
  </si>
  <si>
    <t>103076</t>
  </si>
  <si>
    <t>92265</t>
  </si>
  <si>
    <t>REVESTIMENTO DE PISO</t>
  </si>
  <si>
    <t>87893</t>
  </si>
  <si>
    <t>87557</t>
  </si>
  <si>
    <t>REVESTIMENTOS DE FACHADA</t>
  </si>
  <si>
    <t>87265</t>
  </si>
  <si>
    <t>IMPERMEABILIZAÇÃO</t>
  </si>
  <si>
    <t>87757</t>
  </si>
  <si>
    <t>92403</t>
  </si>
  <si>
    <t>LOUÇAS, METAIS E ACESSÓRIOS</t>
  </si>
  <si>
    <t>INSTALAÇÕES HIDROSSANITÁRIAS</t>
  </si>
  <si>
    <t>INSTALAÇÕES ELÉTRICAS</t>
  </si>
  <si>
    <t>100858</t>
  </si>
  <si>
    <t>95470</t>
  </si>
  <si>
    <t>86902</t>
  </si>
  <si>
    <t>86943</t>
  </si>
  <si>
    <t>100860</t>
  </si>
  <si>
    <t>86906</t>
  </si>
  <si>
    <t>ESQUADRIAS</t>
  </si>
  <si>
    <t>34637</t>
  </si>
  <si>
    <t>94559</t>
  </si>
  <si>
    <t>94569</t>
  </si>
  <si>
    <t>95547</t>
  </si>
  <si>
    <t>95545</t>
  </si>
  <si>
    <t>37401</t>
  </si>
  <si>
    <t>37400</t>
  </si>
  <si>
    <t>37399</t>
  </si>
  <si>
    <t>91341</t>
  </si>
  <si>
    <t>90793</t>
  </si>
  <si>
    <t>90791</t>
  </si>
  <si>
    <t>89576</t>
  </si>
  <si>
    <t>89714</t>
  </si>
  <si>
    <t>89711</t>
  </si>
  <si>
    <t>89712</t>
  </si>
  <si>
    <t>89798</t>
  </si>
  <si>
    <t>89356</t>
  </si>
  <si>
    <t>89357</t>
  </si>
  <si>
    <t>97897</t>
  </si>
  <si>
    <t>98053</t>
  </si>
  <si>
    <t>98059</t>
  </si>
  <si>
    <t>91834</t>
  </si>
  <si>
    <t>91927</t>
  </si>
  <si>
    <t>91929</t>
  </si>
  <si>
    <t>91925</t>
  </si>
  <si>
    <t>97667</t>
  </si>
  <si>
    <t>39471</t>
  </si>
  <si>
    <t>93666</t>
  </si>
  <si>
    <t>93653</t>
  </si>
  <si>
    <t>93655</t>
  </si>
  <si>
    <t>92023</t>
  </si>
  <si>
    <t>91992</t>
  </si>
  <si>
    <t>91996</t>
  </si>
  <si>
    <t>103782</t>
  </si>
  <si>
    <t>93664</t>
  </si>
  <si>
    <t>IMPLANTAÇÃO DE VESTIÁRIOS CAMPO SANTA HELENA</t>
  </si>
  <si>
    <t>VESTIÁRIOS CAMPO SANTA HELENA</t>
  </si>
  <si>
    <t>IMPLANTAÇÃO DE VESTIÁRIOS</t>
  </si>
  <si>
    <t>COMP-03</t>
  </si>
  <si>
    <t>COMP-05</t>
  </si>
  <si>
    <t>4992</t>
  </si>
  <si>
    <t>3 MESES DE OBRA</t>
  </si>
  <si>
    <t>1 UNIDADE</t>
  </si>
  <si>
    <t>1 UNIDADE POR 3 MESES</t>
  </si>
  <si>
    <t>101173</t>
  </si>
  <si>
    <t>PAREDES E DIVISÓRIAS</t>
  </si>
  <si>
    <t>87251</t>
  </si>
  <si>
    <t>9360947-0</t>
  </si>
  <si>
    <t>Área da projeção da edificação e do entorno</t>
  </si>
  <si>
    <t>(3 + 1,5 + 1,5) * 2 + (10 + 1,5 + 1,5) * 2</t>
  </si>
  <si>
    <t>(3 + 1,5 + 1,5) * (10 + 1,5 + 1,5) * 1,00</t>
  </si>
  <si>
    <t>5 metros x 8 unidades</t>
  </si>
  <si>
    <t>quantitativo de projeto</t>
  </si>
  <si>
    <t>Cobertura caixa d'água = 2 m; Cobertura principal = 10 m.</t>
  </si>
  <si>
    <t>Cobertura caixa d'água = 5 m²; Cobertura principal = 30 m².</t>
  </si>
  <si>
    <t>39391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</si>
</sst>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_-;\-* #,##0.00_-;_-* &quot;-&quot;??_-;_-@_-"/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4" fillId="0" borderId="0" applyNumberFormat="0" applyFill="0" applyBorder="0" applyAlignment="0" applyProtection="0"/>
    <xf numFmtId="180" fontId="56" fillId="0" borderId="0" applyFill="0" applyBorder="0" applyAlignment="0" applyProtection="0"/>
    <xf numFmtId="164" fontId="56" fillId="0" borderId="0" applyFill="0" applyBorder="0" applyAlignment="0" applyProtection="0"/>
    <xf numFmtId="0" fontId="56" fillId="0" borderId="0"/>
    <xf numFmtId="0" fontId="1" fillId="0" borderId="0"/>
    <xf numFmtId="0" fontId="8" fillId="0" borderId="0"/>
    <xf numFmtId="0" fontId="56" fillId="5" borderId="4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71" fontId="56" fillId="0" borderId="0" applyFill="0" applyBorder="0" applyAlignment="0" applyProtection="0"/>
    <xf numFmtId="165" fontId="56" fillId="0" borderId="0" applyFill="0" applyBorder="0" applyAlignment="0" applyProtection="0"/>
  </cellStyleXfs>
  <cellXfs count="7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2" xfId="0" applyBorder="1"/>
    <xf numFmtId="0" fontId="0" fillId="6" borderId="0" xfId="0" applyFill="1"/>
    <xf numFmtId="0" fontId="0" fillId="16" borderId="0" xfId="0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0" fillId="0" borderId="13" xfId="0" applyBorder="1"/>
    <xf numFmtId="0" fontId="24" fillId="0" borderId="0" xfId="0" applyFont="1"/>
    <xf numFmtId="0" fontId="24" fillId="0" borderId="14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vertical="center"/>
    </xf>
    <xf numFmtId="0" fontId="0" fillId="16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9" fontId="0" fillId="6" borderId="18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9" fontId="0" fillId="6" borderId="20" xfId="0" applyNumberForma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Alignment="1">
      <alignment horizontal="left" vertical="center"/>
    </xf>
    <xf numFmtId="0" fontId="0" fillId="0" borderId="23" xfId="0" applyBorder="1" applyAlignment="1">
      <alignment vertical="center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49" fontId="0" fillId="6" borderId="25" xfId="0" applyNumberFormat="1" applyFill="1" applyBorder="1" applyAlignment="1" applyProtection="1">
      <alignment vertical="center" wrapText="1"/>
      <protection locked="0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8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6" fillId="0" borderId="12" xfId="0" applyFont="1" applyBorder="1" applyAlignment="1">
      <alignment horizontal="left"/>
    </xf>
    <xf numFmtId="0" fontId="0" fillId="0" borderId="29" xfId="0" applyBorder="1"/>
    <xf numFmtId="0" fontId="27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8" fillId="0" borderId="12" xfId="0" applyFont="1" applyBorder="1"/>
    <xf numFmtId="0" fontId="2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indent="1"/>
    </xf>
    <xf numFmtId="0" fontId="0" fillId="0" borderId="0" xfId="33" applyFont="1"/>
    <xf numFmtId="0" fontId="24" fillId="0" borderId="0" xfId="33" applyFont="1" applyAlignment="1">
      <alignment horizontal="center"/>
    </xf>
    <xf numFmtId="0" fontId="23" fillId="0" borderId="0" xfId="33" applyFont="1" applyAlignment="1">
      <alignment horizontal="center"/>
    </xf>
    <xf numFmtId="0" fontId="0" fillId="0" borderId="31" xfId="0" applyBorder="1" applyAlignment="1">
      <alignment horizontal="center"/>
    </xf>
    <xf numFmtId="0" fontId="24" fillId="0" borderId="32" xfId="33" applyFont="1" applyBorder="1" applyAlignment="1">
      <alignment horizontal="center"/>
    </xf>
    <xf numFmtId="10" fontId="29" fillId="0" borderId="32" xfId="33" applyNumberFormat="1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0" fillId="0" borderId="14" xfId="33" applyFont="1" applyBorder="1" applyAlignment="1">
      <alignment horizontal="left" vertical="top" wrapText="1"/>
    </xf>
    <xf numFmtId="0" fontId="24" fillId="0" borderId="0" xfId="33" applyFont="1"/>
    <xf numFmtId="0" fontId="24" fillId="0" borderId="32" xfId="33" applyFont="1" applyBorder="1" applyAlignment="1">
      <alignment horizontal="center" vertical="center" wrapText="1"/>
    </xf>
    <xf numFmtId="0" fontId="8" fillId="0" borderId="0" xfId="33" applyFont="1" applyAlignment="1">
      <alignment horizontal="left"/>
    </xf>
    <xf numFmtId="0" fontId="30" fillId="0" borderId="32" xfId="33" applyFont="1" applyBorder="1" applyAlignment="1">
      <alignment horizontal="center" vertical="center"/>
    </xf>
    <xf numFmtId="10" fontId="30" fillId="6" borderId="32" xfId="33" applyNumberFormat="1" applyFont="1" applyFill="1" applyBorder="1" applyAlignment="1" applyProtection="1">
      <alignment horizontal="center" vertical="center"/>
      <protection locked="0"/>
    </xf>
    <xf numFmtId="10" fontId="30" fillId="0" borderId="32" xfId="33" applyNumberFormat="1" applyFont="1" applyBorder="1" applyAlignment="1">
      <alignment horizontal="center" vertical="center"/>
    </xf>
    <xf numFmtId="10" fontId="30" fillId="0" borderId="32" xfId="33" applyNumberFormat="1" applyFont="1" applyBorder="1" applyAlignment="1">
      <alignment horizontal="center" vertical="center" wrapText="1"/>
    </xf>
    <xf numFmtId="0" fontId="30" fillId="0" borderId="32" xfId="33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10" fontId="17" fillId="8" borderId="32" xfId="33" applyNumberFormat="1" applyFont="1" applyFill="1" applyBorder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top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5" fillId="0" borderId="0" xfId="33" applyFont="1" applyAlignment="1">
      <alignment horizontal="center" vertical="top"/>
    </xf>
    <xf numFmtId="169" fontId="0" fillId="0" borderId="0" xfId="33" applyNumberFormat="1" applyFont="1"/>
    <xf numFmtId="0" fontId="24" fillId="0" borderId="10" xfId="33" applyFont="1" applyBorder="1" applyAlignment="1">
      <alignment horizontal="left"/>
    </xf>
    <xf numFmtId="0" fontId="0" fillId="0" borderId="10" xfId="33" applyFont="1" applyBorder="1"/>
    <xf numFmtId="0" fontId="30" fillId="0" borderId="0" xfId="33" applyFont="1"/>
    <xf numFmtId="0" fontId="24" fillId="0" borderId="0" xfId="35" applyFont="1" applyAlignment="1">
      <alignment horizontal="left" vertical="top"/>
    </xf>
    <xf numFmtId="0" fontId="0" fillId="0" borderId="0" xfId="33" applyFont="1" applyAlignment="1">
      <alignment vertical="top"/>
    </xf>
    <xf numFmtId="167" fontId="0" fillId="0" borderId="0" xfId="33" applyNumberFormat="1" applyFont="1"/>
    <xf numFmtId="167" fontId="0" fillId="0" borderId="0" xfId="33" applyNumberFormat="1" applyFont="1" applyAlignment="1">
      <alignment vertical="top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24" fillId="0" borderId="31" xfId="35" applyFont="1" applyBorder="1" applyAlignment="1">
      <alignment vertical="top"/>
    </xf>
    <xf numFmtId="0" fontId="0" fillId="0" borderId="32" xfId="0" applyBorder="1"/>
    <xf numFmtId="0" fontId="0" fillId="0" borderId="32" xfId="0" applyBorder="1" applyProtection="1">
      <protection locked="0"/>
    </xf>
    <xf numFmtId="0" fontId="0" fillId="0" borderId="14" xfId="33" applyFont="1" applyBorder="1" applyAlignment="1">
      <alignment vertical="top" wrapText="1"/>
    </xf>
    <xf numFmtId="0" fontId="0" fillId="0" borderId="29" xfId="33" applyFont="1" applyBorder="1" applyAlignment="1">
      <alignment vertical="top" wrapText="1"/>
    </xf>
    <xf numFmtId="0" fontId="0" fillId="0" borderId="0" xfId="33" applyFont="1" applyAlignment="1">
      <alignment horizontal="left" vertical="top" wrapText="1"/>
    </xf>
    <xf numFmtId="0" fontId="0" fillId="0" borderId="10" xfId="33" applyFont="1" applyBorder="1" applyAlignment="1">
      <alignment horizontal="left" vertical="top" wrapText="1"/>
    </xf>
    <xf numFmtId="0" fontId="0" fillId="0" borderId="10" xfId="33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24" fillId="0" borderId="0" xfId="35" applyFont="1" applyAlignment="1">
      <alignment horizontal="center" vertical="top"/>
    </xf>
    <xf numFmtId="0" fontId="24" fillId="0" borderId="31" xfId="35" applyFont="1" applyBorder="1" applyAlignment="1">
      <alignment horizontal="center" vertical="top"/>
    </xf>
    <xf numFmtId="170" fontId="0" fillId="0" borderId="14" xfId="33" applyNumberFormat="1" applyFont="1" applyBorder="1" applyAlignment="1">
      <alignment vertical="top" shrinkToFit="1"/>
    </xf>
    <xf numFmtId="0" fontId="0" fillId="0" borderId="30" xfId="33" applyFont="1" applyBorder="1" applyAlignment="1">
      <alignment horizontal="center" vertical="top" wrapText="1"/>
    </xf>
    <xf numFmtId="0" fontId="0" fillId="0" borderId="14" xfId="33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0" xfId="0" applyFont="1"/>
    <xf numFmtId="0" fontId="22" fillId="0" borderId="14" xfId="0" applyFon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6" borderId="38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 shrinkToFit="1"/>
    </xf>
    <xf numFmtId="49" fontId="0" fillId="1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left" vertical="center" wrapText="1"/>
      <protection locked="0"/>
    </xf>
    <xf numFmtId="0" fontId="0" fillId="6" borderId="40" xfId="0" applyFill="1" applyBorder="1" applyAlignment="1" applyProtection="1">
      <alignment horizontal="center" vertical="center" wrapText="1"/>
      <protection locked="0"/>
    </xf>
    <xf numFmtId="171" fontId="0" fillId="0" borderId="40" xfId="48" applyFont="1" applyFill="1" applyBorder="1" applyAlignment="1" applyProtection="1">
      <alignment vertical="center" shrinkToFit="1"/>
    </xf>
    <xf numFmtId="171" fontId="0" fillId="6" borderId="40" xfId="48" applyFont="1" applyFill="1" applyBorder="1" applyAlignment="1" applyProtection="1">
      <alignment vertical="center" wrapText="1"/>
      <protection locked="0"/>
    </xf>
    <xf numFmtId="10" fontId="0" fillId="16" borderId="40" xfId="37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48" applyFont="1" applyFill="1" applyBorder="1" applyAlignment="1" applyProtection="1">
      <alignment horizontal="center" vertical="center" shrinkToFit="1"/>
    </xf>
    <xf numFmtId="10" fontId="39" fillId="16" borderId="42" xfId="37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0" fillId="0" borderId="44" xfId="0" applyBorder="1"/>
    <xf numFmtId="0" fontId="22" fillId="0" borderId="0" xfId="0" applyFont="1"/>
    <xf numFmtId="0" fontId="24" fillId="17" borderId="32" xfId="0" applyFont="1" applyFill="1" applyBorder="1" applyAlignment="1">
      <alignment horizontal="center" vertical="center"/>
    </xf>
    <xf numFmtId="49" fontId="24" fillId="17" borderId="45" xfId="0" applyNumberFormat="1" applyFont="1" applyFill="1" applyBorder="1" applyAlignment="1">
      <alignment horizontal="center" vertical="center"/>
    </xf>
    <xf numFmtId="171" fontId="24" fillId="17" borderId="45" xfId="48" applyFont="1" applyFill="1" applyBorder="1" applyAlignment="1" applyProtection="1">
      <alignment horizontal="center" vertical="center"/>
    </xf>
    <xf numFmtId="10" fontId="24" fillId="17" borderId="45" xfId="37" applyNumberFormat="1" applyFont="1" applyFill="1" applyBorder="1" applyAlignment="1" applyProtection="1">
      <alignment horizontal="center" vertical="center"/>
    </xf>
    <xf numFmtId="171" fontId="24" fillId="17" borderId="46" xfId="48" applyFont="1" applyFill="1" applyBorder="1" applyAlignment="1" applyProtection="1">
      <alignment horizontal="center" vertical="center" shrinkToFit="1"/>
    </xf>
    <xf numFmtId="171" fontId="21" fillId="17" borderId="46" xfId="48" applyFont="1" applyFill="1" applyBorder="1" applyAlignment="1" applyProtection="1">
      <alignment horizontal="center" vertical="center" shrinkToFit="1"/>
    </xf>
    <xf numFmtId="0" fontId="0" fillId="4" borderId="13" xfId="0" applyFill="1" applyBorder="1"/>
    <xf numFmtId="0" fontId="0" fillId="4" borderId="46" xfId="0" applyFill="1" applyBorder="1"/>
    <xf numFmtId="0" fontId="30" fillId="0" borderId="0" xfId="0" applyFont="1"/>
    <xf numFmtId="0" fontId="30" fillId="0" borderId="33" xfId="0" applyFont="1" applyBorder="1" applyAlignment="1">
      <alignment horizontal="left" vertical="center"/>
    </xf>
    <xf numFmtId="0" fontId="30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17" fillId="0" borderId="30" xfId="33" applyFont="1" applyBorder="1" applyAlignment="1">
      <alignment vertical="center"/>
    </xf>
    <xf numFmtId="0" fontId="24" fillId="0" borderId="10" xfId="0" applyFont="1" applyBorder="1"/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indent="10"/>
    </xf>
    <xf numFmtId="0" fontId="37" fillId="0" borderId="0" xfId="0" applyFont="1" applyAlignment="1">
      <alignment horizontal="center" vertical="center"/>
    </xf>
    <xf numFmtId="0" fontId="24" fillId="0" borderId="33" xfId="35" applyFont="1" applyBorder="1" applyAlignment="1">
      <alignment vertical="top"/>
    </xf>
    <xf numFmtId="0" fontId="24" fillId="0" borderId="0" xfId="35" applyFont="1" applyAlignment="1">
      <alignment vertical="top"/>
    </xf>
    <xf numFmtId="0" fontId="24" fillId="0" borderId="12" xfId="35" applyFont="1" applyBorder="1" applyAlignment="1">
      <alignment vertical="top"/>
    </xf>
    <xf numFmtId="0" fontId="0" fillId="0" borderId="47" xfId="33" applyFont="1" applyBorder="1" applyAlignment="1">
      <alignment vertical="top"/>
    </xf>
    <xf numFmtId="0" fontId="0" fillId="0" borderId="30" xfId="33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2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47" fillId="0" borderId="0" xfId="0" applyFont="1"/>
    <xf numFmtId="1" fontId="44" fillId="0" borderId="0" xfId="0" applyNumberFormat="1" applyFont="1" applyAlignment="1">
      <alignment horizontal="left" textRotation="90" wrapText="1"/>
    </xf>
    <xf numFmtId="0" fontId="22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16" borderId="42" xfId="48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/>
    </xf>
    <xf numFmtId="0" fontId="21" fillId="0" borderId="36" xfId="48" applyNumberFormat="1" applyFont="1" applyFill="1" applyBorder="1" applyAlignment="1" applyProtection="1">
      <alignment horizontal="center" vertical="center" wrapText="1" shrinkToFit="1"/>
    </xf>
    <xf numFmtId="0" fontId="21" fillId="0" borderId="42" xfId="48" applyNumberFormat="1" applyFont="1" applyFill="1" applyBorder="1" applyAlignment="1" applyProtection="1">
      <alignment vertical="center" wrapText="1" shrinkToFit="1"/>
    </xf>
    <xf numFmtId="171" fontId="0" fillId="6" borderId="39" xfId="48" applyFont="1" applyFill="1" applyBorder="1" applyAlignment="1" applyProtection="1">
      <alignment vertical="center" shrinkToFit="1"/>
      <protection locked="0"/>
    </xf>
    <xf numFmtId="171" fontId="0" fillId="6" borderId="40" xfId="48" applyFont="1" applyFill="1" applyBorder="1" applyAlignment="1" applyProtection="1">
      <alignment vertical="center" shrinkToFit="1"/>
      <protection locked="0"/>
    </xf>
    <xf numFmtId="171" fontId="0" fillId="6" borderId="41" xfId="48" applyFont="1" applyFill="1" applyBorder="1" applyAlignment="1" applyProtection="1">
      <alignment vertical="center" shrinkToFit="1"/>
      <protection locked="0"/>
    </xf>
    <xf numFmtId="1" fontId="0" fillId="0" borderId="53" xfId="48" applyNumberFormat="1" applyFont="1" applyFill="1" applyBorder="1" applyAlignment="1" applyProtection="1">
      <alignment horizontal="center" vertical="center" shrinkToFit="1"/>
    </xf>
    <xf numFmtId="1" fontId="0" fillId="0" borderId="54" xfId="48" applyNumberFormat="1" applyFont="1" applyFill="1" applyBorder="1" applyAlignment="1" applyProtection="1">
      <alignment horizontal="center" vertical="center" shrinkToFit="1"/>
    </xf>
    <xf numFmtId="0" fontId="24" fillId="17" borderId="32" xfId="0" applyFont="1" applyFill="1" applyBorder="1" applyAlignment="1">
      <alignment horizontal="left" vertical="center"/>
    </xf>
    <xf numFmtId="0" fontId="24" fillId="14" borderId="32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right" vertical="center"/>
    </xf>
    <xf numFmtId="4" fontId="24" fillId="17" borderId="55" xfId="0" applyNumberFormat="1" applyFont="1" applyFill="1" applyBorder="1" applyAlignment="1">
      <alignment horizontal="right" vertical="center" shrinkToFit="1"/>
    </xf>
    <xf numFmtId="4" fontId="24" fillId="17" borderId="56" xfId="0" applyNumberFormat="1" applyFont="1" applyFill="1" applyBorder="1" applyAlignment="1">
      <alignment horizontal="right" vertical="center" shrinkToFit="1"/>
    </xf>
    <xf numFmtId="4" fontId="24" fillId="17" borderId="57" xfId="0" applyNumberFormat="1" applyFont="1" applyFill="1" applyBorder="1" applyAlignment="1">
      <alignment horizontal="right" vertical="center" shrinkToFit="1"/>
    </xf>
    <xf numFmtId="4" fontId="24" fillId="17" borderId="37" xfId="0" applyNumberFormat="1" applyFont="1" applyFill="1" applyBorder="1" applyAlignment="1">
      <alignment horizontal="right" vertical="center" shrinkToFit="1"/>
    </xf>
    <xf numFmtId="0" fontId="24" fillId="17" borderId="37" xfId="0" applyFont="1" applyFill="1" applyBorder="1" applyAlignment="1">
      <alignment horizontal="right" vertical="center" shrinkToFit="1"/>
    </xf>
    <xf numFmtId="0" fontId="0" fillId="18" borderId="13" xfId="0" applyFill="1" applyBorder="1"/>
    <xf numFmtId="0" fontId="0" fillId="4" borderId="45" xfId="0" applyFill="1" applyBorder="1"/>
    <xf numFmtId="167" fontId="0" fillId="0" borderId="30" xfId="0" applyNumberFormat="1" applyBorder="1"/>
    <xf numFmtId="0" fontId="0" fillId="0" borderId="30" xfId="0" applyBorder="1"/>
    <xf numFmtId="0" fontId="0" fillId="0" borderId="0" xfId="33" applyFont="1" applyAlignment="1">
      <alignment vertical="center"/>
    </xf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71" fontId="56" fillId="0" borderId="32" xfId="48" applyFill="1" applyBorder="1" applyAlignment="1" applyProtection="1"/>
    <xf numFmtId="0" fontId="46" fillId="18" borderId="32" xfId="0" applyFont="1" applyFill="1" applyBorder="1" applyAlignment="1">
      <alignment horizontal="center" vertical="center"/>
    </xf>
    <xf numFmtId="171" fontId="56" fillId="18" borderId="32" xfId="48" applyFill="1" applyBorder="1" applyAlignment="1" applyProtection="1"/>
    <xf numFmtId="0" fontId="0" fillId="18" borderId="45" xfId="0" applyFill="1" applyBorder="1"/>
    <xf numFmtId="0" fontId="0" fillId="18" borderId="46" xfId="0" applyFill="1" applyBorder="1"/>
    <xf numFmtId="0" fontId="46" fillId="0" borderId="0" xfId="34" applyFont="1" applyAlignment="1">
      <alignment horizontal="center"/>
    </xf>
    <xf numFmtId="0" fontId="46" fillId="0" borderId="0" xfId="34" applyFont="1"/>
    <xf numFmtId="165" fontId="0" fillId="0" borderId="0" xfId="49" applyFont="1" applyFill="1" applyBorder="1" applyAlignment="1" applyProtection="1">
      <alignment horizontal="center"/>
    </xf>
    <xf numFmtId="10" fontId="47" fillId="0" borderId="58" xfId="38" applyNumberFormat="1" applyFont="1" applyFill="1" applyBorder="1" applyAlignment="1" applyProtection="1">
      <alignment horizontal="center"/>
    </xf>
    <xf numFmtId="10" fontId="46" fillId="0" borderId="34" xfId="34" applyNumberFormat="1" applyFont="1" applyBorder="1" applyAlignment="1">
      <alignment horizontal="center"/>
    </xf>
    <xf numFmtId="172" fontId="46" fillId="0" borderId="59" xfId="34" applyNumberFormat="1" applyFont="1" applyBorder="1" applyAlignment="1">
      <alignment horizontal="left"/>
    </xf>
    <xf numFmtId="10" fontId="46" fillId="0" borderId="60" xfId="34" applyNumberFormat="1" applyFont="1" applyBorder="1" applyAlignment="1">
      <alignment horizontal="left"/>
    </xf>
    <xf numFmtId="1" fontId="46" fillId="0" borderId="60" xfId="34" applyNumberFormat="1" applyFont="1" applyBorder="1" applyAlignment="1">
      <alignment horizontal="center"/>
    </xf>
    <xf numFmtId="0" fontId="46" fillId="0" borderId="60" xfId="34" applyFont="1" applyBorder="1" applyAlignment="1">
      <alignment horizontal="center"/>
    </xf>
    <xf numFmtId="173" fontId="56" fillId="0" borderId="61" xfId="48" applyNumberFormat="1" applyFill="1" applyBorder="1" applyAlignment="1" applyProtection="1">
      <alignment horizontal="right" shrinkToFit="1"/>
    </xf>
    <xf numFmtId="173" fontId="0" fillId="0" borderId="34" xfId="48" applyNumberFormat="1" applyFont="1" applyFill="1" applyBorder="1" applyAlignment="1" applyProtection="1">
      <alignment horizontal="center" vertical="center"/>
    </xf>
    <xf numFmtId="10" fontId="47" fillId="0" borderId="62" xfId="38" applyNumberFormat="1" applyFont="1" applyFill="1" applyBorder="1" applyAlignment="1" applyProtection="1">
      <alignment horizontal="center"/>
    </xf>
    <xf numFmtId="10" fontId="47" fillId="0" borderId="63" xfId="38" applyNumberFormat="1" applyFont="1" applyFill="1" applyBorder="1" applyAlignment="1" applyProtection="1">
      <alignment horizontal="center"/>
    </xf>
    <xf numFmtId="0" fontId="46" fillId="0" borderId="31" xfId="34" applyFont="1" applyBorder="1" applyAlignment="1">
      <alignment horizontal="center"/>
    </xf>
    <xf numFmtId="0" fontId="46" fillId="0" borderId="64" xfId="34" applyFont="1" applyBorder="1"/>
    <xf numFmtId="0" fontId="32" fillId="0" borderId="64" xfId="34" applyFont="1" applyBorder="1"/>
    <xf numFmtId="0" fontId="46" fillId="0" borderId="64" xfId="34" applyFont="1" applyBorder="1" applyAlignment="1">
      <alignment horizontal="center"/>
    </xf>
    <xf numFmtId="165" fontId="0" fillId="0" borderId="64" xfId="49" applyFont="1" applyFill="1" applyBorder="1" applyAlignment="1" applyProtection="1">
      <alignment horizontal="right" shrinkToFit="1"/>
    </xf>
    <xf numFmtId="173" fontId="0" fillId="0" borderId="31" xfId="48" applyNumberFormat="1" applyFont="1" applyFill="1" applyBorder="1" applyAlignment="1" applyProtection="1">
      <alignment horizontal="center" vertical="center"/>
    </xf>
    <xf numFmtId="165" fontId="48" fillId="0" borderId="65" xfId="49" applyFont="1" applyFill="1" applyBorder="1" applyAlignment="1" applyProtection="1">
      <alignment horizontal="center"/>
    </xf>
    <xf numFmtId="0" fontId="46" fillId="0" borderId="14" xfId="34" applyFont="1" applyBorder="1" applyAlignment="1">
      <alignment horizontal="center"/>
    </xf>
    <xf numFmtId="165" fontId="48" fillId="0" borderId="0" xfId="49" applyFont="1" applyFill="1" applyBorder="1" applyAlignment="1" applyProtection="1">
      <alignment horizontal="center"/>
    </xf>
    <xf numFmtId="165" fontId="0" fillId="0" borderId="14" xfId="49" applyFont="1" applyFill="1" applyBorder="1" applyAlignment="1" applyProtection="1">
      <alignment horizontal="center"/>
    </xf>
    <xf numFmtId="165" fontId="48" fillId="0" borderId="56" xfId="49" applyFont="1" applyFill="1" applyBorder="1" applyAlignment="1" applyProtection="1">
      <alignment horizontal="center"/>
    </xf>
    <xf numFmtId="165" fontId="48" fillId="0" borderId="57" xfId="49" applyFont="1" applyFill="1" applyBorder="1" applyAlignment="1" applyProtection="1">
      <alignment horizontal="center"/>
    </xf>
    <xf numFmtId="165" fontId="23" fillId="0" borderId="0" xfId="49" applyFont="1" applyFill="1" applyBorder="1" applyAlignment="1" applyProtection="1">
      <alignment horizontal="left"/>
    </xf>
    <xf numFmtId="0" fontId="39" fillId="0" borderId="0" xfId="0" applyFont="1" applyAlignment="1">
      <alignment horizontal="center" textRotation="90"/>
    </xf>
    <xf numFmtId="0" fontId="49" fillId="0" borderId="33" xfId="34" applyFont="1" applyBorder="1"/>
    <xf numFmtId="0" fontId="46" fillId="0" borderId="12" xfId="34" applyFont="1" applyBorder="1"/>
    <xf numFmtId="0" fontId="24" fillId="0" borderId="33" xfId="49" applyNumberFormat="1" applyFont="1" applyFill="1" applyBorder="1" applyAlignment="1" applyProtection="1">
      <alignment horizontal="left"/>
    </xf>
    <xf numFmtId="165" fontId="24" fillId="0" borderId="33" xfId="49" applyFont="1" applyFill="1" applyBorder="1" applyAlignment="1" applyProtection="1">
      <alignment horizontal="left"/>
    </xf>
    <xf numFmtId="165" fontId="0" fillId="0" borderId="12" xfId="49" applyFont="1" applyFill="1" applyBorder="1" applyAlignment="1" applyProtection="1">
      <alignment horizontal="center"/>
    </xf>
    <xf numFmtId="0" fontId="49" fillId="0" borderId="31" xfId="34" applyFont="1" applyBorder="1" applyAlignment="1">
      <alignment horizontal="center"/>
    </xf>
    <xf numFmtId="0" fontId="46" fillId="0" borderId="47" xfId="34" applyFont="1" applyBorder="1"/>
    <xf numFmtId="0" fontId="46" fillId="16" borderId="32" xfId="34" applyFont="1" applyFill="1" applyBorder="1" applyAlignment="1" applyProtection="1">
      <alignment horizontal="center"/>
      <protection locked="0"/>
    </xf>
    <xf numFmtId="0" fontId="46" fillId="0" borderId="30" xfId="34" applyFont="1" applyBorder="1"/>
    <xf numFmtId="0" fontId="49" fillId="0" borderId="50" xfId="34" applyFont="1" applyBorder="1" applyAlignment="1">
      <alignment horizontal="center"/>
    </xf>
    <xf numFmtId="0" fontId="49" fillId="0" borderId="10" xfId="34" applyFont="1" applyBorder="1" applyAlignment="1">
      <alignment horizontal="left" vertical="center" wrapText="1"/>
    </xf>
    <xf numFmtId="0" fontId="46" fillId="0" borderId="10" xfId="34" applyFont="1" applyBorder="1" applyAlignment="1">
      <alignment horizontal="center" vertical="center"/>
    </xf>
    <xf numFmtId="0" fontId="49" fillId="0" borderId="51" xfId="34" applyFont="1" applyBorder="1" applyAlignment="1" applyProtection="1">
      <alignment horizontal="center"/>
      <protection locked="0"/>
    </xf>
    <xf numFmtId="0" fontId="49" fillId="0" borderId="52" xfId="34" applyFont="1" applyBorder="1" applyAlignment="1">
      <alignment horizontal="center"/>
    </xf>
    <xf numFmtId="0" fontId="46" fillId="0" borderId="0" xfId="34" applyFont="1" applyAlignment="1">
      <alignment horizontal="center" wrapText="1"/>
    </xf>
    <xf numFmtId="174" fontId="49" fillId="0" borderId="55" xfId="34" applyNumberFormat="1" applyFont="1" applyBorder="1" applyAlignment="1">
      <alignment horizontal="center"/>
    </xf>
    <xf numFmtId="0" fontId="49" fillId="0" borderId="30" xfId="34" applyFont="1" applyBorder="1" applyAlignment="1">
      <alignment horizontal="left" vertical="center" wrapText="1"/>
    </xf>
    <xf numFmtId="0" fontId="46" fillId="0" borderId="30" xfId="34" applyFont="1" applyBorder="1" applyAlignment="1">
      <alignment horizontal="center" vertical="center"/>
    </xf>
    <xf numFmtId="0" fontId="46" fillId="0" borderId="30" xfId="34" applyFont="1" applyBorder="1" applyAlignment="1">
      <alignment horizontal="center" vertical="center" wrapText="1"/>
    </xf>
    <xf numFmtId="174" fontId="49" fillId="0" borderId="56" xfId="34" applyNumberFormat="1" applyFont="1" applyBorder="1" applyAlignment="1" applyProtection="1">
      <alignment horizontal="center"/>
      <protection locked="0"/>
    </xf>
    <xf numFmtId="174" fontId="49" fillId="0" borderId="57" xfId="34" applyNumberFormat="1" applyFont="1" applyBorder="1" applyAlignment="1">
      <alignment horizontal="center"/>
    </xf>
    <xf numFmtId="10" fontId="0" fillId="0" borderId="54" xfId="38" applyNumberFormat="1" applyFont="1" applyFill="1" applyBorder="1" applyAlignment="1" applyProtection="1"/>
    <xf numFmtId="0" fontId="46" fillId="8" borderId="34" xfId="34" applyFont="1" applyFill="1" applyBorder="1"/>
    <xf numFmtId="165" fontId="24" fillId="0" borderId="0" xfId="49" applyFont="1" applyFill="1" applyBorder="1" applyAlignment="1" applyProtection="1">
      <alignment horizontal="center" shrinkToFit="1"/>
    </xf>
    <xf numFmtId="165" fontId="0" fillId="8" borderId="66" xfId="49" applyFont="1" applyFill="1" applyBorder="1" applyAlignment="1" applyProtection="1">
      <alignment horizontal="center"/>
    </xf>
    <xf numFmtId="165" fontId="0" fillId="8" borderId="67" xfId="49" applyFont="1" applyFill="1" applyBorder="1" applyAlignment="1" applyProtection="1">
      <alignment horizontal="right"/>
    </xf>
    <xf numFmtId="10" fontId="0" fillId="8" borderId="53" xfId="38" applyNumberFormat="1" applyFont="1" applyFill="1" applyBorder="1" applyAlignment="1" applyProtection="1"/>
    <xf numFmtId="10" fontId="0" fillId="8" borderId="54" xfId="38" applyNumberFormat="1" applyFont="1" applyFill="1" applyBorder="1" applyAlignment="1" applyProtection="1"/>
    <xf numFmtId="10" fontId="0" fillId="8" borderId="68" xfId="38" applyNumberFormat="1" applyFont="1" applyFill="1" applyBorder="1" applyAlignment="1" applyProtection="1"/>
    <xf numFmtId="171" fontId="56" fillId="0" borderId="40" xfId="48" applyFill="1" applyBorder="1" applyAlignment="1" applyProtection="1">
      <alignment shrinkToFit="1"/>
    </xf>
    <xf numFmtId="0" fontId="46" fillId="8" borderId="31" xfId="34" applyFont="1" applyFill="1" applyBorder="1"/>
    <xf numFmtId="165" fontId="0" fillId="0" borderId="38" xfId="49" applyFont="1" applyFill="1" applyBorder="1" applyAlignment="1" applyProtection="1">
      <alignment horizontal="center"/>
    </xf>
    <xf numFmtId="165" fontId="0" fillId="0" borderId="69" xfId="49" applyFont="1" applyFill="1" applyBorder="1" applyAlignment="1" applyProtection="1">
      <alignment horizontal="right"/>
    </xf>
    <xf numFmtId="171" fontId="56" fillId="0" borderId="39" xfId="48" applyFill="1" applyBorder="1" applyAlignment="1" applyProtection="1">
      <alignment shrinkToFit="1"/>
    </xf>
    <xf numFmtId="171" fontId="56" fillId="0" borderId="41" xfId="48" applyFill="1" applyBorder="1" applyAlignment="1" applyProtection="1">
      <alignment shrinkToFit="1"/>
    </xf>
    <xf numFmtId="0" fontId="49" fillId="0" borderId="0" xfId="34" applyFont="1" applyAlignment="1">
      <alignment horizontal="left"/>
    </xf>
    <xf numFmtId="0" fontId="46" fillId="8" borderId="31" xfId="34" applyFont="1" applyFill="1" applyBorder="1" applyAlignment="1">
      <alignment horizontal="center"/>
    </xf>
    <xf numFmtId="165" fontId="0" fillId="8" borderId="38" xfId="49" applyFont="1" applyFill="1" applyBorder="1" applyAlignment="1" applyProtection="1">
      <alignment horizontal="center"/>
    </xf>
    <xf numFmtId="165" fontId="0" fillId="8" borderId="69" xfId="49" applyFont="1" applyFill="1" applyBorder="1" applyAlignment="1" applyProtection="1">
      <alignment horizontal="right"/>
    </xf>
    <xf numFmtId="171" fontId="56" fillId="8" borderId="39" xfId="48" applyFill="1" applyBorder="1" applyAlignment="1" applyProtection="1">
      <alignment shrinkToFit="1"/>
    </xf>
    <xf numFmtId="171" fontId="56" fillId="8" borderId="40" xfId="48" applyFill="1" applyBorder="1" applyAlignment="1" applyProtection="1">
      <alignment shrinkToFit="1"/>
    </xf>
    <xf numFmtId="171" fontId="56" fillId="8" borderId="41" xfId="48" applyFill="1" applyBorder="1" applyAlignment="1" applyProtection="1">
      <alignment shrinkToFit="1"/>
    </xf>
    <xf numFmtId="171" fontId="56" fillId="0" borderId="43" xfId="48" applyFill="1" applyBorder="1" applyAlignment="1" applyProtection="1">
      <alignment shrinkToFit="1"/>
    </xf>
    <xf numFmtId="165" fontId="0" fillId="0" borderId="59" xfId="49" applyFont="1" applyFill="1" applyBorder="1" applyAlignment="1" applyProtection="1">
      <alignment horizontal="center"/>
    </xf>
    <xf numFmtId="165" fontId="0" fillId="0" borderId="61" xfId="49" applyFont="1" applyFill="1" applyBorder="1" applyAlignment="1" applyProtection="1">
      <alignment horizontal="right"/>
    </xf>
    <xf numFmtId="171" fontId="56" fillId="0" borderId="70" xfId="48" applyFill="1" applyBorder="1" applyAlignment="1" applyProtection="1">
      <alignment shrinkToFit="1"/>
    </xf>
    <xf numFmtId="171" fontId="56" fillId="0" borderId="44" xfId="48" applyFill="1" applyBorder="1" applyAlignment="1" applyProtection="1">
      <alignment shrinkToFit="1"/>
    </xf>
    <xf numFmtId="165" fontId="24" fillId="0" borderId="71" xfId="49" applyFont="1" applyFill="1" applyBorder="1" applyAlignment="1" applyProtection="1">
      <alignment shrinkToFit="1"/>
    </xf>
    <xf numFmtId="0" fontId="46" fillId="8" borderId="14" xfId="34" applyFont="1" applyFill="1" applyBorder="1"/>
    <xf numFmtId="165" fontId="24" fillId="8" borderId="72" xfId="49" applyFont="1" applyFill="1" applyBorder="1" applyAlignment="1" applyProtection="1">
      <alignment horizontal="center"/>
    </xf>
    <xf numFmtId="165" fontId="24" fillId="8" borderId="73" xfId="49" applyFont="1" applyFill="1" applyBorder="1" applyAlignment="1" applyProtection="1">
      <alignment horizontal="right"/>
    </xf>
    <xf numFmtId="165" fontId="24" fillId="8" borderId="74" xfId="49" applyFont="1" applyFill="1" applyBorder="1" applyAlignment="1" applyProtection="1">
      <alignment shrinkToFit="1"/>
    </xf>
    <xf numFmtId="165" fontId="24" fillId="8" borderId="71" xfId="49" applyFont="1" applyFill="1" applyBorder="1" applyAlignment="1" applyProtection="1">
      <alignment shrinkToFit="1"/>
    </xf>
    <xf numFmtId="165" fontId="24" fillId="8" borderId="75" xfId="49" applyFont="1" applyFill="1" applyBorder="1" applyAlignment="1" applyProtection="1">
      <alignment shrinkToFit="1"/>
    </xf>
    <xf numFmtId="0" fontId="46" fillId="0" borderId="30" xfId="34" applyFont="1" applyBorder="1" applyAlignment="1">
      <alignment horizontal="center"/>
    </xf>
    <xf numFmtId="165" fontId="0" fillId="0" borderId="30" xfId="49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0" xfId="0" applyAlignment="1">
      <alignment textRotation="90"/>
    </xf>
    <xf numFmtId="4" fontId="0" fillId="0" borderId="0" xfId="0" applyNumberFormat="1"/>
    <xf numFmtId="175" fontId="51" fillId="8" borderId="1" xfId="0" applyNumberFormat="1" applyFont="1" applyFill="1" applyBorder="1" applyAlignment="1">
      <alignment horizontal="center" textRotation="90" wrapText="1"/>
    </xf>
    <xf numFmtId="0" fontId="24" fillId="8" borderId="1" xfId="0" applyFont="1" applyFill="1" applyBorder="1" applyAlignment="1">
      <alignment horizontal="center"/>
    </xf>
    <xf numFmtId="0" fontId="24" fillId="8" borderId="76" xfId="0" applyFont="1" applyFill="1" applyBorder="1"/>
    <xf numFmtId="0" fontId="24" fillId="8" borderId="77" xfId="0" applyFont="1" applyFill="1" applyBorder="1"/>
    <xf numFmtId="0" fontId="24" fillId="8" borderId="78" xfId="0" applyFont="1" applyFill="1" applyBorder="1"/>
    <xf numFmtId="0" fontId="0" fillId="18" borderId="40" xfId="0" applyFill="1" applyBorder="1" applyAlignment="1">
      <alignment horizontal="center"/>
    </xf>
    <xf numFmtId="0" fontId="0" fillId="18" borderId="40" xfId="0" applyFill="1" applyBorder="1"/>
    <xf numFmtId="0" fontId="0" fillId="8" borderId="79" xfId="0" applyFill="1" applyBorder="1"/>
    <xf numFmtId="0" fontId="0" fillId="8" borderId="80" xfId="0" applyFill="1" applyBorder="1"/>
    <xf numFmtId="0" fontId="0" fillId="8" borderId="81" xfId="0" applyFill="1" applyBorder="1"/>
    <xf numFmtId="0" fontId="46" fillId="19" borderId="32" xfId="34" applyFont="1" applyFill="1" applyBorder="1" applyAlignment="1">
      <alignment horizontal="center"/>
    </xf>
    <xf numFmtId="0" fontId="49" fillId="0" borderId="12" xfId="34" applyFont="1" applyBorder="1"/>
    <xf numFmtId="0" fontId="46" fillId="0" borderId="12" xfId="34" applyFont="1" applyBorder="1" applyAlignment="1">
      <alignment horizontal="center"/>
    </xf>
    <xf numFmtId="0" fontId="0" fillId="0" borderId="33" xfId="0" applyBorder="1"/>
    <xf numFmtId="0" fontId="52" fillId="0" borderId="0" xfId="0" applyFont="1"/>
    <xf numFmtId="0" fontId="24" fillId="0" borderId="0" xfId="0" applyFont="1" applyAlignment="1">
      <alignment horizontal="right"/>
    </xf>
    <xf numFmtId="0" fontId="23" fillId="0" borderId="33" xfId="0" applyFont="1" applyBorder="1"/>
    <xf numFmtId="0" fontId="24" fillId="8" borderId="3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0" fillId="0" borderId="0" xfId="33" applyFont="1" applyAlignment="1">
      <alignment horizontal="left" vertical="top"/>
    </xf>
    <xf numFmtId="0" fontId="23" fillId="0" borderId="0" xfId="0" applyFont="1" applyAlignment="1">
      <alignment horizontal="left" vertical="center" indent="2"/>
    </xf>
    <xf numFmtId="10" fontId="0" fillId="0" borderId="32" xfId="0" applyNumberFormat="1" applyBorder="1" applyAlignment="1">
      <alignment horizontal="center" vertical="center" wrapText="1"/>
    </xf>
    <xf numFmtId="0" fontId="24" fillId="0" borderId="31" xfId="0" applyFont="1" applyBorder="1"/>
    <xf numFmtId="0" fontId="0" fillId="0" borderId="14" xfId="0" applyBorder="1"/>
    <xf numFmtId="4" fontId="0" fillId="0" borderId="14" xfId="33" applyNumberFormat="1" applyFont="1" applyBorder="1" applyAlignment="1">
      <alignment vertical="top" wrapText="1"/>
    </xf>
    <xf numFmtId="0" fontId="0" fillId="0" borderId="0" xfId="33" applyFont="1" applyAlignment="1">
      <alignment vertical="top" wrapText="1"/>
    </xf>
    <xf numFmtId="0" fontId="21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4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4" fontId="0" fillId="0" borderId="0" xfId="31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7" fillId="8" borderId="82" xfId="0" applyNumberFormat="1" applyFont="1" applyFill="1" applyBorder="1" applyAlignment="1">
      <alignment horizontal="center" vertical="center"/>
    </xf>
    <xf numFmtId="178" fontId="17" fillId="8" borderId="10" xfId="0" applyNumberFormat="1" applyFont="1" applyFill="1" applyBorder="1" applyAlignment="1">
      <alignment horizontal="center" vertical="center"/>
    </xf>
    <xf numFmtId="178" fontId="17" fillId="8" borderId="11" xfId="0" applyNumberFormat="1" applyFont="1" applyFill="1" applyBorder="1" applyAlignment="1">
      <alignment horizontal="center" vertical="center"/>
    </xf>
    <xf numFmtId="178" fontId="17" fillId="8" borderId="34" xfId="0" applyNumberFormat="1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34" xfId="0" applyFill="1" applyBorder="1" applyAlignment="1">
      <alignment horizontal="center"/>
    </xf>
    <xf numFmtId="0" fontId="0" fillId="18" borderId="82" xfId="0" applyFill="1" applyBorder="1"/>
    <xf numFmtId="0" fontId="0" fillId="18" borderId="10" xfId="0" applyFill="1" applyBorder="1" applyAlignment="1">
      <alignment horizontal="center"/>
    </xf>
    <xf numFmtId="0" fontId="0" fillId="18" borderId="10" xfId="0" applyFill="1" applyBorder="1"/>
    <xf numFmtId="0" fontId="0" fillId="18" borderId="11" xfId="0" applyFill="1" applyBorder="1"/>
    <xf numFmtId="0" fontId="0" fillId="8" borderId="47" xfId="0" applyFill="1" applyBorder="1"/>
    <xf numFmtId="0" fontId="0" fillId="8" borderId="30" xfId="0" applyFill="1" applyBorder="1"/>
    <xf numFmtId="181" fontId="8" fillId="8" borderId="47" xfId="0" applyNumberFormat="1" applyFont="1" applyFill="1" applyBorder="1" applyAlignment="1">
      <alignment horizontal="center"/>
    </xf>
    <xf numFmtId="181" fontId="8" fillId="8" borderId="30" xfId="0" applyNumberFormat="1" applyFont="1" applyFill="1" applyBorder="1" applyAlignment="1">
      <alignment horizontal="center"/>
    </xf>
    <xf numFmtId="181" fontId="8" fillId="8" borderId="29" xfId="0" applyNumberFormat="1" applyFont="1" applyFill="1" applyBorder="1" applyAlignment="1">
      <alignment horizontal="center"/>
    </xf>
    <xf numFmtId="181" fontId="8" fillId="8" borderId="14" xfId="0" applyNumberFormat="1" applyFont="1" applyFill="1" applyBorder="1" applyAlignment="1">
      <alignment horizontal="center"/>
    </xf>
    <xf numFmtId="0" fontId="0" fillId="18" borderId="14" xfId="0" applyFill="1" applyBorder="1"/>
    <xf numFmtId="0" fontId="0" fillId="18" borderId="14" xfId="0" applyFill="1" applyBorder="1" applyAlignment="1">
      <alignment horizontal="center"/>
    </xf>
    <xf numFmtId="0" fontId="0" fillId="18" borderId="47" xfId="0" applyFill="1" applyBorder="1"/>
    <xf numFmtId="0" fontId="0" fillId="18" borderId="30" xfId="0" applyFill="1" applyBorder="1" applyAlignment="1">
      <alignment horizontal="center"/>
    </xf>
    <xf numFmtId="0" fontId="0" fillId="18" borderId="30" xfId="0" applyFill="1" applyBorder="1"/>
    <xf numFmtId="0" fontId="0" fillId="18" borderId="29" xfId="0" applyFill="1" applyBorder="1"/>
    <xf numFmtId="0" fontId="23" fillId="0" borderId="0" xfId="0" applyFont="1" applyAlignment="1">
      <alignment horizontal="left" vertical="center" indent="12"/>
    </xf>
    <xf numFmtId="0" fontId="0" fillId="0" borderId="0" xfId="0" applyAlignment="1">
      <alignment horizontal="center" vertical="top"/>
    </xf>
    <xf numFmtId="0" fontId="0" fillId="0" borderId="82" xfId="0" applyBorder="1"/>
    <xf numFmtId="0" fontId="37" fillId="0" borderId="0" xfId="0" applyFont="1" applyAlignment="1">
      <alignment horizontal="left" vertical="center" indent="12"/>
    </xf>
    <xf numFmtId="0" fontId="0" fillId="0" borderId="47" xfId="33" applyFont="1" applyBorder="1" applyAlignment="1">
      <alignment vertical="top" wrapText="1"/>
    </xf>
    <xf numFmtId="182" fontId="0" fillId="0" borderId="29" xfId="33" applyNumberFormat="1" applyFont="1" applyBorder="1" applyAlignment="1">
      <alignment horizontal="left" vertical="top" wrapText="1"/>
    </xf>
    <xf numFmtId="0" fontId="0" fillId="0" borderId="34" xfId="0" applyBorder="1"/>
    <xf numFmtId="0" fontId="0" fillId="0" borderId="31" xfId="0" applyBorder="1"/>
    <xf numFmtId="49" fontId="0" fillId="0" borderId="14" xfId="33" applyNumberFormat="1" applyFont="1" applyBorder="1" applyAlignment="1">
      <alignment vertical="top" wrapText="1"/>
    </xf>
    <xf numFmtId="0" fontId="23" fillId="0" borderId="47" xfId="0" applyFont="1" applyBorder="1"/>
    <xf numFmtId="14" fontId="24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/>
    </xf>
    <xf numFmtId="183" fontId="24" fillId="8" borderId="34" xfId="0" applyNumberFormat="1" applyFont="1" applyFill="1" applyBorder="1" applyAlignment="1">
      <alignment horizontal="center" vertical="center" wrapText="1"/>
    </xf>
    <xf numFmtId="171" fontId="0" fillId="0" borderId="38" xfId="48" applyFont="1" applyFill="1" applyBorder="1" applyAlignment="1" applyProtection="1">
      <alignment vertical="center" shrinkToFit="1"/>
    </xf>
    <xf numFmtId="171" fontId="0" fillId="0" borderId="69" xfId="48" applyFont="1" applyFill="1" applyBorder="1" applyAlignment="1" applyProtection="1">
      <alignment vertical="center" shrinkToFit="1"/>
    </xf>
    <xf numFmtId="171" fontId="0" fillId="0" borderId="39" xfId="48" applyFont="1" applyFill="1" applyBorder="1" applyAlignment="1" applyProtection="1">
      <alignment horizontal="center" vertical="center" shrinkToFit="1"/>
    </xf>
    <xf numFmtId="171" fontId="0" fillId="0" borderId="40" xfId="48" applyFont="1" applyFill="1" applyBorder="1" applyAlignment="1" applyProtection="1">
      <alignment horizontal="center" vertical="center" shrinkToFit="1"/>
    </xf>
    <xf numFmtId="171" fontId="0" fillId="6" borderId="39" xfId="48" applyFont="1" applyFill="1" applyBorder="1" applyAlignment="1" applyProtection="1">
      <protection locked="0"/>
    </xf>
    <xf numFmtId="171" fontId="0" fillId="6" borderId="41" xfId="48" applyFont="1" applyFill="1" applyBorder="1" applyAlignment="1" applyProtection="1">
      <protection locked="0"/>
    </xf>
    <xf numFmtId="165" fontId="0" fillId="0" borderId="40" xfId="0" applyNumberFormat="1" applyBorder="1"/>
    <xf numFmtId="171" fontId="24" fillId="17" borderId="14" xfId="48" applyFont="1" applyFill="1" applyBorder="1" applyAlignment="1" applyProtection="1">
      <alignment horizontal="center" vertical="center"/>
    </xf>
    <xf numFmtId="171" fontId="24" fillId="17" borderId="14" xfId="48" applyFont="1" applyFill="1" applyBorder="1" applyAlignment="1" applyProtection="1">
      <alignment horizontal="center" vertical="center" shrinkToFit="1"/>
    </xf>
    <xf numFmtId="0" fontId="0" fillId="17" borderId="42" xfId="0" applyFill="1" applyBorder="1"/>
    <xf numFmtId="0" fontId="0" fillId="17" borderId="35" xfId="0" applyFill="1" applyBorder="1"/>
    <xf numFmtId="0" fontId="0" fillId="17" borderId="64" xfId="0" applyFill="1" applyBorder="1"/>
    <xf numFmtId="0" fontId="0" fillId="17" borderId="83" xfId="0" applyFill="1" applyBorder="1"/>
    <xf numFmtId="0" fontId="23" fillId="0" borderId="0" xfId="0" applyFont="1" applyAlignment="1">
      <alignment horizontal="left" vertical="center" indent="15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4" fillId="0" borderId="32" xfId="0" applyFont="1" applyBorder="1" applyAlignment="1">
      <alignment horizontal="right" vertical="center" wrapText="1"/>
    </xf>
    <xf numFmtId="184" fontId="24" fillId="0" borderId="32" xfId="31" applyNumberFormat="1" applyFont="1" applyFill="1" applyBorder="1" applyAlignment="1" applyProtection="1">
      <alignment horizontal="right" vertical="center" shrinkToFit="1"/>
    </xf>
    <xf numFmtId="0" fontId="24" fillId="0" borderId="12" xfId="35" applyFont="1" applyBorder="1"/>
    <xf numFmtId="0" fontId="0" fillId="0" borderId="29" xfId="0" applyBorder="1" applyAlignment="1">
      <alignment shrinkToFit="1"/>
    </xf>
    <xf numFmtId="0" fontId="0" fillId="0" borderId="31" xfId="33" applyFont="1" applyBorder="1" applyAlignment="1">
      <alignment vertical="top" wrapText="1"/>
    </xf>
    <xf numFmtId="4" fontId="0" fillId="0" borderId="14" xfId="33" applyNumberFormat="1" applyFont="1" applyBorder="1" applyAlignment="1">
      <alignment horizontal="left" vertical="top" wrapText="1"/>
    </xf>
    <xf numFmtId="4" fontId="0" fillId="0" borderId="47" xfId="33" applyNumberFormat="1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1" fillId="0" borderId="11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170" fontId="24" fillId="0" borderId="47" xfId="0" applyNumberFormat="1" applyFont="1" applyBorder="1" applyAlignment="1">
      <alignment horizontal="center"/>
    </xf>
    <xf numFmtId="10" fontId="24" fillId="0" borderId="29" xfId="0" applyNumberFormat="1" applyFont="1" applyBorder="1" applyAlignment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40" xfId="0" applyBorder="1" applyAlignment="1">
      <alignment horizontal="left" vertical="top"/>
    </xf>
    <xf numFmtId="49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81" fontId="8" fillId="8" borderId="84" xfId="0" applyNumberFormat="1" applyFont="1" applyFill="1" applyBorder="1" applyAlignment="1">
      <alignment horizontal="center"/>
    </xf>
    <xf numFmtId="181" fontId="8" fillId="8" borderId="85" xfId="0" applyNumberFormat="1" applyFont="1" applyFill="1" applyBorder="1" applyAlignment="1">
      <alignment horizontal="center"/>
    </xf>
    <xf numFmtId="181" fontId="8" fillId="8" borderId="66" xfId="0" applyNumberFormat="1" applyFont="1" applyFill="1" applyBorder="1" applyAlignment="1">
      <alignment horizontal="center"/>
    </xf>
    <xf numFmtId="181" fontId="8" fillId="8" borderId="67" xfId="0" applyNumberFormat="1" applyFont="1" applyFill="1" applyBorder="1" applyAlignment="1">
      <alignment horizontal="center"/>
    </xf>
    <xf numFmtId="0" fontId="0" fillId="18" borderId="33" xfId="0" applyFill="1" applyBorder="1"/>
    <xf numFmtId="0" fontId="0" fillId="18" borderId="0" xfId="0" applyFill="1" applyAlignment="1">
      <alignment horizontal="center"/>
    </xf>
    <xf numFmtId="0" fontId="0" fillId="18" borderId="12" xfId="0" applyFill="1" applyBorder="1" applyAlignment="1">
      <alignment horizontal="center"/>
    </xf>
    <xf numFmtId="0" fontId="21" fillId="0" borderId="0" xfId="0" applyFont="1"/>
    <xf numFmtId="178" fontId="0" fillId="8" borderId="42" xfId="0" applyNumberFormat="1" applyFill="1" applyBorder="1" applyAlignment="1">
      <alignment horizontal="center" vertical="center"/>
    </xf>
    <xf numFmtId="178" fontId="0" fillId="8" borderId="38" xfId="0" applyNumberFormat="1" applyFill="1" applyBorder="1" applyAlignment="1">
      <alignment horizontal="center" vertical="center"/>
    </xf>
    <xf numFmtId="178" fontId="0" fillId="8" borderId="79" xfId="0" applyNumberFormat="1" applyFill="1" applyBorder="1" applyAlignment="1">
      <alignment horizontal="center" vertical="center"/>
    </xf>
    <xf numFmtId="178" fontId="0" fillId="8" borderId="69" xfId="0" applyNumberFormat="1" applyFill="1" applyBorder="1" applyAlignment="1">
      <alignment horizontal="center" vertical="center"/>
    </xf>
    <xf numFmtId="0" fontId="0" fillId="18" borderId="84" xfId="0" applyFill="1" applyBorder="1" applyAlignment="1">
      <alignment horizontal="right"/>
    </xf>
    <xf numFmtId="178" fontId="55" fillId="0" borderId="40" xfId="0" applyNumberFormat="1" applyFont="1" applyBorder="1"/>
    <xf numFmtId="178" fontId="0" fillId="0" borderId="86" xfId="0" applyNumberFormat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18" borderId="87" xfId="0" applyFill="1" applyBorder="1" applyAlignment="1">
      <alignment horizontal="right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13" xfId="0" applyNumberFormat="1" applyFont="1" applyFill="1" applyBorder="1" applyAlignment="1">
      <alignment horizontal="center" vertical="center"/>
    </xf>
    <xf numFmtId="178" fontId="17" fillId="8" borderId="45" xfId="0" applyNumberFormat="1" applyFont="1" applyFill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7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10" xfId="0" applyBorder="1" applyAlignment="1">
      <alignment horizontal="right"/>
    </xf>
    <xf numFmtId="171" fontId="21" fillId="0" borderId="0" xfId="48" applyFont="1" applyFill="1" applyBorder="1" applyAlignment="1" applyProtection="1"/>
    <xf numFmtId="168" fontId="0" fillId="0" borderId="0" xfId="33" applyNumberFormat="1" applyFont="1" applyAlignment="1">
      <alignment horizontal="left"/>
    </xf>
    <xf numFmtId="171" fontId="56" fillId="0" borderId="0" xfId="48" applyFill="1" applyBorder="1" applyAlignment="1" applyProtection="1"/>
    <xf numFmtId="0" fontId="0" fillId="0" borderId="0" xfId="33" applyFont="1" applyAlignment="1">
      <alignment horizontal="left"/>
    </xf>
    <xf numFmtId="0" fontId="0" fillId="6" borderId="0" xfId="33" applyFont="1" applyFill="1" applyAlignment="1" applyProtection="1">
      <alignment vertical="top"/>
      <protection locked="0"/>
    </xf>
    <xf numFmtId="0" fontId="24" fillId="0" borderId="0" xfId="33" applyFont="1" applyAlignment="1">
      <alignment vertical="top"/>
    </xf>
    <xf numFmtId="180" fontId="24" fillId="0" borderId="40" xfId="48" applyNumberFormat="1" applyFont="1" applyFill="1" applyBorder="1" applyAlignment="1" applyProtection="1">
      <alignment vertical="top" shrinkToFit="1"/>
    </xf>
    <xf numFmtId="180" fontId="24" fillId="0" borderId="71" xfId="48" applyNumberFormat="1" applyFont="1" applyFill="1" applyBorder="1" applyAlignment="1" applyProtection="1">
      <alignment horizontal="right" vertical="top" shrinkToFit="1"/>
    </xf>
    <xf numFmtId="10" fontId="24" fillId="0" borderId="71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vertical="top" wrapText="1"/>
      <protection locked="0"/>
    </xf>
    <xf numFmtId="0" fontId="0" fillId="0" borderId="30" xfId="33" applyFont="1" applyBorder="1"/>
    <xf numFmtId="0" fontId="59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top"/>
    </xf>
    <xf numFmtId="0" fontId="19" fillId="20" borderId="0" xfId="0" applyFont="1" applyFill="1" applyAlignment="1">
      <alignment vertical="top"/>
    </xf>
    <xf numFmtId="0" fontId="58" fillId="21" borderId="88" xfId="30" applyFont="1" applyFill="1" applyBorder="1" applyAlignment="1">
      <alignment horizontal="center" vertical="center"/>
    </xf>
    <xf numFmtId="0" fontId="17" fillId="22" borderId="88" xfId="30" applyFont="1" applyFill="1" applyBorder="1" applyAlignment="1">
      <alignment horizontal="center" vertical="center"/>
    </xf>
    <xf numFmtId="0" fontId="23" fillId="22" borderId="88" xfId="30" applyFont="1" applyFill="1" applyBorder="1" applyAlignment="1">
      <alignment horizontal="center" vertical="center"/>
    </xf>
    <xf numFmtId="0" fontId="57" fillId="22" borderId="88" xfId="3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17" fillId="23" borderId="88" xfId="30" applyFont="1" applyFill="1" applyBorder="1" applyAlignment="1">
      <alignment horizontal="center" vertical="center"/>
    </xf>
    <xf numFmtId="0" fontId="57" fillId="23" borderId="88" xfId="30" applyFont="1" applyFill="1" applyBorder="1" applyAlignment="1">
      <alignment horizontal="center" vertical="center"/>
    </xf>
    <xf numFmtId="0" fontId="24" fillId="24" borderId="88" xfId="30" applyFont="1" applyFill="1" applyBorder="1" applyAlignment="1">
      <alignment horizontal="center" vertical="center"/>
    </xf>
    <xf numFmtId="0" fontId="23" fillId="24" borderId="88" xfId="30" applyFont="1" applyFill="1" applyBorder="1" applyAlignment="1">
      <alignment horizontal="center" vertical="center"/>
    </xf>
    <xf numFmtId="0" fontId="57" fillId="24" borderId="88" xfId="30" applyFont="1" applyFill="1" applyBorder="1" applyAlignment="1">
      <alignment horizontal="center" vertical="center"/>
    </xf>
    <xf numFmtId="0" fontId="0" fillId="25" borderId="0" xfId="0" applyFill="1"/>
    <xf numFmtId="0" fontId="0" fillId="3" borderId="0" xfId="0" applyFill="1" applyAlignment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4" fillId="0" borderId="0" xfId="0" applyFont="1" applyAlignment="1">
      <alignment vertic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9" fillId="0" borderId="0" xfId="0" applyFont="1"/>
    <xf numFmtId="0" fontId="0" fillId="0" borderId="45" xfId="0" applyBorder="1"/>
    <xf numFmtId="0" fontId="47" fillId="26" borderId="13" xfId="0" applyFont="1" applyFill="1" applyBorder="1"/>
    <xf numFmtId="0" fontId="0" fillId="26" borderId="13" xfId="0" applyFill="1" applyBorder="1"/>
    <xf numFmtId="0" fontId="0" fillId="26" borderId="45" xfId="0" applyFill="1" applyBorder="1"/>
    <xf numFmtId="0" fontId="0" fillId="26" borderId="46" xfId="0" applyFill="1" applyBorder="1"/>
    <xf numFmtId="0" fontId="0" fillId="26" borderId="32" xfId="0" applyFill="1" applyBorder="1"/>
    <xf numFmtId="0" fontId="0" fillId="26" borderId="32" xfId="0" applyFill="1" applyBorder="1" applyAlignment="1">
      <alignment horizontal="left"/>
    </xf>
    <xf numFmtId="0" fontId="0" fillId="26" borderId="32" xfId="0" applyFill="1" applyBorder="1" applyAlignment="1">
      <alignment horizont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0" fillId="27" borderId="13" xfId="0" applyFill="1" applyBorder="1"/>
    <xf numFmtId="0" fontId="0" fillId="27" borderId="46" xfId="0" applyFill="1" applyBorder="1"/>
    <xf numFmtId="0" fontId="0" fillId="27" borderId="45" xfId="0" applyFill="1" applyBorder="1"/>
    <xf numFmtId="0" fontId="0" fillId="28" borderId="32" xfId="0" applyFill="1" applyBorder="1"/>
    <xf numFmtId="171" fontId="21" fillId="17" borderId="32" xfId="48" applyFont="1" applyFill="1" applyBorder="1" applyAlignment="1" applyProtection="1">
      <alignment horizontal="center" vertical="center" shrinkToFit="1"/>
    </xf>
    <xf numFmtId="0" fontId="42" fillId="0" borderId="52" xfId="0" applyFont="1" applyBorder="1" applyAlignment="1">
      <alignment horizontal="center" vertical="center" wrapText="1"/>
    </xf>
    <xf numFmtId="171" fontId="0" fillId="0" borderId="39" xfId="48" applyFont="1" applyFill="1" applyBorder="1" applyAlignment="1" applyProtection="1">
      <alignment vertical="center" shrinkToFit="1"/>
    </xf>
    <xf numFmtId="10" fontId="0" fillId="0" borderId="41" xfId="48" applyNumberFormat="1" applyFont="1" applyFill="1" applyBorder="1" applyAlignment="1" applyProtection="1">
      <alignment vertical="center" shrinkToFit="1"/>
    </xf>
    <xf numFmtId="10" fontId="24" fillId="17" borderId="14" xfId="48" applyNumberFormat="1" applyFont="1" applyFill="1" applyBorder="1" applyAlignment="1" applyProtection="1">
      <alignment horizontal="center" vertical="center"/>
    </xf>
    <xf numFmtId="171" fontId="0" fillId="6" borderId="42" xfId="48" applyFont="1" applyFill="1" applyBorder="1" applyAlignment="1" applyProtection="1">
      <alignment vertical="center" wrapText="1"/>
      <protection locked="0"/>
    </xf>
    <xf numFmtId="0" fontId="46" fillId="28" borderId="45" xfId="34" applyFont="1" applyFill="1" applyBorder="1"/>
    <xf numFmtId="0" fontId="46" fillId="26" borderId="0" xfId="34" applyFont="1" applyFill="1"/>
    <xf numFmtId="0" fontId="46" fillId="27" borderId="32" xfId="34" applyFont="1" applyFill="1" applyBorder="1" applyAlignment="1">
      <alignment horizontal="center"/>
    </xf>
    <xf numFmtId="0" fontId="46" fillId="27" borderId="13" xfId="34" applyFont="1" applyFill="1" applyBorder="1"/>
    <xf numFmtId="0" fontId="46" fillId="27" borderId="45" xfId="34" applyFont="1" applyFill="1" applyBorder="1"/>
    <xf numFmtId="0" fontId="46" fillId="29" borderId="45" xfId="34" applyFont="1" applyFill="1" applyBorder="1" applyAlignment="1">
      <alignment horizontal="center"/>
    </xf>
    <xf numFmtId="165" fontId="0" fillId="27" borderId="45" xfId="49" applyFont="1" applyFill="1" applyBorder="1" applyAlignment="1" applyProtection="1">
      <alignment horizontal="center"/>
    </xf>
    <xf numFmtId="0" fontId="46" fillId="27" borderId="46" xfId="34" applyFont="1" applyFill="1" applyBorder="1"/>
    <xf numFmtId="0" fontId="46" fillId="26" borderId="13" xfId="34" applyFont="1" applyFill="1" applyBorder="1" applyAlignment="1">
      <alignment horizontal="center"/>
    </xf>
    <xf numFmtId="0" fontId="46" fillId="26" borderId="46" xfId="34" applyFont="1" applyFill="1" applyBorder="1" applyAlignment="1">
      <alignment horizontal="center"/>
    </xf>
    <xf numFmtId="0" fontId="46" fillId="26" borderId="45" xfId="34" applyFont="1" applyFill="1" applyBorder="1" applyAlignment="1">
      <alignment horizontal="center"/>
    </xf>
    <xf numFmtId="0" fontId="0" fillId="26" borderId="37" xfId="0" applyFill="1" applyBorder="1"/>
    <xf numFmtId="0" fontId="0" fillId="26" borderId="48" xfId="0" applyFill="1" applyBorder="1"/>
    <xf numFmtId="0" fontId="0" fillId="26" borderId="49" xfId="0" applyFill="1" applyBorder="1"/>
    <xf numFmtId="171" fontId="0" fillId="6" borderId="40" xfId="48" applyFont="1" applyFill="1" applyBorder="1" applyAlignment="1" applyProtection="1">
      <protection locked="0"/>
    </xf>
    <xf numFmtId="0" fontId="0" fillId="8" borderId="19" xfId="0" applyFill="1" applyBorder="1" applyAlignment="1">
      <alignment horizontal="center"/>
    </xf>
    <xf numFmtId="4" fontId="0" fillId="8" borderId="40" xfId="0" applyNumberFormat="1" applyFill="1" applyBorder="1"/>
    <xf numFmtId="4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4" fontId="0" fillId="8" borderId="97" xfId="0" applyNumberFormat="1" applyFill="1" applyBorder="1"/>
    <xf numFmtId="4" fontId="0" fillId="8" borderId="27" xfId="0" applyNumberFormat="1" applyFill="1" applyBorder="1"/>
    <xf numFmtId="0" fontId="0" fillId="8" borderId="17" xfId="0" applyFill="1" applyBorder="1" applyAlignment="1">
      <alignment horizontal="center"/>
    </xf>
    <xf numFmtId="4" fontId="0" fillId="8" borderId="98" xfId="0" applyNumberFormat="1" applyFill="1" applyBorder="1"/>
    <xf numFmtId="4" fontId="0" fillId="8" borderId="99" xfId="0" applyNumberFormat="1" applyFill="1" applyBorder="1"/>
    <xf numFmtId="1" fontId="0" fillId="6" borderId="0" xfId="0" applyNumberFormat="1" applyFill="1" applyAlignment="1" applyProtection="1">
      <alignment horizontal="center"/>
      <protection locked="0"/>
    </xf>
    <xf numFmtId="171" fontId="0" fillId="6" borderId="39" xfId="48" applyFont="1" applyFill="1" applyBorder="1" applyAlignment="1" applyProtection="1">
      <alignment vertical="center" wrapText="1"/>
      <protection locked="0"/>
    </xf>
    <xf numFmtId="10" fontId="24" fillId="17" borderId="74" xfId="48" applyNumberFormat="1" applyFont="1" applyFill="1" applyBorder="1" applyAlignment="1" applyProtection="1">
      <alignment horizontal="center" vertical="center"/>
    </xf>
    <xf numFmtId="171" fontId="24" fillId="17" borderId="74" xfId="48" applyFont="1" applyFill="1" applyBorder="1" applyAlignment="1" applyProtection="1">
      <alignment horizontal="center" vertical="center"/>
    </xf>
    <xf numFmtId="10" fontId="24" fillId="17" borderId="75" xfId="48" applyNumberFormat="1" applyFont="1" applyFill="1" applyBorder="1" applyAlignment="1" applyProtection="1">
      <alignment horizontal="center" vertical="center"/>
    </xf>
    <xf numFmtId="0" fontId="0" fillId="0" borderId="47" xfId="0" applyBorder="1" applyProtection="1">
      <protection locked="0"/>
    </xf>
    <xf numFmtId="184" fontId="0" fillId="0" borderId="0" xfId="0" applyNumberFormat="1"/>
    <xf numFmtId="10" fontId="47" fillId="0" borderId="100" xfId="38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left" wrapText="1"/>
    </xf>
    <xf numFmtId="4" fontId="0" fillId="6" borderId="53" xfId="0" applyNumberFormat="1" applyFill="1" applyBorder="1" applyProtection="1">
      <protection locked="0"/>
    </xf>
    <xf numFmtId="4" fontId="0" fillId="6" borderId="68" xfId="0" applyNumberFormat="1" applyFill="1" applyBorder="1" applyProtection="1">
      <protection locked="0"/>
    </xf>
    <xf numFmtId="4" fontId="0" fillId="6" borderId="74" xfId="0" applyNumberFormat="1" applyFill="1" applyBorder="1" applyProtection="1">
      <protection locked="0"/>
    </xf>
    <xf numFmtId="4" fontId="0" fillId="6" borderId="75" xfId="0" applyNumberFormat="1" applyFill="1" applyBorder="1" applyProtection="1">
      <protection locked="0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64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48" applyFont="1" applyFill="1" applyBorder="1" applyAlignment="1" applyProtection="1">
      <alignment vertical="center" shrinkToFit="1"/>
    </xf>
    <xf numFmtId="171" fontId="0" fillId="0" borderId="48" xfId="48" applyFont="1" applyFill="1" applyBorder="1" applyAlignment="1" applyProtection="1">
      <alignment vertical="center" shrinkToFit="1"/>
    </xf>
    <xf numFmtId="171" fontId="0" fillId="0" borderId="49" xfId="48" applyFont="1" applyFill="1" applyBorder="1" applyAlignment="1" applyProtection="1">
      <alignment vertical="center" shrinkToFit="1"/>
    </xf>
    <xf numFmtId="185" fontId="0" fillId="0" borderId="40" xfId="48" applyNumberFormat="1" applyFont="1" applyFill="1" applyBorder="1" applyAlignment="1" applyProtection="1">
      <alignment vertical="center" shrinkToFit="1"/>
    </xf>
    <xf numFmtId="49" fontId="24" fillId="17" borderId="30" xfId="0" applyNumberFormat="1" applyFont="1" applyFill="1" applyBorder="1" applyAlignment="1">
      <alignment horizontal="center" vertical="center"/>
    </xf>
    <xf numFmtId="171" fontId="24" fillId="17" borderId="30" xfId="48" applyFont="1" applyFill="1" applyBorder="1" applyAlignment="1" applyProtection="1">
      <alignment horizontal="center" vertical="center"/>
    </xf>
    <xf numFmtId="171" fontId="24" fillId="17" borderId="29" xfId="48" applyFont="1" applyFill="1" applyBorder="1" applyAlignment="1" applyProtection="1">
      <alignment horizontal="center" vertical="center" shrinkToFit="1"/>
    </xf>
    <xf numFmtId="1" fontId="61" fillId="0" borderId="0" xfId="0" applyNumberFormat="1" applyFont="1" applyAlignment="1">
      <alignment horizontal="center" vertical="center"/>
    </xf>
    <xf numFmtId="186" fontId="0" fillId="0" borderId="30" xfId="0" applyNumberFormat="1" applyBorder="1" applyAlignment="1">
      <alignment horizontal="left"/>
    </xf>
    <xf numFmtId="0" fontId="17" fillId="0" borderId="95" xfId="33" applyFont="1" applyBorder="1" applyAlignment="1">
      <alignment vertical="center"/>
    </xf>
    <xf numFmtId="0" fontId="0" fillId="0" borderId="95" xfId="0" applyBorder="1" applyAlignment="1">
      <alignment horizontal="center"/>
    </xf>
    <xf numFmtId="0" fontId="46" fillId="0" borderId="95" xfId="34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6" borderId="104" xfId="0" applyNumberFormat="1" applyFill="1" applyBorder="1" applyAlignment="1" applyProtection="1">
      <alignment horizontal="center" vertical="center"/>
      <protection locked="0"/>
    </xf>
    <xf numFmtId="49" fontId="0" fillId="6" borderId="41" xfId="48" applyNumberFormat="1" applyFont="1" applyFill="1" applyBorder="1" applyAlignment="1" applyProtection="1">
      <alignment horizontal="left" vertical="center" wrapText="1" shrinkToFit="1"/>
      <protection locked="0"/>
    </xf>
    <xf numFmtId="49" fontId="24" fillId="17" borderId="32" xfId="0" applyNumberFormat="1" applyFont="1" applyFill="1" applyBorder="1" applyAlignment="1">
      <alignment horizontal="left" vertical="center"/>
    </xf>
    <xf numFmtId="0" fontId="28" fillId="0" borderId="105" xfId="0" applyFont="1" applyBorder="1"/>
    <xf numFmtId="0" fontId="27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48" applyFont="1" applyFill="1" applyBorder="1" applyAlignment="1" applyProtection="1">
      <alignment vertical="center" shrinkToFit="1"/>
    </xf>
    <xf numFmtId="171" fontId="24" fillId="17" borderId="71" xfId="48" applyFont="1" applyFill="1" applyBorder="1" applyAlignment="1" applyProtection="1">
      <alignment horizontal="center" vertical="center" shrinkToFit="1"/>
    </xf>
    <xf numFmtId="171" fontId="24" fillId="17" borderId="75" xfId="48" applyFont="1" applyFill="1" applyBorder="1" applyAlignment="1" applyProtection="1">
      <alignment horizontal="center" vertical="center"/>
    </xf>
    <xf numFmtId="10" fontId="63" fillId="0" borderId="106" xfId="38" applyNumberFormat="1" applyFont="1" applyFill="1" applyBorder="1" applyAlignment="1" applyProtection="1">
      <alignment horizontal="center"/>
      <protection locked="0"/>
    </xf>
    <xf numFmtId="10" fontId="63" fillId="0" borderId="107" xfId="38" applyNumberFormat="1" applyFont="1" applyFill="1" applyBorder="1" applyAlignment="1" applyProtection="1">
      <alignment horizontal="center"/>
      <protection locked="0"/>
    </xf>
    <xf numFmtId="10" fontId="63" fillId="0" borderId="108" xfId="38" applyNumberFormat="1" applyFont="1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shrinkToFit="1"/>
      <protection locked="0"/>
    </xf>
    <xf numFmtId="0" fontId="0" fillId="0" borderId="109" xfId="0" applyBorder="1" applyAlignment="1">
      <alignment vertical="center"/>
    </xf>
    <xf numFmtId="0" fontId="0" fillId="16" borderId="110" xfId="0" applyFill="1" applyBorder="1" applyAlignment="1" applyProtection="1">
      <alignment vertical="center"/>
      <protection locked="0"/>
    </xf>
    <xf numFmtId="43" fontId="0" fillId="0" borderId="0" xfId="0" applyNumberFormat="1"/>
    <xf numFmtId="0" fontId="0" fillId="6" borderId="18" xfId="0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0" fontId="18" fillId="0" borderId="32" xfId="0" applyFont="1" applyBorder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0" fillId="0" borderId="14" xfId="33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8" fillId="0" borderId="32" xfId="33" applyFont="1" applyBorder="1" applyAlignment="1">
      <alignment horizontal="left"/>
    </xf>
    <xf numFmtId="10" fontId="8" fillId="6" borderId="32" xfId="33" applyNumberFormat="1" applyFont="1" applyFill="1" applyBorder="1" applyAlignment="1" applyProtection="1">
      <alignment horizontal="center"/>
      <protection locked="0"/>
    </xf>
    <xf numFmtId="0" fontId="8" fillId="0" borderId="14" xfId="32" applyNumberFormat="1" applyFont="1" applyFill="1" applyBorder="1" applyAlignment="1" applyProtection="1">
      <alignment horizontal="left" wrapText="1"/>
    </xf>
    <xf numFmtId="0" fontId="8" fillId="0" borderId="32" xfId="33" applyFont="1" applyBorder="1" applyAlignment="1">
      <alignment horizontal="left" wrapText="1"/>
    </xf>
    <xf numFmtId="0" fontId="24" fillId="0" borderId="32" xfId="33" applyFont="1" applyBorder="1" applyAlignment="1">
      <alignment horizontal="center" vertical="center"/>
    </xf>
    <xf numFmtId="164" fontId="8" fillId="16" borderId="14" xfId="32" applyFont="1" applyFill="1" applyBorder="1" applyAlignment="1" applyProtection="1">
      <alignment horizontal="left"/>
      <protection locked="0"/>
    </xf>
    <xf numFmtId="4" fontId="17" fillId="0" borderId="32" xfId="33" applyNumberFormat="1" applyFont="1" applyBorder="1" applyAlignment="1">
      <alignment horizontal="center" vertical="center" wrapText="1"/>
    </xf>
    <xf numFmtId="0" fontId="17" fillId="0" borderId="32" xfId="33" applyFont="1" applyBorder="1" applyAlignment="1">
      <alignment horizontal="center" vertical="center"/>
    </xf>
    <xf numFmtId="0" fontId="23" fillId="0" borderId="32" xfId="33" applyFont="1" applyBorder="1" applyAlignment="1">
      <alignment horizontal="center"/>
    </xf>
    <xf numFmtId="0" fontId="0" fillId="0" borderId="32" xfId="33" applyFont="1" applyBorder="1" applyAlignment="1">
      <alignment horizontal="center" vertical="center" wrapText="1"/>
    </xf>
    <xf numFmtId="4" fontId="17" fillId="0" borderId="32" xfId="33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8" fillId="0" borderId="32" xfId="33" applyFont="1" applyBorder="1" applyAlignment="1">
      <alignment horizontal="left" vertical="center" wrapText="1"/>
    </xf>
    <xf numFmtId="0" fontId="30" fillId="8" borderId="32" xfId="33" applyFont="1" applyFill="1" applyBorder="1" applyAlignment="1">
      <alignment horizontal="center" vertical="center" wrapText="1"/>
    </xf>
    <xf numFmtId="0" fontId="32" fillId="0" borderId="0" xfId="33" applyFont="1" applyAlignment="1">
      <alignment horizontal="left" vertical="center" indent="1"/>
    </xf>
    <xf numFmtId="0" fontId="0" fillId="0" borderId="0" xfId="33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0" fillId="0" borderId="10" xfId="33" applyFont="1" applyBorder="1" applyAlignment="1">
      <alignment horizontal="left" vertical="center"/>
    </xf>
    <xf numFmtId="167" fontId="0" fillId="0" borderId="30" xfId="33" applyNumberFormat="1" applyFont="1" applyBorder="1" applyAlignment="1">
      <alignment horizontal="left"/>
    </xf>
    <xf numFmtId="186" fontId="0" fillId="0" borderId="30" xfId="33" applyNumberFormat="1" applyFont="1" applyBorder="1" applyAlignment="1">
      <alignment horizontal="left"/>
    </xf>
    <xf numFmtId="0" fontId="24" fillId="0" borderId="0" xfId="33" applyFont="1" applyAlignment="1">
      <alignment horizontal="left" vertical="center"/>
    </xf>
    <xf numFmtId="0" fontId="17" fillId="0" borderId="0" xfId="33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49" fontId="0" fillId="6" borderId="32" xfId="33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center" textRotation="90"/>
    </xf>
    <xf numFmtId="186" fontId="0" fillId="0" borderId="0" xfId="0" applyNumberFormat="1" applyAlignment="1">
      <alignment horizontal="left"/>
    </xf>
    <xf numFmtId="0" fontId="24" fillId="17" borderId="13" xfId="0" applyFont="1" applyFill="1" applyBorder="1" applyAlignment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  <protection locked="0"/>
    </xf>
    <xf numFmtId="0" fontId="30" fillId="6" borderId="14" xfId="0" applyFont="1" applyFill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14" borderId="0" xfId="0" applyFill="1" applyAlignment="1">
      <alignment horizontal="left"/>
    </xf>
    <xf numFmtId="0" fontId="0" fillId="0" borderId="47" xfId="33" applyFont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62" fillId="0" borderId="0" xfId="0" applyFont="1" applyAlignment="1">
      <alignment horizontal="center" textRotation="90" wrapText="1"/>
    </xf>
    <xf numFmtId="0" fontId="24" fillId="0" borderId="12" xfId="0" applyFont="1" applyBorder="1" applyAlignment="1">
      <alignment horizontal="center"/>
    </xf>
    <xf numFmtId="0" fontId="39" fillId="0" borderId="0" xfId="0" applyFont="1" applyAlignment="1">
      <alignment horizontal="center" textRotation="90" wrapText="1"/>
    </xf>
    <xf numFmtId="0" fontId="23" fillId="0" borderId="0" xfId="0" applyFont="1" applyAlignment="1">
      <alignment horizontal="left" vertical="center" indent="10"/>
    </xf>
    <xf numFmtId="0" fontId="37" fillId="0" borderId="0" xfId="0" applyFont="1" applyAlignment="1">
      <alignment horizontal="left" vertical="center" indent="10"/>
    </xf>
    <xf numFmtId="0" fontId="24" fillId="17" borderId="32" xfId="0" applyFont="1" applyFill="1" applyBorder="1" applyAlignment="1">
      <alignment horizontal="left" vertical="center" wrapText="1"/>
    </xf>
    <xf numFmtId="0" fontId="46" fillId="6" borderId="32" xfId="0" applyFont="1" applyFill="1" applyBorder="1" applyAlignment="1" applyProtection="1">
      <alignment horizontal="left" vertical="center"/>
      <protection locked="0"/>
    </xf>
    <xf numFmtId="0" fontId="0" fillId="16" borderId="111" xfId="0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12" fillId="0" borderId="32" xfId="0" applyFont="1" applyBorder="1"/>
    <xf numFmtId="0" fontId="46" fillId="18" borderId="32" xfId="0" applyFont="1" applyFill="1" applyBorder="1" applyAlignment="1">
      <alignment horizontal="left" vertical="center"/>
    </xf>
    <xf numFmtId="0" fontId="46" fillId="0" borderId="14" xfId="34" applyFont="1" applyBorder="1" applyAlignment="1">
      <alignment horizontal="left"/>
    </xf>
    <xf numFmtId="0" fontId="46" fillId="0" borderId="0" xfId="34" applyFont="1" applyAlignment="1">
      <alignment horizontal="center" wrapText="1"/>
    </xf>
    <xf numFmtId="0" fontId="50" fillId="0" borderId="11" xfId="34" applyFont="1" applyBorder="1" applyAlignment="1">
      <alignment horizontal="left" vertical="top"/>
    </xf>
    <xf numFmtId="0" fontId="46" fillId="0" borderId="32" xfId="34" applyFont="1" applyBorder="1" applyAlignment="1">
      <alignment horizontal="center" wrapText="1"/>
    </xf>
    <xf numFmtId="0" fontId="49" fillId="0" borderId="13" xfId="34" applyFont="1" applyBorder="1" applyAlignment="1">
      <alignment horizontal="center" vertical="center" wrapText="1"/>
    </xf>
    <xf numFmtId="0" fontId="49" fillId="0" borderId="45" xfId="34" applyFont="1" applyBorder="1" applyAlignment="1">
      <alignment horizontal="left" vertical="center" wrapText="1"/>
    </xf>
    <xf numFmtId="186" fontId="0" fillId="0" borderId="30" xfId="0" applyNumberFormat="1" applyBorder="1" applyAlignment="1">
      <alignment horizontal="left"/>
    </xf>
    <xf numFmtId="0" fontId="46" fillId="0" borderId="47" xfId="34" applyFont="1" applyBorder="1" applyAlignment="1">
      <alignment horizontal="left"/>
    </xf>
    <xf numFmtId="165" fontId="24" fillId="0" borderId="46" xfId="49" applyFont="1" applyFill="1" applyBorder="1" applyAlignment="1" applyProtection="1">
      <alignment horizontal="center" vertical="center" wrapText="1"/>
    </xf>
    <xf numFmtId="173" fontId="24" fillId="0" borderId="32" xfId="48" applyNumberFormat="1" applyFont="1" applyFill="1" applyBorder="1" applyAlignment="1" applyProtection="1">
      <alignment horizontal="center" vertical="center"/>
    </xf>
    <xf numFmtId="165" fontId="0" fillId="0" borderId="14" xfId="49" applyFont="1" applyFill="1" applyBorder="1" applyAlignment="1" applyProtection="1">
      <alignment horizontal="left"/>
    </xf>
    <xf numFmtId="0" fontId="22" fillId="0" borderId="30" xfId="34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9" fillId="0" borderId="31" xfId="34" applyFont="1" applyBorder="1" applyAlignment="1">
      <alignment horizontal="center"/>
    </xf>
    <xf numFmtId="0" fontId="60" fillId="0" borderId="112" xfId="0" applyFont="1" applyBorder="1" applyAlignment="1">
      <alignment horizontal="center" vertical="top" wrapText="1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0" borderId="14" xfId="0" applyFont="1" applyBorder="1" applyAlignment="1">
      <alignment horizontal="center"/>
    </xf>
    <xf numFmtId="0" fontId="46" fillId="0" borderId="14" xfId="34" applyFont="1" applyBorder="1" applyAlignment="1">
      <alignment horizontal="center"/>
    </xf>
    <xf numFmtId="10" fontId="23" fillId="0" borderId="14" xfId="37" applyNumberFormat="1" applyFont="1" applyFill="1" applyBorder="1" applyAlignment="1" applyProtection="1">
      <alignment horizontal="center"/>
    </xf>
    <xf numFmtId="0" fontId="24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8" borderId="40" xfId="0" applyFill="1" applyBorder="1"/>
    <xf numFmtId="10" fontId="56" fillId="0" borderId="10" xfId="37" applyNumberFormat="1" applyFill="1" applyBorder="1" applyAlignment="1" applyProtection="1">
      <alignment horizontal="center"/>
    </xf>
    <xf numFmtId="10" fontId="56" fillId="0" borderId="34" xfId="37" applyNumberFormat="1" applyFill="1" applyBorder="1" applyAlignment="1" applyProtection="1">
      <alignment horizontal="center"/>
    </xf>
    <xf numFmtId="176" fontId="24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177" fontId="56" fillId="0" borderId="14" xfId="48" applyNumberFormat="1" applyFill="1" applyBorder="1" applyAlignment="1" applyProtection="1">
      <alignment horizontal="center" shrinkToFit="1"/>
    </xf>
    <xf numFmtId="10" fontId="56" fillId="0" borderId="31" xfId="37" applyNumberFormat="1" applyFill="1" applyBorder="1" applyAlignment="1" applyProtection="1">
      <alignment horizontal="center"/>
    </xf>
    <xf numFmtId="10" fontId="56" fillId="0" borderId="33" xfId="37" applyNumberFormat="1" applyFill="1" applyBorder="1" applyAlignment="1" applyProtection="1">
      <alignment horizontal="center"/>
    </xf>
    <xf numFmtId="0" fontId="24" fillId="0" borderId="32" xfId="0" applyFont="1" applyBorder="1" applyAlignment="1">
      <alignment horizontal="right" vertical="center"/>
    </xf>
    <xf numFmtId="10" fontId="56" fillId="0" borderId="0" xfId="37" applyNumberFormat="1" applyFill="1" applyBorder="1" applyAlignment="1" applyProtection="1">
      <alignment horizontal="center"/>
    </xf>
    <xf numFmtId="177" fontId="56" fillId="0" borderId="30" xfId="48" applyNumberFormat="1" applyFill="1" applyBorder="1" applyAlignment="1" applyProtection="1">
      <alignment horizontal="center" shrinkToFit="1"/>
    </xf>
    <xf numFmtId="177" fontId="56" fillId="0" borderId="47" xfId="48" applyNumberFormat="1" applyFill="1" applyBorder="1" applyAlignment="1" applyProtection="1">
      <alignment horizontal="center" shrinkToFit="1"/>
    </xf>
    <xf numFmtId="10" fontId="56" fillId="0" borderId="82" xfId="37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4" fillId="0" borderId="33" xfId="0" applyNumberFormat="1" applyFont="1" applyBorder="1" applyAlignment="1">
      <alignment horizontal="left"/>
    </xf>
    <xf numFmtId="0" fontId="24" fillId="0" borderId="31" xfId="35" applyFont="1" applyBorder="1" applyAlignment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24" fillId="8" borderId="4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top"/>
    </xf>
    <xf numFmtId="0" fontId="23" fillId="6" borderId="3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71" fontId="24" fillId="8" borderId="14" xfId="48" applyFont="1" applyFill="1" applyBorder="1" applyAlignment="1" applyProtection="1">
      <alignment horizontal="center" vertical="center" shrinkToFit="1"/>
    </xf>
    <xf numFmtId="0" fontId="3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4" fillId="17" borderId="47" xfId="0" applyFont="1" applyFill="1" applyBorder="1" applyAlignment="1">
      <alignment horizontal="left" vertical="center" wrapText="1"/>
    </xf>
    <xf numFmtId="0" fontId="0" fillId="6" borderId="0" xfId="33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7" fillId="0" borderId="30" xfId="33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4" fillId="0" borderId="34" xfId="0" applyFont="1" applyBorder="1" applyAlignment="1">
      <alignment horizontal="center"/>
    </xf>
    <xf numFmtId="0" fontId="53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4" fillId="0" borderId="33" xfId="35" applyFont="1" applyBorder="1" applyAlignment="1">
      <alignment horizontal="center"/>
    </xf>
    <xf numFmtId="0" fontId="24" fillId="0" borderId="0" xfId="35" applyFont="1" applyAlignment="1">
      <alignment horizontal="center"/>
    </xf>
    <xf numFmtId="0" fontId="24" fillId="0" borderId="12" xfId="35" applyFont="1" applyBorder="1" applyAlignment="1">
      <alignment horizontal="center"/>
    </xf>
    <xf numFmtId="0" fontId="30" fillId="6" borderId="33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0" fillId="6" borderId="47" xfId="0" applyFont="1" applyFill="1" applyBorder="1" applyAlignment="1" applyProtection="1">
      <alignment horizontal="left" vertical="top" wrapText="1"/>
      <protection locked="0"/>
    </xf>
    <xf numFmtId="0" fontId="30" fillId="6" borderId="30" xfId="0" applyFont="1" applyFill="1" applyBorder="1" applyAlignment="1" applyProtection="1">
      <alignment horizontal="left" vertical="top" wrapText="1"/>
      <protection locked="0"/>
    </xf>
    <xf numFmtId="0" fontId="30" fillId="6" borderId="29" xfId="0" applyFont="1" applyFill="1" applyBorder="1" applyAlignment="1" applyProtection="1">
      <alignment horizontal="left" vertical="top" wrapText="1"/>
      <protection locked="0"/>
    </xf>
    <xf numFmtId="0" fontId="0" fillId="8" borderId="84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10" fontId="24" fillId="8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24" fillId="8" borderId="113" xfId="0" applyFont="1" applyFill="1" applyBorder="1" applyAlignment="1">
      <alignment horizontal="center" vertical="center" wrapText="1"/>
    </xf>
    <xf numFmtId="0" fontId="24" fillId="8" borderId="114" xfId="0" applyFont="1" applyFill="1" applyBorder="1" applyAlignment="1">
      <alignment horizontal="center" vertical="center" wrapText="1"/>
    </xf>
    <xf numFmtId="49" fontId="0" fillId="6" borderId="0" xfId="33" applyNumberFormat="1" applyFont="1" applyFill="1" applyAlignment="1" applyProtection="1">
      <alignment horizontal="left"/>
      <protection locked="0"/>
    </xf>
    <xf numFmtId="168" fontId="0" fillId="0" borderId="0" xfId="33" applyNumberFormat="1" applyFont="1" applyAlignment="1">
      <alignment horizontal="right"/>
    </xf>
    <xf numFmtId="0" fontId="0" fillId="0" borderId="0" xfId="33" applyFont="1" applyAlignment="1">
      <alignment horizontal="left"/>
    </xf>
    <xf numFmtId="0" fontId="0" fillId="0" borderId="0" xfId="33" applyFont="1" applyAlignment="1">
      <alignment horizontal="center"/>
    </xf>
    <xf numFmtId="171" fontId="24" fillId="8" borderId="115" xfId="48" applyFont="1" applyFill="1" applyBorder="1" applyAlignment="1" applyProtection="1">
      <alignment horizontal="center" vertical="center"/>
    </xf>
    <xf numFmtId="171" fontId="24" fillId="8" borderId="116" xfId="48" applyFont="1" applyFill="1" applyBorder="1" applyAlignment="1" applyProtection="1">
      <alignment horizontal="center" vertical="center"/>
    </xf>
    <xf numFmtId="0" fontId="24" fillId="8" borderId="117" xfId="0" applyFont="1" applyFill="1" applyBorder="1" applyAlignment="1">
      <alignment horizontal="center" vertical="center" wrapText="1"/>
    </xf>
    <xf numFmtId="0" fontId="24" fillId="8" borderId="87" xfId="0" applyFont="1" applyFill="1" applyBorder="1" applyAlignment="1">
      <alignment horizontal="center" vertical="center" wrapText="1"/>
    </xf>
    <xf numFmtId="0" fontId="0" fillId="0" borderId="0" xfId="33" applyFont="1" applyAlignment="1">
      <alignment horizontal="left" vertical="top" wrapText="1"/>
    </xf>
    <xf numFmtId="0" fontId="0" fillId="0" borderId="53" xfId="33" applyFont="1" applyBorder="1" applyAlignment="1">
      <alignment horizontal="center"/>
    </xf>
    <xf numFmtId="0" fontId="0" fillId="0" borderId="0" xfId="33" applyFont="1" applyAlignment="1">
      <alignment horizontal="left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top" wrapText="1" shrinkToFit="1"/>
    </xf>
    <xf numFmtId="0" fontId="0" fillId="0" borderId="54" xfId="33" applyFont="1" applyBorder="1" applyAlignment="1">
      <alignment horizontal="center" vertical="center" wrapText="1"/>
    </xf>
    <xf numFmtId="0" fontId="0" fillId="0" borderId="68" xfId="33" applyFont="1" applyBorder="1" applyAlignment="1">
      <alignment horizontal="center" vertical="center" wrapText="1"/>
    </xf>
    <xf numFmtId="0" fontId="0" fillId="0" borderId="39" xfId="33" applyFont="1" applyBorder="1" applyAlignment="1">
      <alignment horizontal="right"/>
    </xf>
    <xf numFmtId="180" fontId="24" fillId="0" borderId="41" xfId="48" applyNumberFormat="1" applyFont="1" applyFill="1" applyBorder="1" applyAlignment="1" applyProtection="1">
      <alignment vertical="top" shrinkToFit="1"/>
    </xf>
    <xf numFmtId="0" fontId="0" fillId="0" borderId="0" xfId="33" applyFont="1" applyAlignment="1">
      <alignment horizontal="left" vertical="top"/>
    </xf>
    <xf numFmtId="0" fontId="0" fillId="0" borderId="0" xfId="0"/>
    <xf numFmtId="0" fontId="0" fillId="0" borderId="74" xfId="33" applyFont="1" applyBorder="1" applyAlignment="1">
      <alignment horizontal="right"/>
    </xf>
    <xf numFmtId="10" fontId="24" fillId="0" borderId="75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horizontal="left" vertical="top" wrapText="1"/>
      <protection locked="0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" xfId="31" builtinId="4"/>
    <cellStyle name="Moeda_Composicao BDI v2.1" xfId="32"/>
    <cellStyle name="Normal" xfId="0" builtinId="0"/>
    <cellStyle name="Normal 2" xfId="33"/>
    <cellStyle name="Normal 3" xfId="34"/>
    <cellStyle name="Normal_FICHA DE VERIFICAÇÃO PRELIMINAR - Plano R" xfId="35"/>
    <cellStyle name="Nota" xfId="36" builtinId="10" customBuiltin="1"/>
    <cellStyle name="Porcentagem" xfId="37" builtinId="5"/>
    <cellStyle name="Porcentagem 2" xfId="38"/>
    <cellStyle name="Saída" xfId="39" builtinId="21" customBuiltin="1"/>
    <cellStyle name="Texto de Aviso" xfId="40" builtinId="11" customBuiltin="1"/>
    <cellStyle name="Texto Explicativo" xfId="41" builtinId="53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ítulo 5" xfId="46"/>
    <cellStyle name="Total" xfId="47" builtinId="25" customBuiltin="1"/>
    <cellStyle name="Vírgula" xfId="48" builtinId="3"/>
    <cellStyle name="Vírgula 2" xfId="49"/>
  </cellStyles>
  <dxfs count="459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6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6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BDI!Q1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C&#193;LCULO!D1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VENTOS!A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OR&#199;AMENTO!M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RONOPLE!B2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RRE!E1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image" Target="../media/image2.emf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Of&#237;cio!C6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2087880</xdr:colOff>
      <xdr:row>2</xdr:row>
      <xdr:rowOff>259080</xdr:rowOff>
    </xdr:to>
    <xdr:pic>
      <xdr:nvPicPr>
        <xdr:cNvPr id="20321" name="Imagem 23">
          <a:extLst>
            <a:ext uri="{FF2B5EF4-FFF2-40B4-BE49-F238E27FC236}">
              <a16:creationId xmlns:a16="http://schemas.microsoft.com/office/drawing/2014/main" xmlns="" id="{00000000-0008-0000-0000-00006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90500"/>
          <a:ext cx="2476500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4</xdr:row>
          <xdr:rowOff>0</xdr:rowOff>
        </xdr:from>
        <xdr:to>
          <xdr:col>2</xdr:col>
          <xdr:colOff>1264920</xdr:colOff>
          <xdr:row>6</xdr:row>
          <xdr:rowOff>7620</xdr:rowOff>
        </xdr:to>
        <xdr:grpSp>
          <xdr:nvGrpSpPr>
            <xdr:cNvPr id="20322" name="TipoOrçamento">
              <a:extLst>
                <a:ext uri="{FF2B5EF4-FFF2-40B4-BE49-F238E27FC236}">
                  <a16:creationId xmlns:a16="http://schemas.microsoft.com/office/drawing/2014/main" xmlns="" id="{00000000-0008-0000-0000-000062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9120" y="971550"/>
              <a:ext cx="1257300" cy="483870"/>
              <a:chOff x="523876" y="971528"/>
              <a:chExt cx="1257300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xmlns="" id="{00000000-0008-0000-0000-0000113C0000}"/>
                  </a:ext>
                </a:extLst>
              </xdr:cNvPr>
              <xdr:cNvSpPr/>
            </xdr:nvSpPr>
            <xdr:spPr bwMode="auto">
              <a:xfrm>
                <a:off x="523876" y="971528"/>
                <a:ext cx="1257300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xmlns="" id="{00000000-0008-0000-0000-00005D3C0000}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4</xdr:row>
          <xdr:rowOff>0</xdr:rowOff>
        </xdr:from>
        <xdr:to>
          <xdr:col>3</xdr:col>
          <xdr:colOff>22860</xdr:colOff>
          <xdr:row>6</xdr:row>
          <xdr:rowOff>7620</xdr:rowOff>
        </xdr:to>
        <xdr:grpSp>
          <xdr:nvGrpSpPr>
            <xdr:cNvPr id="20323" name="Acompanhamento">
              <a:extLst>
                <a:ext uri="{FF2B5EF4-FFF2-40B4-BE49-F238E27FC236}">
                  <a16:creationId xmlns:a16="http://schemas.microsoft.com/office/drawing/2014/main" xmlns="" id="{00000000-0008-0000-0000-000063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35480" y="971550"/>
              <a:ext cx="1230630" cy="483870"/>
              <a:chOff x="1790701" y="971522"/>
              <a:chExt cx="1304925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xmlns="" id="{00000000-0008-0000-0000-0000183C0000}"/>
                  </a:ext>
                </a:extLst>
              </xdr:cNvPr>
              <xdr:cNvSpPr/>
            </xdr:nvSpPr>
            <xdr:spPr bwMode="auto">
              <a:xfrm>
                <a:off x="1790701" y="971522"/>
                <a:ext cx="1304925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xmlns="" id="{00000000-0008-0000-0000-00005E3C0000}"/>
                  </a:ext>
                </a:extLst>
              </xdr:cNvPr>
              <xdr:cNvSpPr/>
            </xdr:nvSpPr>
            <xdr:spPr bwMode="auto">
              <a:xfrm>
                <a:off x="1924050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160019</xdr:rowOff>
    </xdr:from>
    <xdr:to>
      <xdr:col>9</xdr:col>
      <xdr:colOff>1144906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160020</xdr:rowOff>
    </xdr:from>
    <xdr:to>
      <xdr:col>9</xdr:col>
      <xdr:colOff>1144905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1135380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102923</xdr:colOff>
      <xdr:row>2</xdr:row>
      <xdr:rowOff>49540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4848" name="Logo1">
          <a:extLst>
            <a:ext uri="{FF2B5EF4-FFF2-40B4-BE49-F238E27FC236}">
              <a16:creationId xmlns:a16="http://schemas.microsoft.com/office/drawing/2014/main" xmlns="" id="{00000000-0008-0000-03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409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15240</xdr:rowOff>
    </xdr:from>
    <xdr:to>
      <xdr:col>15</xdr:col>
      <xdr:colOff>1036320</xdr:colOff>
      <xdr:row>1</xdr:row>
      <xdr:rowOff>167640</xdr:rowOff>
    </xdr:to>
    <xdr:pic>
      <xdr:nvPicPr>
        <xdr:cNvPr id="24130" name="Picture 2">
          <a:extLst>
            <a:ext uri="{FF2B5EF4-FFF2-40B4-BE49-F238E27FC236}">
              <a16:creationId xmlns:a16="http://schemas.microsoft.com/office/drawing/2014/main" xmlns="" id="{00000000-0008-0000-0400-00004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15240"/>
          <a:ext cx="1844040" cy="37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9102</xdr:colOff>
      <xdr:row>8</xdr:row>
      <xdr:rowOff>152400</xdr:rowOff>
    </xdr:from>
    <xdr:to>
      <xdr:col>23</xdr:col>
      <xdr:colOff>1051560</xdr:colOff>
      <xdr:row>11</xdr:row>
      <xdr:rowOff>36243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457200</xdr:colOff>
          <xdr:row>9</xdr:row>
          <xdr:rowOff>123825</xdr:rowOff>
        </xdr:from>
        <xdr:to>
          <xdr:col>19</xdr:col>
          <xdr:colOff>895350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</xdr:colOff>
          <xdr:row>9</xdr:row>
          <xdr:rowOff>123825</xdr:rowOff>
        </xdr:from>
        <xdr:to>
          <xdr:col>20</xdr:col>
          <xdr:colOff>876300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285750</xdr:colOff>
          <xdr:row>9</xdr:row>
          <xdr:rowOff>123825</xdr:rowOff>
        </xdr:from>
        <xdr:to>
          <xdr:col>21</xdr:col>
          <xdr:colOff>704850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361950</xdr:colOff>
          <xdr:row>9</xdr:row>
          <xdr:rowOff>123825</xdr:rowOff>
        </xdr:from>
        <xdr:to>
          <xdr:col>22</xdr:col>
          <xdr:colOff>790575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104775</xdr:rowOff>
        </xdr:from>
        <xdr:to>
          <xdr:col>23</xdr:col>
          <xdr:colOff>876300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302895</xdr:colOff>
      <xdr:row>0</xdr:row>
      <xdr:rowOff>144780</xdr:rowOff>
    </xdr:from>
    <xdr:to>
      <xdr:col>13</xdr:col>
      <xdr:colOff>285797</xdr:colOff>
      <xdr:row>2</xdr:row>
      <xdr:rowOff>38187</xdr:rowOff>
    </xdr:to>
    <xdr:sp macro="" textlink="" fLocksText="0">
      <xdr:nvSpPr>
        <xdr:cNvPr id="513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624896</xdr:colOff>
      <xdr:row>10</xdr:row>
      <xdr:rowOff>160060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93345</xdr:colOff>
      <xdr:row>9</xdr:row>
      <xdr:rowOff>0</xdr:rowOff>
    </xdr:from>
    <xdr:to>
      <xdr:col>17</xdr:col>
      <xdr:colOff>1560297</xdr:colOff>
      <xdr:row>10</xdr:row>
      <xdr:rowOff>160060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691515</xdr:colOff>
      <xdr:row>9</xdr:row>
      <xdr:rowOff>0</xdr:rowOff>
    </xdr:from>
    <xdr:to>
      <xdr:col>17</xdr:col>
      <xdr:colOff>9547</xdr:colOff>
      <xdr:row>10</xdr:row>
      <xdr:rowOff>160060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1644015</xdr:colOff>
      <xdr:row>9</xdr:row>
      <xdr:rowOff>0</xdr:rowOff>
    </xdr:from>
    <xdr:to>
      <xdr:col>17</xdr:col>
      <xdr:colOff>3339378</xdr:colOff>
      <xdr:row>10</xdr:row>
      <xdr:rowOff>160060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xmlns="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3404023</xdr:colOff>
      <xdr:row>9</xdr:row>
      <xdr:rowOff>1</xdr:rowOff>
    </xdr:from>
    <xdr:to>
      <xdr:col>18</xdr:col>
      <xdr:colOff>272154</xdr:colOff>
      <xdr:row>10</xdr:row>
      <xdr:rowOff>160061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303953</xdr:colOff>
      <xdr:row>2</xdr:row>
      <xdr:rowOff>84667</xdr:rowOff>
    </xdr:from>
    <xdr:to>
      <xdr:col>13</xdr:col>
      <xdr:colOff>285811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308186</xdr:colOff>
      <xdr:row>4</xdr:row>
      <xdr:rowOff>120650</xdr:rowOff>
    </xdr:from>
    <xdr:to>
      <xdr:col>13</xdr:col>
      <xdr:colOff>289945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</xdr:rowOff>
    </xdr:from>
    <xdr:to>
      <xdr:col>5</xdr:col>
      <xdr:colOff>1036320</xdr:colOff>
      <xdr:row>2</xdr:row>
      <xdr:rowOff>7620</xdr:rowOff>
    </xdr:to>
    <xdr:pic>
      <xdr:nvPicPr>
        <xdr:cNvPr id="21100" name="Picture 2">
          <a:extLst>
            <a:ext uri="{FF2B5EF4-FFF2-40B4-BE49-F238E27FC236}">
              <a16:creationId xmlns:a16="http://schemas.microsoft.com/office/drawing/2014/main" xmlns="" id="{00000000-0008-0000-0500-00006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5240"/>
          <a:ext cx="18669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1</xdr:row>
      <xdr:rowOff>9525</xdr:rowOff>
    </xdr:from>
    <xdr:to>
      <xdr:col>3</xdr:col>
      <xdr:colOff>474303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179070</xdr:colOff>
      <xdr:row>11</xdr:row>
      <xdr:rowOff>266700</xdr:rowOff>
    </xdr:from>
    <xdr:to>
      <xdr:col>5</xdr:col>
      <xdr:colOff>2905076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2977515</xdr:colOff>
      <xdr:row>11</xdr:row>
      <xdr:rowOff>266700</xdr:rowOff>
    </xdr:from>
    <xdr:to>
      <xdr:col>6</xdr:col>
      <xdr:colOff>26724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93345</xdr:colOff>
      <xdr:row>11</xdr:row>
      <xdr:rowOff>266700</xdr:rowOff>
    </xdr:from>
    <xdr:to>
      <xdr:col>7</xdr:col>
      <xdr:colOff>908727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13547</xdr:rowOff>
    </xdr:from>
    <xdr:to>
      <xdr:col>3</xdr:col>
      <xdr:colOff>473228</xdr:colOff>
      <xdr:row>4</xdr:row>
      <xdr:rowOff>159597</xdr:rowOff>
    </xdr:to>
    <xdr:sp macro="" textlink="" fLocksText="0">
      <xdr:nvSpPr>
        <xdr:cNvPr id="7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718248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548640</xdr:colOff>
      <xdr:row>7</xdr:row>
      <xdr:rowOff>0</xdr:rowOff>
    </xdr:from>
    <xdr:to>
      <xdr:col>3</xdr:col>
      <xdr:colOff>2007789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2074545</xdr:colOff>
      <xdr:row>7</xdr:row>
      <xdr:rowOff>0</xdr:rowOff>
    </xdr:from>
    <xdr:to>
      <xdr:col>5</xdr:col>
      <xdr:colOff>822924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xmlns="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365760</xdr:colOff>
      <xdr:row>4</xdr:row>
      <xdr:rowOff>167640</xdr:rowOff>
    </xdr:to>
    <xdr:pic>
      <xdr:nvPicPr>
        <xdr:cNvPr id="19188" name="Picture 2">
          <a:extLst>
            <a:ext uri="{FF2B5EF4-FFF2-40B4-BE49-F238E27FC236}">
              <a16:creationId xmlns:a16="http://schemas.microsoft.com/office/drawing/2014/main" xmlns="" id="{00000000-0008-0000-0700-0000F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0"/>
          <a:ext cx="18516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3</xdr:row>
      <xdr:rowOff>85725</xdr:rowOff>
    </xdr:from>
    <xdr:to>
      <xdr:col>6</xdr:col>
      <xdr:colOff>729615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93345</xdr:rowOff>
    </xdr:from>
    <xdr:to>
      <xdr:col>23</xdr:col>
      <xdr:colOff>2956</xdr:colOff>
      <xdr:row>10</xdr:row>
      <xdr:rowOff>76147</xdr:rowOff>
    </xdr:to>
    <xdr:sp macro="" textlink="" fLocksText="0">
      <xdr:nvSpPr>
        <xdr:cNvPr id="8196" name="CRONO.b.preenchEv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102870</xdr:colOff>
      <xdr:row>8</xdr:row>
      <xdr:rowOff>93345</xdr:rowOff>
    </xdr:from>
    <xdr:to>
      <xdr:col>9</xdr:col>
      <xdr:colOff>76198</xdr:colOff>
      <xdr:row>10</xdr:row>
      <xdr:rowOff>76147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xmlns="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93345</xdr:rowOff>
    </xdr:from>
    <xdr:to>
      <xdr:col>25</xdr:col>
      <xdr:colOff>80433</xdr:colOff>
      <xdr:row>10</xdr:row>
      <xdr:rowOff>76147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xmlns="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93345</xdr:rowOff>
    </xdr:from>
    <xdr:to>
      <xdr:col>27</xdr:col>
      <xdr:colOff>99483</xdr:colOff>
      <xdr:row>10</xdr:row>
      <xdr:rowOff>76147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</xdr:colOff>
      <xdr:row>10</xdr:row>
      <xdr:rowOff>228600</xdr:rowOff>
    </xdr:from>
    <xdr:to>
      <xdr:col>2</xdr:col>
      <xdr:colOff>417249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613410</xdr:colOff>
      <xdr:row>10</xdr:row>
      <xdr:rowOff>238125</xdr:rowOff>
    </xdr:from>
    <xdr:to>
      <xdr:col>2</xdr:col>
      <xdr:colOff>2080159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xmlns="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137160</xdr:colOff>
      <xdr:row>3</xdr:row>
      <xdr:rowOff>182880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xmlns="" id="{00000000-0008-0000-09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5928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109185</xdr:rowOff>
    </xdr:to>
    <xdr:sp macro="" textlink="" fLocksText="0">
      <xdr:nvSpPr>
        <xdr:cNvPr id="1024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367453</xdr:rowOff>
    </xdr:from>
    <xdr:to>
      <xdr:col>2</xdr:col>
      <xdr:colOff>31751</xdr:colOff>
      <xdr:row>10</xdr:row>
      <xdr:rowOff>670136</xdr:rowOff>
    </xdr:to>
    <xdr:sp macro="" textlink="" fLocksText="0">
      <xdr:nvSpPr>
        <xdr:cNvPr id="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0</xdr:rowOff>
    </xdr:from>
    <xdr:to>
      <xdr:col>5</xdr:col>
      <xdr:colOff>114300</xdr:colOff>
      <xdr:row>0</xdr:row>
      <xdr:rowOff>381000</xdr:rowOff>
    </xdr:to>
    <xdr:pic>
      <xdr:nvPicPr>
        <xdr:cNvPr id="23044" name="Picture 2">
          <a:extLst>
            <a:ext uri="{FF2B5EF4-FFF2-40B4-BE49-F238E27FC236}">
              <a16:creationId xmlns:a16="http://schemas.microsoft.com/office/drawing/2014/main" xmlns="" id="{00000000-0008-0000-0A00-00000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184404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116417</xdr:colOff>
      <xdr:row>7</xdr:row>
      <xdr:rowOff>140970</xdr:rowOff>
    </xdr:from>
    <xdr:to>
      <xdr:col>15</xdr:col>
      <xdr:colOff>2988</xdr:colOff>
      <xdr:row>10</xdr:row>
      <xdr:rowOff>148236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xmlns="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198145</xdr:colOff>
      <xdr:row>10</xdr:row>
      <xdr:rowOff>1059</xdr:rowOff>
    </xdr:to>
    <xdr:sp macro="" textlink="" fLocksText="0">
      <xdr:nvSpPr>
        <xdr:cNvPr id="11269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369570</xdr:colOff>
      <xdr:row>8</xdr:row>
      <xdr:rowOff>11430</xdr:rowOff>
    </xdr:from>
    <xdr:to>
      <xdr:col>5</xdr:col>
      <xdr:colOff>558186</xdr:colOff>
      <xdr:row>10</xdr:row>
      <xdr:rowOff>9710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xmlns="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691515</xdr:colOff>
      <xdr:row>8</xdr:row>
      <xdr:rowOff>9525</xdr:rowOff>
    </xdr:from>
    <xdr:to>
      <xdr:col>6</xdr:col>
      <xdr:colOff>198119</xdr:colOff>
      <xdr:row>10</xdr:row>
      <xdr:rowOff>1059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766657</xdr:colOff>
      <xdr:row>8</xdr:row>
      <xdr:rowOff>10583</xdr:rowOff>
    </xdr:from>
    <xdr:to>
      <xdr:col>9</xdr:col>
      <xdr:colOff>463768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8</xdr:row>
      <xdr:rowOff>57150</xdr:rowOff>
    </xdr:from>
    <xdr:to>
      <xdr:col>12</xdr:col>
      <xdr:colOff>445815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xmlns="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681990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523875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xmlns="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xmlns="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22860</xdr:colOff>
      <xdr:row>0</xdr:row>
      <xdr:rowOff>15240</xdr:rowOff>
    </xdr:from>
    <xdr:to>
      <xdr:col>4</xdr:col>
      <xdr:colOff>1135380</xdr:colOff>
      <xdr:row>2</xdr:row>
      <xdr:rowOff>22860</xdr:rowOff>
    </xdr:to>
    <xdr:pic>
      <xdr:nvPicPr>
        <xdr:cNvPr id="22083" name="Picture 2">
          <a:extLst>
            <a:ext uri="{FF2B5EF4-FFF2-40B4-BE49-F238E27FC236}">
              <a16:creationId xmlns:a16="http://schemas.microsoft.com/office/drawing/2014/main" xmlns="" id="{00000000-0008-0000-0B00-000043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240"/>
          <a:ext cx="18440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794385</xdr:colOff>
      <xdr:row>8</xdr:row>
      <xdr:rowOff>112395</xdr:rowOff>
    </xdr:from>
    <xdr:to>
      <xdr:col>4</xdr:col>
      <xdr:colOff>2676525</xdr:colOff>
      <xdr:row>10</xdr:row>
      <xdr:rowOff>95412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xmlns="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0</xdr:colOff>
      <xdr:row>6</xdr:row>
      <xdr:rowOff>42333</xdr:rowOff>
    </xdr:from>
    <xdr:to>
      <xdr:col>16</xdr:col>
      <xdr:colOff>0</xdr:colOff>
      <xdr:row>9</xdr:row>
      <xdr:rowOff>102792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650241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1386840</xdr:colOff>
      <xdr:row>0</xdr:row>
      <xdr:rowOff>381000</xdr:rowOff>
    </xdr:to>
    <xdr:pic>
      <xdr:nvPicPr>
        <xdr:cNvPr id="24595" name="Picture 2">
          <a:extLst>
            <a:ext uri="{FF2B5EF4-FFF2-40B4-BE49-F238E27FC236}">
              <a16:creationId xmlns:a16="http://schemas.microsoft.com/office/drawing/2014/main" xmlns="" id="{00000000-0008-0000-0C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191262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102870</xdr:colOff>
      <xdr:row>7</xdr:row>
      <xdr:rowOff>160020</xdr:rowOff>
    </xdr:from>
    <xdr:to>
      <xdr:col>24</xdr:col>
      <xdr:colOff>169545</xdr:colOff>
      <xdr:row>10</xdr:row>
      <xdr:rowOff>49546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xmlns="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11435</xdr:rowOff>
    </xdr:to>
    <xdr:sp macro="" textlink="" fLocksText="0">
      <xdr:nvSpPr>
        <xdr:cNvPr id="1331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240453</xdr:colOff>
      <xdr:row>8</xdr:row>
      <xdr:rowOff>31750</xdr:rowOff>
    </xdr:from>
    <xdr:to>
      <xdr:col>5</xdr:col>
      <xdr:colOff>827194</xdr:colOff>
      <xdr:row>10</xdr:row>
      <xdr:rowOff>9447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459529</xdr:colOff>
      <xdr:row>1</xdr:row>
      <xdr:rowOff>64559</xdr:rowOff>
    </xdr:from>
    <xdr:to>
      <xdr:col>5</xdr:col>
      <xdr:colOff>486201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xmlns="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596265</xdr:colOff>
      <xdr:row>1</xdr:row>
      <xdr:rowOff>66675</xdr:rowOff>
    </xdr:from>
    <xdr:to>
      <xdr:col>3</xdr:col>
      <xdr:colOff>1183005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1236981</xdr:colOff>
      <xdr:row>1</xdr:row>
      <xdr:rowOff>63499</xdr:rowOff>
    </xdr:from>
    <xdr:to>
      <xdr:col>4</xdr:col>
      <xdr:colOff>399026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zoomScaleNormal="100" zoomScaleSheetLayoutView="85" workbookViewId="0">
      <selection activeCell="C6" sqref="C6"/>
    </sheetView>
  </sheetViews>
  <sheetFormatPr defaultRowHeight="12.75" x14ac:dyDescent="0.2"/>
  <cols>
    <col min="1" max="1" width="2.85546875" customWidth="1"/>
    <col min="2" max="2" width="5.7109375" customWidth="1"/>
    <col min="3" max="3" width="38.5703125" customWidth="1"/>
    <col min="4" max="4" width="5.7109375" customWidth="1"/>
    <col min="5" max="5" width="38.5703125" customWidth="1"/>
    <col min="6" max="6" width="5.7109375" customWidth="1"/>
    <col min="7" max="7" width="38.5703125" customWidth="1"/>
    <col min="8" max="8" width="5.7109375" customWidth="1"/>
    <col min="9" max="9" width="2.85546875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451"/>
      <c r="B1" s="451"/>
      <c r="C1" s="451"/>
      <c r="D1" s="451"/>
      <c r="E1" s="451"/>
      <c r="F1" s="451"/>
      <c r="G1" s="451"/>
      <c r="H1" s="451"/>
      <c r="I1" s="451"/>
      <c r="J1" t="s">
        <v>0</v>
      </c>
    </row>
    <row r="2" spans="1:15" ht="22.5" customHeight="1" x14ac:dyDescent="0.2">
      <c r="A2" s="451"/>
      <c r="B2" s="453"/>
      <c r="C2" s="453"/>
      <c r="D2" s="453"/>
      <c r="E2" s="577" t="str">
        <f>CHOOSE(MATCH(Objeto,{"PM","PO"}),"PLANILHA MÚLTIPLA ","PLANILHA ORÇAMENTÁRIA ")&amp; Versao</f>
        <v>PLANILHA MÚLTIPLA v3.0.6</v>
      </c>
      <c r="F2" s="577"/>
      <c r="G2" s="577"/>
      <c r="H2" s="455"/>
      <c r="I2" s="453"/>
      <c r="J2" t="s">
        <v>438</v>
      </c>
    </row>
    <row r="3" spans="1:15" ht="22.5" customHeight="1" x14ac:dyDescent="0.2">
      <c r="A3" s="451"/>
      <c r="B3" s="453"/>
      <c r="C3" s="453"/>
      <c r="D3" s="453"/>
      <c r="E3" s="577"/>
      <c r="F3" s="577"/>
      <c r="G3" s="577"/>
      <c r="H3" s="455"/>
      <c r="I3" s="453"/>
      <c r="O3" s="460">
        <v>1</v>
      </c>
    </row>
    <row r="4" spans="1:15" ht="17.100000000000001" customHeight="1" x14ac:dyDescent="0.2">
      <c r="A4" s="451"/>
      <c r="B4" s="453"/>
      <c r="C4" s="453"/>
      <c r="D4" s="453"/>
      <c r="E4" s="453"/>
      <c r="F4" s="454"/>
      <c r="G4" s="455"/>
      <c r="H4" s="455"/>
      <c r="I4" s="453"/>
      <c r="O4" s="460">
        <v>2</v>
      </c>
    </row>
    <row r="5" spans="1:15" ht="17.100000000000001" customHeight="1" thickBot="1" x14ac:dyDescent="0.25">
      <c r="A5" s="451"/>
      <c r="B5" s="453"/>
      <c r="C5" s="453"/>
      <c r="D5" s="453"/>
      <c r="E5" s="453"/>
      <c r="F5" s="454"/>
      <c r="G5" s="455"/>
      <c r="H5" s="455"/>
      <c r="I5" s="453"/>
      <c r="J5" s="478" t="s">
        <v>407</v>
      </c>
    </row>
    <row r="6" spans="1:15" ht="21" customHeight="1" thickBot="1" x14ac:dyDescent="0.25">
      <c r="A6" s="451"/>
      <c r="B6" s="451"/>
      <c r="C6" s="451"/>
      <c r="D6" s="451"/>
      <c r="E6" s="456" t="s">
        <v>400</v>
      </c>
      <c r="F6" s="452"/>
      <c r="G6" s="456" t="s">
        <v>401</v>
      </c>
      <c r="H6" s="451"/>
      <c r="I6" s="451"/>
      <c r="J6" s="478" t="s">
        <v>1</v>
      </c>
    </row>
    <row r="7" spans="1:15" x14ac:dyDescent="0.2">
      <c r="A7" s="451"/>
      <c r="B7" s="451"/>
      <c r="C7" s="451"/>
      <c r="D7" s="451"/>
      <c r="E7" s="451"/>
      <c r="F7" s="451"/>
      <c r="G7" s="451"/>
      <c r="H7" s="451"/>
      <c r="I7" s="451"/>
      <c r="J7" s="478" t="s">
        <v>364</v>
      </c>
      <c r="K7" s="468"/>
      <c r="L7" s="469"/>
      <c r="M7" s="469"/>
      <c r="N7" s="470"/>
    </row>
    <row r="8" spans="1:15" ht="21" customHeight="1" x14ac:dyDescent="0.2">
      <c r="A8" s="453"/>
      <c r="B8" s="576" t="str">
        <f>IF($O$3&lt;&gt;2,"DOCUMENTAÇÃO DA PROPOSTA","PROPOSTA: Para visualizar/preencher esta seção, altere o TIPO DE ORÇAMENTO para 'Proposto'")</f>
        <v>DOCUMENTAÇÃO DA PROPOSTA</v>
      </c>
      <c r="C8" s="576"/>
      <c r="D8" s="576"/>
      <c r="E8" s="576"/>
      <c r="F8" s="576"/>
      <c r="G8" s="576"/>
      <c r="H8" s="576"/>
      <c r="I8" s="451"/>
      <c r="J8" s="478" t="s">
        <v>4</v>
      </c>
      <c r="K8" s="471"/>
      <c r="L8" s="472" t="s">
        <v>402</v>
      </c>
      <c r="M8" s="472"/>
      <c r="N8" s="473"/>
    </row>
    <row r="9" spans="1:15" ht="13.5" thickBot="1" x14ac:dyDescent="0.25">
      <c r="A9" s="451"/>
      <c r="B9" s="451"/>
      <c r="C9" s="451"/>
      <c r="D9" s="451"/>
      <c r="E9" s="451"/>
      <c r="F9" s="451"/>
      <c r="G9" s="451"/>
      <c r="H9" s="451"/>
      <c r="I9" s="451"/>
      <c r="K9" s="471"/>
      <c r="L9" t="s">
        <v>405</v>
      </c>
      <c r="N9" s="473"/>
    </row>
    <row r="10" spans="1:15" ht="21" customHeight="1" thickBot="1" x14ac:dyDescent="0.25">
      <c r="A10" s="451"/>
      <c r="B10" s="451"/>
      <c r="C10" s="459" t="str">
        <f>IF(TIPOORCAMENTO&lt;&gt;"Proposto","","                    BDI                    ")</f>
        <v xml:space="preserve">                    BDI                    </v>
      </c>
      <c r="D10" s="452"/>
      <c r="E10" s="459" t="str">
        <f>IF(TIPOORCAMENTO&lt;&gt;"Proposto","","             ORÇAMENTO             ")</f>
        <v xml:space="preserve">             ORÇAMENTO             </v>
      </c>
      <c r="F10" s="452"/>
      <c r="G10" s="458" t="str">
        <f>IF(TIPOORCAMENTO&lt;&gt;"Proposto","","MEMÓRIA DE CÁLCULO / PLQ")</f>
        <v>MEMÓRIA DE CÁLCULO / PLQ</v>
      </c>
      <c r="H10" s="451"/>
      <c r="I10" s="451"/>
      <c r="K10" s="471"/>
      <c r="L10" s="5"/>
      <c r="M10" s="3"/>
      <c r="N10" s="474" t="s">
        <v>2</v>
      </c>
    </row>
    <row r="11" spans="1:15" ht="13.5" thickBot="1" x14ac:dyDescent="0.25">
      <c r="A11" s="451"/>
      <c r="B11" s="451"/>
      <c r="C11" s="452"/>
      <c r="D11" s="452"/>
      <c r="E11" s="452"/>
      <c r="F11" s="452"/>
      <c r="G11" s="452"/>
      <c r="H11" s="451"/>
      <c r="I11" s="451"/>
      <c r="K11" s="471"/>
      <c r="N11" s="473"/>
    </row>
    <row r="12" spans="1:15" ht="21" customHeight="1" thickBot="1" x14ac:dyDescent="0.25">
      <c r="A12" s="451"/>
      <c r="B12" s="451"/>
      <c r="C12" s="459" t="str">
        <f>IF(TIPOORCAMENTO&lt;&gt;"Proposto","","                    QCI                    ")</f>
        <v xml:space="preserve">                    QCI                    </v>
      </c>
      <c r="D12" s="452"/>
      <c r="E12" s="457" t="str">
        <f>IF(TIPOORCAMENTO&lt;&gt;"Proposto","","CRONOGRAMA FÍSICO-FINANCEIRO")</f>
        <v>CRONOGRAMA FÍSICO-FINANCEIRO</v>
      </c>
      <c r="F12" s="452"/>
      <c r="G12" s="452"/>
      <c r="H12" s="451"/>
      <c r="I12" s="451"/>
      <c r="K12" s="471"/>
      <c r="L12" s="6"/>
      <c r="M12" s="3"/>
      <c r="N12" s="474" t="s">
        <v>3</v>
      </c>
    </row>
    <row r="13" spans="1:15" x14ac:dyDescent="0.2">
      <c r="A13" s="451"/>
      <c r="B13" s="451"/>
      <c r="C13" s="451"/>
      <c r="D13" s="451"/>
      <c r="E13" s="451"/>
      <c r="F13" s="451"/>
      <c r="G13" s="451"/>
      <c r="H13" s="451"/>
      <c r="I13" s="451"/>
      <c r="K13" s="471"/>
      <c r="N13" s="473"/>
    </row>
    <row r="14" spans="1:15" x14ac:dyDescent="0.2">
      <c r="A14" s="451"/>
      <c r="B14" s="451"/>
      <c r="C14" s="451" t="str">
        <f ca="1">IF(TIPOORCAMENTO&lt;&gt;"Proposto","","Obs: Composições e Cotações devem ser preenchidas diretamente no arquivo Referência "&amp;IF(ISBLANK(Import.DataBase),"mm-aaaa",TEXT(Import.DataBase,"mm-aaaa"))&amp;".xlsm.")</f>
        <v>Obs: Composições e Cotações devem ser preenchidas diretamente no arquivo Referência 10-2024.xlsm.</v>
      </c>
      <c r="D14" s="451"/>
      <c r="E14" s="451"/>
      <c r="F14" s="451"/>
      <c r="G14" s="451"/>
      <c r="H14" s="451"/>
      <c r="I14" s="451"/>
      <c r="K14" s="471"/>
      <c r="N14" s="473"/>
    </row>
    <row r="15" spans="1:15" x14ac:dyDescent="0.2">
      <c r="A15" s="451"/>
      <c r="B15" s="451"/>
      <c r="C15" s="451"/>
      <c r="D15" s="451"/>
      <c r="E15" s="451"/>
      <c r="F15" s="451"/>
      <c r="G15" s="451"/>
      <c r="H15" s="451"/>
      <c r="I15" s="451"/>
      <c r="K15" s="471"/>
      <c r="L15" t="s">
        <v>406</v>
      </c>
      <c r="N15" s="473"/>
    </row>
    <row r="16" spans="1:15" ht="21" customHeight="1" x14ac:dyDescent="0.2">
      <c r="A16" s="451"/>
      <c r="B16" s="576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576"/>
      <c r="D16" s="576"/>
      <c r="E16" s="576"/>
      <c r="F16" s="576"/>
      <c r="G16" s="576"/>
      <c r="H16" s="576"/>
      <c r="I16" s="451"/>
      <c r="K16" s="471"/>
      <c r="L16" s="466"/>
      <c r="M16" s="3"/>
      <c r="N16" s="474" t="s">
        <v>403</v>
      </c>
    </row>
    <row r="17" spans="1:14" ht="13.5" thickBot="1" x14ac:dyDescent="0.25">
      <c r="A17" s="451"/>
      <c r="B17" s="451"/>
      <c r="C17" s="451"/>
      <c r="D17" s="451"/>
      <c r="E17" s="451"/>
      <c r="F17" s="451"/>
      <c r="G17" s="451"/>
      <c r="H17" s="451"/>
      <c r="I17" s="451"/>
      <c r="K17" s="471"/>
      <c r="N17" s="473"/>
    </row>
    <row r="18" spans="1:14" ht="21" customHeight="1" thickBot="1" x14ac:dyDescent="0.25">
      <c r="A18" s="451"/>
      <c r="B18" s="451"/>
      <c r="C18" s="462" t="str">
        <f>IF(TIPOORCAMENTO&lt;&gt;"Licitado","","             ORÇAMENTO             ")</f>
        <v/>
      </c>
      <c r="D18" s="452"/>
      <c r="E18" s="462" t="str">
        <f>IF(TIPOORCAMENTO&lt;&gt;"Licitado","","                    QCI                    ")</f>
        <v/>
      </c>
      <c r="F18" s="452"/>
      <c r="G18" s="461" t="str">
        <f>IF(TIPOORCAMENTO&lt;&gt;"Licitado","","CRONOGRAMA FÍSICO-FINANCEIRO")</f>
        <v/>
      </c>
      <c r="H18" s="451"/>
      <c r="I18" s="451"/>
      <c r="K18" s="471"/>
      <c r="L18" s="467"/>
      <c r="M18" s="3"/>
      <c r="N18" s="474" t="s">
        <v>404</v>
      </c>
    </row>
    <row r="19" spans="1:14" x14ac:dyDescent="0.2">
      <c r="A19" s="451"/>
      <c r="B19" s="451"/>
      <c r="C19" s="451"/>
      <c r="D19" s="451"/>
      <c r="E19" s="451"/>
      <c r="F19" s="451"/>
      <c r="G19" s="451"/>
      <c r="H19" s="451"/>
      <c r="I19" s="451"/>
      <c r="K19" s="475"/>
      <c r="L19" s="476"/>
      <c r="M19" s="476"/>
      <c r="N19" s="477"/>
    </row>
    <row r="20" spans="1:14" ht="21" customHeight="1" x14ac:dyDescent="0.2">
      <c r="A20" s="453"/>
      <c r="B20" s="576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576"/>
      <c r="D20" s="576"/>
      <c r="E20" s="576"/>
      <c r="F20" s="576"/>
      <c r="G20" s="576"/>
      <c r="H20" s="576"/>
      <c r="I20" s="451"/>
    </row>
    <row r="21" spans="1:14" ht="13.5" thickBot="1" x14ac:dyDescent="0.25">
      <c r="A21" s="451"/>
      <c r="B21" s="451"/>
      <c r="C21" s="451"/>
      <c r="D21" s="451"/>
      <c r="E21" s="451"/>
      <c r="F21" s="451"/>
      <c r="G21" s="451"/>
      <c r="H21" s="451"/>
      <c r="I21" s="451"/>
    </row>
    <row r="22" spans="1:14" ht="21" customHeight="1" thickBot="1" x14ac:dyDescent="0.25">
      <c r="A22" s="451"/>
      <c r="B22" s="451"/>
      <c r="C22" s="463" t="str">
        <f>IF(OR(TIPOORCAMENTO&lt;&gt;"Licitado",ACOMPANHAMENTO&lt;&gt;"PLE"),"","PLAN. DE LEVANT. DE EVENTOS - PLE")</f>
        <v/>
      </c>
      <c r="D22" s="452"/>
      <c r="E22" s="465" t="str">
        <f>IF(TIPOORCAMENTO&lt;&gt;"Licitado","","                    RRE                    ")</f>
        <v/>
      </c>
      <c r="F22" s="452"/>
      <c r="G22" s="464" t="str">
        <f>IF(OR(TIPOORCAMENTO&lt;&gt;"Licitado",ACOMPANHAMENTO&lt;&gt;"BM"),"","  BOLETIM DE MEDIÇÃO - BM  ")</f>
        <v/>
      </c>
      <c r="H22" s="451"/>
      <c r="I22" s="451"/>
    </row>
    <row r="23" spans="1:14" ht="13.5" thickBot="1" x14ac:dyDescent="0.25">
      <c r="A23" s="451"/>
      <c r="B23" s="451"/>
      <c r="C23" s="452"/>
      <c r="D23" s="452"/>
      <c r="E23" s="452"/>
      <c r="F23" s="452"/>
      <c r="G23" s="452"/>
      <c r="H23" s="451"/>
      <c r="I23" s="451"/>
    </row>
    <row r="24" spans="1:14" ht="21" customHeight="1" thickBot="1" x14ac:dyDescent="0.25">
      <c r="A24" s="451"/>
      <c r="B24" s="451"/>
      <c r="C24" s="452"/>
      <c r="D24" s="452"/>
      <c r="E24" s="463" t="str">
        <f>IF(TIPOORCAMENTO&lt;&gt;"Licitado","","OF. DE SOLICITAÇÃO DE DESBLOQUEIO")</f>
        <v/>
      </c>
      <c r="F24" s="452"/>
      <c r="G24" s="452"/>
      <c r="H24" s="451"/>
      <c r="I24" s="451"/>
    </row>
    <row r="25" spans="1:14" x14ac:dyDescent="0.2">
      <c r="A25" s="451"/>
      <c r="B25" s="451"/>
      <c r="C25" s="451"/>
      <c r="D25" s="451"/>
      <c r="E25" s="451"/>
      <c r="F25" s="451"/>
      <c r="G25" s="451"/>
      <c r="H25" s="451"/>
      <c r="I25" s="451"/>
    </row>
  </sheetData>
  <sheetProtection algorithmName="SHA-512" hashValue="ZjipzJCUXfwYqXUF6x0NfqaPBWuvxOmEo4vRftge9kCbaxrpLe9+32CGduu1xfYyUQMng6kGpu9qAuXFc1/wbg==" saltValue="FeCEYnS0C/1FDaKUcwwHFQ==" spinCount="100000" sheet="1" objects="1" scenarios="1" autoFilter="0"/>
  <mergeCells count="4">
    <mergeCell ref="B20:H20"/>
    <mergeCell ref="B8:H8"/>
    <mergeCell ref="E2:G3"/>
    <mergeCell ref="B16:H16"/>
  </mergeCells>
  <phoneticPr fontId="38" type="noConversion"/>
  <conditionalFormatting sqref="C10:G14">
    <cfRule type="expression" dxfId="458" priority="70" stopIfTrue="1">
      <formula>TIPOORCAMENTO="Licitado"</formula>
    </cfRule>
  </conditionalFormatting>
  <conditionalFormatting sqref="C18:G18 E22:E24">
    <cfRule type="expression" dxfId="457" priority="71" stopIfTrue="1">
      <formula>TIPOORCAMENTO&lt;&gt;"Licitado"</formula>
    </cfRule>
  </conditionalFormatting>
  <conditionalFormatting sqref="C22">
    <cfRule type="expression" dxfId="456" priority="73" stopIfTrue="1">
      <formula>OR(TIPOORCAMENTO&lt;&gt;"Licitado",ACOMPANHAMENTO&lt;&gt;"PLE")</formula>
    </cfRule>
  </conditionalFormatting>
  <conditionalFormatting sqref="G22">
    <cfRule type="expression" dxfId="455" priority="74" stopIfTrue="1">
      <formula>OR(TIPOORCAMENTO&lt;&gt;"Licitado",ACOMPANHAMENTO&lt;&gt;"BM")</formula>
    </cfRule>
  </conditionalFormatting>
  <conditionalFormatting sqref="B16:H16 B20:H20">
    <cfRule type="expression" dxfId="454" priority="599" stopIfTrue="1">
      <formula>$O$3&lt;&gt;2</formula>
    </cfRule>
  </conditionalFormatting>
  <conditionalFormatting sqref="B8:H8">
    <cfRule type="expression" dxfId="453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1362075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1485900</xdr:colOff>
                    <xdr:row>4</xdr:row>
                    <xdr:rowOff>161925</xdr:rowOff>
                  </from>
                  <to>
                    <xdr:col>2</xdr:col>
                    <xdr:colOff>2419350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1266825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1114425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1"/>
  <sheetViews>
    <sheetView showGridLines="0" tabSelected="1" zoomScale="90" zoomScaleNormal="90" workbookViewId="0">
      <pane ySplit="2" topLeftCell="A3" activePane="bottomLeft" state="frozen"/>
      <selection pane="bottomLeft" activeCell="F18" sqref="F18"/>
    </sheetView>
  </sheetViews>
  <sheetFormatPr defaultRowHeight="12.75" x14ac:dyDescent="0.2"/>
  <cols>
    <col min="5" max="5" width="42.7109375" style="3" customWidth="1"/>
    <col min="6" max="6" width="53.28515625" style="3" customWidth="1"/>
    <col min="10" max="10" width="14.28515625" hidden="1" customWidth="1"/>
    <col min="11" max="13" width="0" hidden="1" customWidth="1"/>
    <col min="14" max="14" width="0" style="7" hidden="1" customWidth="1"/>
    <col min="15" max="44" width="0" hidden="1" customWidth="1"/>
  </cols>
  <sheetData>
    <row r="1" spans="5:44" ht="15.75" customHeight="1" x14ac:dyDescent="0.2">
      <c r="E1" s="8" t="s">
        <v>5</v>
      </c>
      <c r="K1" s="9"/>
      <c r="L1" s="579" t="s">
        <v>6</v>
      </c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</row>
    <row r="2" spans="5:44" ht="12.75" customHeight="1" x14ac:dyDescent="0.2">
      <c r="E2" s="8"/>
      <c r="J2" s="10" t="s">
        <v>7</v>
      </c>
      <c r="K2" s="11" t="s">
        <v>8</v>
      </c>
      <c r="L2" s="12">
        <f>COUNTA(K:K)-1</f>
        <v>3</v>
      </c>
      <c r="M2" s="11" t="s">
        <v>9</v>
      </c>
      <c r="N2" s="12">
        <f>COUNTA(M:M)-1</f>
        <v>6</v>
      </c>
      <c r="O2" s="11" t="s">
        <v>10</v>
      </c>
      <c r="P2" s="12">
        <f>COUNTA(O:O)-1</f>
        <v>6</v>
      </c>
      <c r="Q2" s="11" t="s">
        <v>11</v>
      </c>
      <c r="R2" s="12">
        <f>COUNTA(Q:Q)-1</f>
        <v>6</v>
      </c>
      <c r="S2" s="11" t="s">
        <v>12</v>
      </c>
      <c r="T2" s="12">
        <f>COUNTA(S:S)-1</f>
        <v>11</v>
      </c>
      <c r="U2" s="11" t="s">
        <v>13</v>
      </c>
      <c r="V2" s="12">
        <f>COUNTA(U:U)-1</f>
        <v>8</v>
      </c>
      <c r="W2" s="11" t="s">
        <v>14</v>
      </c>
      <c r="X2" s="12">
        <f>COUNTA(W:W)-1</f>
        <v>4</v>
      </c>
      <c r="Y2" s="11" t="s">
        <v>15</v>
      </c>
      <c r="Z2" s="12">
        <f>COUNTA(Y:Y)-1</f>
        <v>6</v>
      </c>
      <c r="AA2" s="11" t="s">
        <v>16</v>
      </c>
      <c r="AB2" s="12">
        <f>COUNTA(AA:AA)-1</f>
        <v>2</v>
      </c>
      <c r="AC2" s="11" t="s">
        <v>17</v>
      </c>
      <c r="AD2" s="12">
        <f>COUNTA(AC:AC)-1</f>
        <v>2</v>
      </c>
      <c r="AE2" s="11" t="s">
        <v>18</v>
      </c>
      <c r="AF2" s="12">
        <f>COUNTA(AE:AE)-1</f>
        <v>2</v>
      </c>
      <c r="AG2" s="11" t="s">
        <v>19</v>
      </c>
      <c r="AH2" s="12">
        <f>COUNTA(AG:AG)-1</f>
        <v>1</v>
      </c>
      <c r="AI2" s="11" t="s">
        <v>20</v>
      </c>
      <c r="AJ2" s="12">
        <f>COUNTA(AI:AI)-1</f>
        <v>1</v>
      </c>
      <c r="AK2" s="11" t="s">
        <v>21</v>
      </c>
      <c r="AL2" s="12">
        <f>COUNTA(AK:AK)-1</f>
        <v>1</v>
      </c>
      <c r="AM2" s="11" t="s">
        <v>22</v>
      </c>
      <c r="AN2" s="12">
        <f>COUNTA(AM:AM)-1</f>
        <v>3</v>
      </c>
      <c r="AO2" s="11" t="s">
        <v>23</v>
      </c>
      <c r="AP2" s="12">
        <f>COUNTA(AO:AO)-1</f>
        <v>1</v>
      </c>
      <c r="AQ2" s="11" t="s">
        <v>24</v>
      </c>
      <c r="AR2" s="12">
        <f>COUNTA(AQ:AQ)-1</f>
        <v>4</v>
      </c>
    </row>
    <row r="3" spans="5:44" ht="15" x14ac:dyDescent="0.2">
      <c r="E3" s="578" t="s">
        <v>25</v>
      </c>
      <c r="F3" s="578"/>
      <c r="J3" s="13" t="s">
        <v>8</v>
      </c>
      <c r="K3" t="s">
        <v>26</v>
      </c>
      <c r="L3" s="7" t="s">
        <v>27</v>
      </c>
      <c r="M3" s="13" t="s">
        <v>28</v>
      </c>
      <c r="N3" s="7" t="s">
        <v>29</v>
      </c>
      <c r="O3" t="s">
        <v>30</v>
      </c>
      <c r="P3" s="7" t="s">
        <v>29</v>
      </c>
      <c r="Q3" t="s">
        <v>31</v>
      </c>
      <c r="R3" s="7" t="s">
        <v>32</v>
      </c>
      <c r="S3" t="s">
        <v>33</v>
      </c>
      <c r="T3" s="7" t="s">
        <v>34</v>
      </c>
      <c r="U3" t="s">
        <v>35</v>
      </c>
      <c r="V3" s="7" t="s">
        <v>27</v>
      </c>
      <c r="W3" t="s">
        <v>36</v>
      </c>
      <c r="X3" s="7" t="s">
        <v>27</v>
      </c>
      <c r="Y3" t="s">
        <v>37</v>
      </c>
      <c r="Z3" s="7" t="s">
        <v>27</v>
      </c>
      <c r="AA3" t="s">
        <v>38</v>
      </c>
      <c r="AB3" s="7" t="s">
        <v>29</v>
      </c>
      <c r="AC3" t="s">
        <v>39</v>
      </c>
      <c r="AD3" s="7" t="s">
        <v>29</v>
      </c>
      <c r="AE3" t="s">
        <v>18</v>
      </c>
      <c r="AF3" s="7" t="s">
        <v>29</v>
      </c>
      <c r="AG3" t="s">
        <v>19</v>
      </c>
      <c r="AH3" s="7" t="s">
        <v>27</v>
      </c>
      <c r="AI3" t="s">
        <v>20</v>
      </c>
      <c r="AJ3" s="7" t="s">
        <v>27</v>
      </c>
      <c r="AK3" t="s">
        <v>21</v>
      </c>
      <c r="AL3" s="7" t="s">
        <v>27</v>
      </c>
      <c r="AM3" t="s">
        <v>40</v>
      </c>
      <c r="AN3" s="7" t="s">
        <v>27</v>
      </c>
      <c r="AO3" t="s">
        <v>23</v>
      </c>
      <c r="AP3" s="7" t="s">
        <v>41</v>
      </c>
      <c r="AQ3" t="s">
        <v>42</v>
      </c>
      <c r="AR3" s="7" t="s">
        <v>43</v>
      </c>
    </row>
    <row r="4" spans="5:44" x14ac:dyDescent="0.2">
      <c r="E4" s="14" t="s">
        <v>44</v>
      </c>
      <c r="F4" s="15" t="s">
        <v>409</v>
      </c>
      <c r="J4" s="13" t="s">
        <v>9</v>
      </c>
      <c r="K4" t="s">
        <v>45</v>
      </c>
      <c r="L4" s="7" t="s">
        <v>27</v>
      </c>
      <c r="M4" t="s">
        <v>46</v>
      </c>
      <c r="N4" s="7" t="s">
        <v>29</v>
      </c>
      <c r="O4" t="s">
        <v>47</v>
      </c>
      <c r="P4" s="7" t="s">
        <v>29</v>
      </c>
      <c r="Q4" t="s">
        <v>48</v>
      </c>
      <c r="R4" s="7" t="s">
        <v>32</v>
      </c>
      <c r="S4" t="s">
        <v>49</v>
      </c>
      <c r="T4" s="7" t="s">
        <v>34</v>
      </c>
      <c r="U4" t="s">
        <v>50</v>
      </c>
      <c r="V4" s="7" t="s">
        <v>32</v>
      </c>
      <c r="W4" t="s">
        <v>51</v>
      </c>
      <c r="X4" s="7" t="s">
        <v>27</v>
      </c>
      <c r="Y4" t="s">
        <v>52</v>
      </c>
      <c r="Z4" s="7" t="s">
        <v>53</v>
      </c>
      <c r="AA4" t="s">
        <v>54</v>
      </c>
      <c r="AB4" s="7" t="s">
        <v>29</v>
      </c>
      <c r="AC4" t="s">
        <v>55</v>
      </c>
      <c r="AD4" s="7" t="s">
        <v>29</v>
      </c>
      <c r="AE4" t="s">
        <v>56</v>
      </c>
      <c r="AF4" s="7" t="s">
        <v>29</v>
      </c>
      <c r="AH4" s="7"/>
      <c r="AJ4" s="7"/>
      <c r="AL4" s="7"/>
      <c r="AM4" t="s">
        <v>57</v>
      </c>
      <c r="AN4" s="7" t="s">
        <v>27</v>
      </c>
      <c r="AQ4" t="s">
        <v>58</v>
      </c>
      <c r="AR4" s="7" t="s">
        <v>43</v>
      </c>
    </row>
    <row r="5" spans="5:44" x14ac:dyDescent="0.2">
      <c r="E5" s="16" t="s">
        <v>59</v>
      </c>
      <c r="F5" s="17" t="s">
        <v>449</v>
      </c>
      <c r="J5" s="13" t="s">
        <v>10</v>
      </c>
      <c r="K5" t="s">
        <v>60</v>
      </c>
      <c r="L5" s="7" t="s">
        <v>27</v>
      </c>
      <c r="M5" t="s">
        <v>61</v>
      </c>
      <c r="N5" s="7" t="s">
        <v>29</v>
      </c>
      <c r="O5" t="s">
        <v>62</v>
      </c>
      <c r="P5" s="7" t="s">
        <v>32</v>
      </c>
      <c r="Q5" t="s">
        <v>63</v>
      </c>
      <c r="R5" s="7" t="s">
        <v>32</v>
      </c>
      <c r="S5" t="s">
        <v>64</v>
      </c>
      <c r="T5" s="7" t="s">
        <v>34</v>
      </c>
      <c r="U5" t="s">
        <v>65</v>
      </c>
      <c r="V5" s="7" t="s">
        <v>32</v>
      </c>
      <c r="W5" t="s">
        <v>66</v>
      </c>
      <c r="X5" s="7" t="s">
        <v>32</v>
      </c>
      <c r="Y5" t="s">
        <v>67</v>
      </c>
      <c r="Z5" s="7" t="s">
        <v>53</v>
      </c>
      <c r="AB5" s="7"/>
      <c r="AD5" s="7"/>
      <c r="AF5" s="7"/>
      <c r="AH5" s="7"/>
      <c r="AJ5" s="7"/>
      <c r="AL5" s="7"/>
      <c r="AM5" t="s">
        <v>68</v>
      </c>
      <c r="AN5" s="7" t="s">
        <v>27</v>
      </c>
      <c r="AQ5" t="s">
        <v>69</v>
      </c>
      <c r="AR5" s="7" t="s">
        <v>43</v>
      </c>
    </row>
    <row r="6" spans="5:44" x14ac:dyDescent="0.2">
      <c r="E6" s="16" t="s">
        <v>70</v>
      </c>
      <c r="F6" s="17" t="s">
        <v>448</v>
      </c>
      <c r="J6" s="13" t="s">
        <v>11</v>
      </c>
      <c r="M6" t="s">
        <v>71</v>
      </c>
      <c r="N6" s="7" t="s">
        <v>29</v>
      </c>
      <c r="O6" t="s">
        <v>72</v>
      </c>
      <c r="P6" s="7" t="s">
        <v>29</v>
      </c>
      <c r="Q6" t="s">
        <v>73</v>
      </c>
      <c r="R6" s="7" t="s">
        <v>29</v>
      </c>
      <c r="S6" t="s">
        <v>74</v>
      </c>
      <c r="T6" s="7" t="s">
        <v>32</v>
      </c>
      <c r="U6" t="s">
        <v>75</v>
      </c>
      <c r="V6" s="7" t="s">
        <v>32</v>
      </c>
      <c r="W6" t="s">
        <v>76</v>
      </c>
      <c r="X6" s="7" t="s">
        <v>32</v>
      </c>
      <c r="Y6" t="s">
        <v>77</v>
      </c>
      <c r="Z6" s="7" t="s">
        <v>27</v>
      </c>
      <c r="AQ6" t="s">
        <v>78</v>
      </c>
      <c r="AR6" s="7" t="s">
        <v>43</v>
      </c>
    </row>
    <row r="7" spans="5:44" x14ac:dyDescent="0.2">
      <c r="E7" s="18" t="s">
        <v>79</v>
      </c>
      <c r="F7" s="19"/>
      <c r="J7" s="13" t="s">
        <v>12</v>
      </c>
      <c r="M7" t="s">
        <v>80</v>
      </c>
      <c r="N7" s="7" t="s">
        <v>29</v>
      </c>
      <c r="O7" t="s">
        <v>81</v>
      </c>
      <c r="P7" s="7" t="s">
        <v>29</v>
      </c>
      <c r="Q7" t="s">
        <v>82</v>
      </c>
      <c r="R7" s="7" t="s">
        <v>53</v>
      </c>
      <c r="S7" t="s">
        <v>83</v>
      </c>
      <c r="T7" s="7" t="s">
        <v>34</v>
      </c>
      <c r="U7" t="s">
        <v>84</v>
      </c>
      <c r="V7" s="7" t="s">
        <v>34</v>
      </c>
      <c r="Y7" t="s">
        <v>85</v>
      </c>
      <c r="Z7" s="7" t="s">
        <v>27</v>
      </c>
    </row>
    <row r="8" spans="5:44" x14ac:dyDescent="0.2">
      <c r="E8" s="18" t="s">
        <v>442</v>
      </c>
      <c r="F8" s="19"/>
      <c r="J8" s="13" t="s">
        <v>13</v>
      </c>
      <c r="M8" t="s">
        <v>86</v>
      </c>
      <c r="N8" s="7" t="s">
        <v>29</v>
      </c>
      <c r="O8" t="s">
        <v>87</v>
      </c>
      <c r="P8" s="7" t="s">
        <v>29</v>
      </c>
      <c r="Q8" t="s">
        <v>88</v>
      </c>
      <c r="R8" s="7" t="s">
        <v>34</v>
      </c>
      <c r="S8" t="s">
        <v>89</v>
      </c>
      <c r="T8" s="7" t="s">
        <v>34</v>
      </c>
      <c r="U8" t="s">
        <v>90</v>
      </c>
      <c r="V8" s="7" t="s">
        <v>34</v>
      </c>
      <c r="Y8" t="s">
        <v>91</v>
      </c>
      <c r="Z8" s="7" t="s">
        <v>29</v>
      </c>
    </row>
    <row r="9" spans="5:44" x14ac:dyDescent="0.2">
      <c r="E9" s="18" t="str">
        <f>IF(F4="FGTS","Valor de Financiamento Contratado (R$):","Valor do Repasse Contratado (R$):")</f>
        <v>Valor do Repasse Contratado (R$):</v>
      </c>
      <c r="F9" s="20"/>
      <c r="J9" s="13" t="s">
        <v>14</v>
      </c>
      <c r="S9" t="s">
        <v>92</v>
      </c>
      <c r="T9" s="7" t="s">
        <v>32</v>
      </c>
      <c r="U9" t="s">
        <v>93</v>
      </c>
      <c r="V9" s="7" t="s">
        <v>34</v>
      </c>
    </row>
    <row r="10" spans="5:44" x14ac:dyDescent="0.2">
      <c r="E10" s="18" t="s">
        <v>94</v>
      </c>
      <c r="F10" s="20"/>
      <c r="J10" s="13" t="s">
        <v>15</v>
      </c>
      <c r="S10" t="s">
        <v>95</v>
      </c>
      <c r="T10" s="7" t="s">
        <v>53</v>
      </c>
      <c r="U10" t="s">
        <v>96</v>
      </c>
      <c r="V10" s="7" t="s">
        <v>27</v>
      </c>
    </row>
    <row r="11" spans="5:44" x14ac:dyDescent="0.2">
      <c r="E11" s="18" t="s">
        <v>97</v>
      </c>
      <c r="F11" s="21"/>
      <c r="J11" s="13" t="s">
        <v>16</v>
      </c>
      <c r="S11" t="s">
        <v>98</v>
      </c>
      <c r="T11" s="7" t="s">
        <v>32</v>
      </c>
    </row>
    <row r="12" spans="5:44" x14ac:dyDescent="0.2">
      <c r="E12" s="18" t="s">
        <v>99</v>
      </c>
      <c r="F12" s="20"/>
      <c r="J12" s="13" t="s">
        <v>17</v>
      </c>
      <c r="S12" t="s">
        <v>35</v>
      </c>
      <c r="T12" s="7" t="s">
        <v>27</v>
      </c>
    </row>
    <row r="13" spans="5:44" x14ac:dyDescent="0.2">
      <c r="E13" s="22" t="s">
        <v>100</v>
      </c>
      <c r="F13" s="23"/>
      <c r="J13" s="13" t="s">
        <v>18</v>
      </c>
      <c r="S13" t="s">
        <v>101</v>
      </c>
      <c r="T13" s="7" t="s">
        <v>32</v>
      </c>
    </row>
    <row r="14" spans="5:44" x14ac:dyDescent="0.2">
      <c r="F14" s="24"/>
      <c r="J14" s="13" t="s">
        <v>19</v>
      </c>
    </row>
    <row r="15" spans="5:44" ht="15" x14ac:dyDescent="0.2">
      <c r="E15" s="578" t="s">
        <v>102</v>
      </c>
      <c r="F15" s="578"/>
      <c r="J15" s="13" t="s">
        <v>20</v>
      </c>
    </row>
    <row r="16" spans="5:44" x14ac:dyDescent="0.2">
      <c r="E16" s="25" t="s">
        <v>103</v>
      </c>
      <c r="F16" s="26" t="s">
        <v>545</v>
      </c>
      <c r="J16" s="13" t="s">
        <v>21</v>
      </c>
    </row>
    <row r="17" spans="5:10" x14ac:dyDescent="0.2">
      <c r="E17" s="18" t="s">
        <v>104</v>
      </c>
      <c r="F17" s="27" t="s">
        <v>546</v>
      </c>
      <c r="J17" s="13" t="s">
        <v>22</v>
      </c>
    </row>
    <row r="18" spans="5:10" x14ac:dyDescent="0.2">
      <c r="E18" s="18" t="s">
        <v>105</v>
      </c>
      <c r="F18" s="28" t="s">
        <v>450</v>
      </c>
      <c r="J18" s="13" t="s">
        <v>23</v>
      </c>
    </row>
    <row r="19" spans="5:10" x14ac:dyDescent="0.2">
      <c r="E19" s="29" t="s">
        <v>106</v>
      </c>
      <c r="F19" s="30">
        <v>45566</v>
      </c>
      <c r="J19" s="13" t="s">
        <v>24</v>
      </c>
    </row>
    <row r="20" spans="5:10" x14ac:dyDescent="0.2">
      <c r="F20" s="31"/>
      <c r="J20" s="13"/>
    </row>
    <row r="21" spans="5:10" ht="15.75" thickBot="1" x14ac:dyDescent="0.25">
      <c r="E21" s="578" t="s">
        <v>107</v>
      </c>
      <c r="F21" s="578"/>
      <c r="J21" s="13"/>
    </row>
    <row r="22" spans="5:10" x14ac:dyDescent="0.2">
      <c r="E22" s="16" t="s">
        <v>108</v>
      </c>
      <c r="F22" s="573" t="s">
        <v>451</v>
      </c>
    </row>
    <row r="23" spans="5:10" x14ac:dyDescent="0.2">
      <c r="E23" s="18" t="s">
        <v>109</v>
      </c>
      <c r="F23" s="19" t="s">
        <v>452</v>
      </c>
    </row>
    <row r="24" spans="5:10" x14ac:dyDescent="0.2">
      <c r="E24" s="18" t="s">
        <v>110</v>
      </c>
      <c r="F24" s="19" t="s">
        <v>556</v>
      </c>
    </row>
    <row r="25" spans="5:10" ht="13.5" thickBot="1" x14ac:dyDescent="0.25">
      <c r="E25" s="22" t="s">
        <v>111</v>
      </c>
      <c r="F25" s="32">
        <f ca="1">TODAY()</f>
        <v>45639</v>
      </c>
    </row>
    <row r="27" spans="5:10" ht="15.75" thickBot="1" x14ac:dyDescent="0.25">
      <c r="E27" s="578" t="s">
        <v>112</v>
      </c>
      <c r="F27" s="578"/>
    </row>
    <row r="28" spans="5:10" x14ac:dyDescent="0.2">
      <c r="E28" s="14" t="s">
        <v>108</v>
      </c>
      <c r="F28" s="574" t="s">
        <v>453</v>
      </c>
    </row>
    <row r="29" spans="5:10" ht="13.5" thickBot="1" x14ac:dyDescent="0.25">
      <c r="E29" s="22" t="s">
        <v>113</v>
      </c>
      <c r="F29" s="575" t="s">
        <v>454</v>
      </c>
    </row>
    <row r="30" spans="5:10" ht="16.5" thickBot="1" x14ac:dyDescent="0.25">
      <c r="E30" s="8"/>
    </row>
    <row r="31" spans="5:10" ht="13.5" thickBot="1" x14ac:dyDescent="0.25">
      <c r="E31" s="570" t="s">
        <v>439</v>
      </c>
      <c r="F31" s="571" t="s">
        <v>440</v>
      </c>
    </row>
    <row r="32" spans="5:10" ht="12.75" customHeight="1" x14ac:dyDescent="0.2">
      <c r="E32" s="8"/>
    </row>
    <row r="33" spans="5:6" ht="12.75" customHeight="1" x14ac:dyDescent="0.2">
      <c r="E33" s="8" t="s">
        <v>114</v>
      </c>
    </row>
    <row r="34" spans="5:6" ht="15.75" x14ac:dyDescent="0.2">
      <c r="E34" s="8"/>
    </row>
    <row r="35" spans="5:6" ht="12.75" customHeight="1" thickBot="1" x14ac:dyDescent="0.25">
      <c r="E35" s="578" t="s">
        <v>115</v>
      </c>
      <c r="F35" s="578"/>
    </row>
    <row r="36" spans="5:6" x14ac:dyDescent="0.2">
      <c r="E36" s="14" t="s">
        <v>116</v>
      </c>
      <c r="F36" s="33"/>
    </row>
    <row r="37" spans="5:6" x14ac:dyDescent="0.2">
      <c r="E37" s="16" t="s">
        <v>117</v>
      </c>
      <c r="F37" s="17"/>
    </row>
    <row r="38" spans="5:6" x14ac:dyDescent="0.2">
      <c r="E38" s="18" t="s">
        <v>118</v>
      </c>
      <c r="F38" s="19"/>
    </row>
    <row r="39" spans="5:6" x14ac:dyDescent="0.2">
      <c r="E39" s="18" t="s">
        <v>119</v>
      </c>
      <c r="F39" s="19"/>
    </row>
    <row r="40" spans="5:6" x14ac:dyDescent="0.2">
      <c r="E40" s="18" t="s">
        <v>120</v>
      </c>
      <c r="F40" s="28" t="s">
        <v>409</v>
      </c>
    </row>
    <row r="41" spans="5:6" x14ac:dyDescent="0.2">
      <c r="E41" s="29" t="s">
        <v>121</v>
      </c>
      <c r="F41" s="34"/>
    </row>
    <row r="42" spans="5:6" ht="15.75" x14ac:dyDescent="0.2">
      <c r="E42" s="8"/>
    </row>
    <row r="43" spans="5:6" ht="12.75" customHeight="1" x14ac:dyDescent="0.2">
      <c r="E43" s="8"/>
    </row>
    <row r="44" spans="5:6" ht="12.75" customHeight="1" x14ac:dyDescent="0.2">
      <c r="E44" s="8" t="s">
        <v>122</v>
      </c>
    </row>
    <row r="45" spans="5:6" ht="15.75" x14ac:dyDescent="0.2">
      <c r="E45" s="8"/>
    </row>
    <row r="46" spans="5:6" ht="12.75" customHeight="1" x14ac:dyDescent="0.2">
      <c r="E46" s="578" t="s">
        <v>123</v>
      </c>
      <c r="F46" s="578"/>
    </row>
    <row r="47" spans="5:6" x14ac:dyDescent="0.2">
      <c r="E47" s="14" t="s">
        <v>124</v>
      </c>
      <c r="F47" s="33"/>
    </row>
    <row r="48" spans="5:6" x14ac:dyDescent="0.2">
      <c r="E48" s="29" t="s">
        <v>125</v>
      </c>
      <c r="F48" s="35"/>
    </row>
    <row r="49" spans="5:6" ht="15.75" x14ac:dyDescent="0.2">
      <c r="E49" s="8"/>
    </row>
    <row r="50" spans="5:6" ht="12.75" customHeight="1" x14ac:dyDescent="0.2">
      <c r="E50" s="578" t="s">
        <v>126</v>
      </c>
      <c r="F50" s="578"/>
    </row>
    <row r="51" spans="5:6" x14ac:dyDescent="0.2">
      <c r="E51" s="14" t="s">
        <v>108</v>
      </c>
      <c r="F51" s="36"/>
    </row>
    <row r="52" spans="5:6" x14ac:dyDescent="0.2">
      <c r="E52" s="18" t="s">
        <v>127</v>
      </c>
      <c r="F52" s="19"/>
    </row>
    <row r="53" spans="5:6" x14ac:dyDescent="0.2">
      <c r="E53" s="18" t="s">
        <v>128</v>
      </c>
      <c r="F53" s="19"/>
    </row>
    <row r="54" spans="5:6" x14ac:dyDescent="0.2">
      <c r="E54" s="22" t="s">
        <v>129</v>
      </c>
      <c r="F54" s="37"/>
    </row>
    <row r="55" spans="5:6" x14ac:dyDescent="0.2">
      <c r="F55" s="31"/>
    </row>
    <row r="57" spans="5:6" ht="15.75" x14ac:dyDescent="0.2">
      <c r="E57" s="8" t="s">
        <v>130</v>
      </c>
    </row>
    <row r="58" spans="5:6" ht="16.5" thickBot="1" x14ac:dyDescent="0.25">
      <c r="E58" s="8"/>
    </row>
    <row r="59" spans="5:6" ht="15.75" thickBot="1" x14ac:dyDescent="0.25">
      <c r="E59" s="578" t="s">
        <v>131</v>
      </c>
      <c r="F59" s="578"/>
    </row>
    <row r="60" spans="5:6" x14ac:dyDescent="0.2">
      <c r="E60" s="14" t="s">
        <v>108</v>
      </c>
      <c r="F60" s="36"/>
    </row>
    <row r="61" spans="5:6" ht="13.5" thickBot="1" x14ac:dyDescent="0.25">
      <c r="E61" s="29" t="s">
        <v>132</v>
      </c>
      <c r="F61" s="38"/>
    </row>
  </sheetData>
  <sheetProtection algorithmName="SHA-512" hashValue="qhS/ShjVl0+iA4u/StJPADXZyyqWi5zwH0VBtDEuJX/uBAKcz7JKS5I8lzesfnvIOedvcSZU9CgCLO5EWPt0UQ==" saltValue="rK4r+LATfY57KJ9egRg7Kg==" spinCount="100000" sheet="1" objects="1" scenarios="1" autoFilter="0"/>
  <mergeCells count="9">
    <mergeCell ref="E50:F50"/>
    <mergeCell ref="E59:F59"/>
    <mergeCell ref="L1:AR1"/>
    <mergeCell ref="E3:F3"/>
    <mergeCell ref="E15:F15"/>
    <mergeCell ref="E21:F21"/>
    <mergeCell ref="E27:F27"/>
    <mergeCell ref="E35:F35"/>
    <mergeCell ref="E46:F46"/>
  </mergeCells>
  <phoneticPr fontId="38" type="noConversion"/>
  <conditionalFormatting sqref="E57:F58">
    <cfRule type="expression" dxfId="452" priority="2" stopIfTrue="1">
      <formula>CAIXA.Modo=FALSE</formula>
    </cfRule>
  </conditionalFormatting>
  <conditionalFormatting sqref="E59:F61">
    <cfRule type="expression" dxfId="451" priority="3" stopIfTrue="1">
      <formula>CAIXA.Modo=FALSE</formula>
    </cfRule>
  </conditionalFormatting>
  <dataValidations count="7">
    <dataValidation type="date" allowBlank="1" showErrorMessage="1" errorTitle="Dados inválidos" error="Digite somente datas válidas no formato mm/aaaa." sqref="F19 F25 F36 F41 F47:F48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40">
      <formula1>"(SELECIONAR),INDEFINIDO / NÃO SE APLICA,EMPREITADA POR PREÇO GLOBAL,EMPREITADA POR PREÇO UNITÁRIO,EMPREITADA INTEGRAL,TAREFA,CONTRATAÇÃO INTEGRADA,ADM. DIRETA"</formula1>
      <formula2>0</formula2>
    </dataValidation>
    <dataValidation type="list" allowBlank="1" showErrorMessage="1" sqref="F31">
      <formula1>"Tradicional,TransfereGOV"</formula1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52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39" t="s">
        <v>133</v>
      </c>
    </row>
    <row r="5" spans="1:4" ht="18.75" x14ac:dyDescent="0.3">
      <c r="A5" s="40"/>
      <c r="B5" s="41"/>
      <c r="C5" s="41"/>
      <c r="D5" s="42"/>
    </row>
    <row r="6" spans="1:4" ht="18.75" x14ac:dyDescent="0.3">
      <c r="A6" s="43" t="s">
        <v>134</v>
      </c>
      <c r="B6" s="44"/>
      <c r="C6" s="44"/>
      <c r="D6" s="3"/>
    </row>
    <row r="7" spans="1:4" ht="15" x14ac:dyDescent="0.25">
      <c r="A7" s="4"/>
      <c r="B7" s="45" t="s">
        <v>135</v>
      </c>
      <c r="C7" s="45"/>
      <c r="D7" s="3"/>
    </row>
    <row r="8" spans="1:4" ht="15" x14ac:dyDescent="0.25">
      <c r="A8" s="4"/>
      <c r="B8" s="45"/>
      <c r="C8" s="46" t="str">
        <f>IF(D8&lt;&gt;"","▪","")</f>
        <v>▪</v>
      </c>
      <c r="D8" s="3" t="s">
        <v>136</v>
      </c>
    </row>
    <row r="9" spans="1:4" ht="15" x14ac:dyDescent="0.25">
      <c r="A9" s="4"/>
      <c r="B9" s="45"/>
      <c r="C9" s="46" t="str">
        <f>IF(D9&lt;&gt;"","▪","")</f>
        <v/>
      </c>
      <c r="D9" s="3"/>
    </row>
    <row r="10" spans="1:4" ht="18.75" x14ac:dyDescent="0.3">
      <c r="A10" s="560" t="s">
        <v>412</v>
      </c>
      <c r="B10" s="561"/>
      <c r="C10" s="561"/>
      <c r="D10" s="562"/>
    </row>
    <row r="11" spans="1:4" ht="15" x14ac:dyDescent="0.25">
      <c r="A11" s="4"/>
      <c r="B11" s="45" t="s">
        <v>135</v>
      </c>
      <c r="C11" s="45"/>
      <c r="D11" s="3"/>
    </row>
    <row r="12" spans="1:4" ht="15" x14ac:dyDescent="0.25">
      <c r="A12" s="4"/>
      <c r="B12" s="45"/>
      <c r="C12" s="46" t="str">
        <f>IF(D12&lt;&gt;"","▪","")</f>
        <v>▪</v>
      </c>
      <c r="D12" s="3" t="s">
        <v>415</v>
      </c>
    </row>
    <row r="13" spans="1:4" ht="15" x14ac:dyDescent="0.25">
      <c r="A13" s="4"/>
      <c r="B13" s="45" t="s">
        <v>413</v>
      </c>
      <c r="C13" s="45"/>
      <c r="D13" s="3"/>
    </row>
    <row r="14" spans="1:4" ht="15" x14ac:dyDescent="0.25">
      <c r="A14" s="473"/>
      <c r="B14" s="45"/>
      <c r="C14" s="46" t="str">
        <f>IF(D14&lt;&gt;"","▪","")</f>
        <v>▪</v>
      </c>
      <c r="D14" s="3" t="s">
        <v>416</v>
      </c>
    </row>
    <row r="15" spans="1:4" ht="15" x14ac:dyDescent="0.2">
      <c r="A15" s="473"/>
      <c r="C15" s="46" t="str">
        <f>IF(D15&lt;&gt;"","▪","")</f>
        <v>▪</v>
      </c>
      <c r="D15" s="3" t="s">
        <v>417</v>
      </c>
    </row>
    <row r="16" spans="1:4" x14ac:dyDescent="0.2">
      <c r="A16" s="477"/>
    </row>
    <row r="17" spans="1:4" ht="18.75" x14ac:dyDescent="0.3">
      <c r="A17" s="560" t="s">
        <v>419</v>
      </c>
      <c r="B17" s="561"/>
      <c r="C17" s="561"/>
      <c r="D17" s="562"/>
    </row>
    <row r="18" spans="1:4" ht="15" x14ac:dyDescent="0.25">
      <c r="A18" s="4"/>
      <c r="B18" s="45" t="s">
        <v>135</v>
      </c>
      <c r="C18" s="45"/>
      <c r="D18" s="3"/>
    </row>
    <row r="19" spans="1:4" ht="15" x14ac:dyDescent="0.25">
      <c r="A19" s="4"/>
      <c r="B19" s="45"/>
      <c r="C19" s="46" t="str">
        <f>IF(D19&lt;&gt;"","▪","")</f>
        <v>▪</v>
      </c>
      <c r="D19" s="3" t="s">
        <v>415</v>
      </c>
    </row>
    <row r="20" spans="1:4" ht="15" x14ac:dyDescent="0.25">
      <c r="A20" s="4"/>
      <c r="B20" s="45"/>
      <c r="C20" s="46" t="str">
        <f>IF(D20&lt;&gt;"","▪","")</f>
        <v>▪</v>
      </c>
      <c r="D20" s="3" t="s">
        <v>428</v>
      </c>
    </row>
    <row r="21" spans="1:4" ht="15" x14ac:dyDescent="0.25">
      <c r="A21" s="473"/>
      <c r="B21" s="45" t="s">
        <v>426</v>
      </c>
      <c r="C21" s="45"/>
      <c r="D21" s="3"/>
    </row>
    <row r="22" spans="1:4" ht="15" x14ac:dyDescent="0.25">
      <c r="A22" s="473"/>
      <c r="B22" s="45"/>
      <c r="C22" s="46" t="str">
        <f>IF(D22&lt;&gt;"","▪","")</f>
        <v>▪</v>
      </c>
      <c r="D22" s="3" t="s">
        <v>427</v>
      </c>
    </row>
    <row r="23" spans="1:4" ht="15" x14ac:dyDescent="0.25">
      <c r="A23" s="473"/>
      <c r="B23" s="45" t="s">
        <v>420</v>
      </c>
      <c r="C23" s="45"/>
      <c r="D23" s="3"/>
    </row>
    <row r="24" spans="1:4" ht="15" x14ac:dyDescent="0.25">
      <c r="A24" s="473"/>
      <c r="B24" s="45"/>
      <c r="C24" s="46" t="str">
        <f>IF(D24&lt;&gt;"","▪","")</f>
        <v>▪</v>
      </c>
      <c r="D24" s="3" t="s">
        <v>424</v>
      </c>
    </row>
    <row r="25" spans="1:4" ht="15" x14ac:dyDescent="0.25">
      <c r="A25" s="473"/>
      <c r="B25" s="45" t="s">
        <v>421</v>
      </c>
      <c r="C25" s="45"/>
      <c r="D25" s="3"/>
    </row>
    <row r="26" spans="1:4" ht="15" x14ac:dyDescent="0.25">
      <c r="A26" s="473"/>
      <c r="B26" s="45"/>
      <c r="C26" s="46" t="str">
        <f>IF(D26&lt;&gt;"","▪","")</f>
        <v>▪</v>
      </c>
      <c r="D26" s="3" t="s">
        <v>423</v>
      </c>
    </row>
    <row r="27" spans="1:4" ht="15" x14ac:dyDescent="0.25">
      <c r="A27" s="473"/>
      <c r="B27" s="45" t="s">
        <v>425</v>
      </c>
      <c r="C27" s="45"/>
      <c r="D27" s="3"/>
    </row>
    <row r="28" spans="1:4" ht="15" x14ac:dyDescent="0.25">
      <c r="A28" s="473"/>
      <c r="B28" s="45"/>
      <c r="C28" s="46" t="str">
        <f>IF(D28&lt;&gt;"","▪","")</f>
        <v>▪</v>
      </c>
      <c r="D28" s="3" t="s">
        <v>422</v>
      </c>
    </row>
    <row r="29" spans="1:4" x14ac:dyDescent="0.2">
      <c r="A29" s="477"/>
    </row>
    <row r="30" spans="1:4" ht="18.75" x14ac:dyDescent="0.3">
      <c r="A30" s="560" t="s">
        <v>429</v>
      </c>
      <c r="B30" s="561"/>
      <c r="C30" s="561"/>
      <c r="D30" s="562"/>
    </row>
    <row r="31" spans="1:4" ht="15" x14ac:dyDescent="0.25">
      <c r="A31" s="4"/>
      <c r="B31" s="45" t="s">
        <v>135</v>
      </c>
      <c r="C31" s="45"/>
      <c r="D31" s="3"/>
    </row>
    <row r="32" spans="1:4" ht="15" x14ac:dyDescent="0.25">
      <c r="A32" s="4"/>
      <c r="B32" s="45"/>
      <c r="C32" s="46" t="str">
        <f>IF(D32&lt;&gt;"","▪","")</f>
        <v>▪</v>
      </c>
      <c r="D32" s="3" t="s">
        <v>428</v>
      </c>
    </row>
    <row r="33" spans="1:5" ht="15" x14ac:dyDescent="0.25">
      <c r="A33" s="4"/>
      <c r="B33" s="45" t="s">
        <v>430</v>
      </c>
      <c r="C33" s="46"/>
      <c r="D33" s="3"/>
    </row>
    <row r="34" spans="1:5" ht="15" x14ac:dyDescent="0.25">
      <c r="A34" s="4"/>
      <c r="B34" s="45"/>
      <c r="C34" s="46" t="str">
        <f>IF(D34&lt;&gt;"","▪","")</f>
        <v>▪</v>
      </c>
      <c r="D34" s="3" t="s">
        <v>431</v>
      </c>
    </row>
    <row r="35" spans="1:5" ht="15" x14ac:dyDescent="0.25">
      <c r="A35" s="4"/>
      <c r="B35" s="45"/>
      <c r="C35" s="45"/>
      <c r="D35" s="45"/>
      <c r="E35" s="45"/>
    </row>
    <row r="36" spans="1:5" x14ac:dyDescent="0.2">
      <c r="A36" s="477"/>
    </row>
    <row r="37" spans="1:5" ht="18.75" x14ac:dyDescent="0.3">
      <c r="A37" s="560" t="s">
        <v>432</v>
      </c>
      <c r="B37" s="561"/>
      <c r="C37" s="561"/>
      <c r="D37" s="562"/>
    </row>
    <row r="38" spans="1:5" ht="15" x14ac:dyDescent="0.25">
      <c r="A38" s="4"/>
      <c r="B38" s="45" t="s">
        <v>212</v>
      </c>
      <c r="C38" s="45"/>
      <c r="D38" s="3"/>
    </row>
    <row r="39" spans="1:5" ht="15" x14ac:dyDescent="0.25">
      <c r="A39" s="4"/>
      <c r="B39" s="45"/>
      <c r="C39" s="46" t="str">
        <f>IF(D39&lt;&gt;"","▪","")</f>
        <v>▪</v>
      </c>
      <c r="D39" s="3" t="s">
        <v>433</v>
      </c>
    </row>
    <row r="40" spans="1:5" ht="15" x14ac:dyDescent="0.25">
      <c r="A40" s="4"/>
      <c r="B40" s="45" t="s">
        <v>420</v>
      </c>
      <c r="C40" s="45"/>
      <c r="D40" s="3"/>
    </row>
    <row r="41" spans="1:5" ht="15" x14ac:dyDescent="0.25">
      <c r="A41" s="4"/>
      <c r="B41" s="45"/>
      <c r="C41" s="46" t="str">
        <f>IF(D41&lt;&gt;"","▪","")</f>
        <v>▪</v>
      </c>
      <c r="D41" s="3" t="s">
        <v>434</v>
      </c>
    </row>
    <row r="42" spans="1:5" ht="15" x14ac:dyDescent="0.25">
      <c r="A42" s="4"/>
      <c r="B42" s="45" t="s">
        <v>421</v>
      </c>
      <c r="C42" s="45"/>
      <c r="D42" s="3"/>
      <c r="E42" s="45"/>
    </row>
    <row r="43" spans="1:5" ht="15" x14ac:dyDescent="0.25">
      <c r="A43" s="4"/>
      <c r="B43" s="45"/>
      <c r="C43" s="46" t="str">
        <f>IF(D43&lt;&gt;"","▪","")</f>
        <v>▪</v>
      </c>
      <c r="D43" s="3" t="s">
        <v>435</v>
      </c>
    </row>
    <row r="44" spans="1:5" ht="15" x14ac:dyDescent="0.25">
      <c r="A44" s="4"/>
      <c r="B44" s="45"/>
      <c r="C44" s="45"/>
      <c r="D44" s="45"/>
    </row>
    <row r="45" spans="1:5" ht="18.75" x14ac:dyDescent="0.3">
      <c r="A45" s="560" t="s">
        <v>436</v>
      </c>
      <c r="B45" s="561"/>
      <c r="C45" s="561"/>
      <c r="D45" s="562"/>
    </row>
    <row r="46" spans="1:5" ht="15" x14ac:dyDescent="0.25">
      <c r="A46" s="4"/>
      <c r="B46" s="45" t="s">
        <v>135</v>
      </c>
      <c r="C46" s="45"/>
      <c r="D46" s="3"/>
    </row>
    <row r="47" spans="1:5" ht="15" x14ac:dyDescent="0.25">
      <c r="A47" s="4"/>
      <c r="B47" s="45"/>
      <c r="C47" s="46" t="str">
        <f>IF(D47&lt;&gt;"","▪","")</f>
        <v>▪</v>
      </c>
      <c r="D47" s="3" t="s">
        <v>437</v>
      </c>
    </row>
    <row r="48" spans="1:5" ht="15" x14ac:dyDescent="0.25">
      <c r="A48" s="4"/>
      <c r="B48" s="45"/>
      <c r="C48" s="45"/>
      <c r="D48" s="45"/>
    </row>
    <row r="49" spans="1:4" ht="18.75" x14ac:dyDescent="0.3">
      <c r="A49" s="560" t="s">
        <v>441</v>
      </c>
      <c r="B49" s="561"/>
      <c r="C49" s="561"/>
      <c r="D49" s="562"/>
    </row>
    <row r="50" spans="1:4" ht="15" x14ac:dyDescent="0.25">
      <c r="A50" s="4"/>
      <c r="B50" s="45" t="s">
        <v>135</v>
      </c>
      <c r="C50" s="45"/>
      <c r="D50" s="3"/>
    </row>
    <row r="51" spans="1:4" ht="15" x14ac:dyDescent="0.25">
      <c r="A51" s="4"/>
      <c r="B51" s="45"/>
      <c r="C51" s="46" t="str">
        <f>IF(D51&lt;&gt;"","▪","")</f>
        <v>▪</v>
      </c>
      <c r="D51" s="3" t="s">
        <v>444</v>
      </c>
    </row>
    <row r="52" spans="1:4" ht="15" x14ac:dyDescent="0.25">
      <c r="A52" s="4"/>
      <c r="B52" s="45"/>
      <c r="C52" s="46" t="str">
        <f>IF(D52&lt;&gt;"","▪","")</f>
        <v>▪</v>
      </c>
      <c r="D52" s="3" t="s">
        <v>445</v>
      </c>
    </row>
  </sheetData>
  <sheetProtection algorithmName="SHA-512" hashValue="GC6aTY4P3+MgUUaaLQr7h0CNDYXN8M3ZMYAUt6aL0dD73B0tM8IsJMu1rlkcLSClvINKcCdfIJYgR1tTOZ4AQA==" saltValue="lkrPr3lBUuggvMEOMJPFDg==" spinCount="100000" sheet="1" objects="1" scenarios="1" autoFilter="0"/>
  <phoneticPr fontId="38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 filterMode="1">
    <pageSetUpPr fitToPage="1"/>
  </sheetPr>
  <dimension ref="A1:Z146"/>
  <sheetViews>
    <sheetView showGridLines="0" topLeftCell="I1" zoomScale="90" zoomScaleNormal="90" zoomScaleSheetLayoutView="100" workbookViewId="0">
      <pane ySplit="11" topLeftCell="A12" activePane="bottomLeft" state="frozen"/>
      <selection activeCell="E1" sqref="E1"/>
      <selection pane="bottomLeft" activeCell="P13" sqref="P13"/>
    </sheetView>
  </sheetViews>
  <sheetFormatPr defaultRowHeight="12.75" x14ac:dyDescent="0.2"/>
  <cols>
    <col min="1" max="4" width="5.7109375" style="47" hidden="1" customWidth="1"/>
    <col min="5" max="5" width="11.28515625" style="47" hidden="1" customWidth="1"/>
    <col min="6" max="6" width="11.42578125" style="47" hidden="1" customWidth="1"/>
    <col min="7" max="7" width="11.85546875" style="47" hidden="1" customWidth="1"/>
    <col min="8" max="8" width="10.7109375" customWidth="1"/>
    <col min="9" max="9" width="3.7109375" customWidth="1"/>
    <col min="10" max="15" width="10.7109375" style="47" customWidth="1"/>
    <col min="16" max="16" width="12.85546875" style="47" customWidth="1"/>
    <col min="17" max="19" width="10.7109375" style="47" customWidth="1"/>
  </cols>
  <sheetData>
    <row r="1" spans="1:19" ht="15.75" x14ac:dyDescent="0.25">
      <c r="E1" s="48" t="s">
        <v>137</v>
      </c>
      <c r="F1" s="48" t="s">
        <v>138</v>
      </c>
      <c r="G1" s="48" t="s">
        <v>139</v>
      </c>
      <c r="O1" s="49" t="str">
        <f>"Quadro de Composição do BDI"</f>
        <v>Quadro de Composição do BDI</v>
      </c>
      <c r="R1" s="581" t="s">
        <v>140</v>
      </c>
      <c r="S1" s="581"/>
    </row>
    <row r="2" spans="1:19" x14ac:dyDescent="0.2">
      <c r="A2" s="47" t="s">
        <v>141</v>
      </c>
      <c r="B2" s="51" t="s">
        <v>142</v>
      </c>
      <c r="C2" s="47" t="str">
        <f t="shared" ref="C2:C49" si="0">CONCATENATE(A2,"-",B2)</f>
        <v>Construção e Reforma de Edifícios-AC</v>
      </c>
      <c r="E2" s="52">
        <v>0.03</v>
      </c>
      <c r="F2" s="52">
        <v>0.04</v>
      </c>
      <c r="G2" s="52">
        <v>5.5E-2</v>
      </c>
      <c r="R2" s="582" t="s">
        <v>143</v>
      </c>
      <c r="S2" s="582"/>
    </row>
    <row r="3" spans="1:19" x14ac:dyDescent="0.2">
      <c r="A3" s="47" t="str">
        <f>A2</f>
        <v>Construção e Reforma de Edifícios</v>
      </c>
      <c r="B3" s="51" t="s">
        <v>144</v>
      </c>
      <c r="C3" s="47" t="str">
        <f t="shared" si="0"/>
        <v>Construção e Reforma de Edifícios-SG</v>
      </c>
      <c r="E3" s="52">
        <v>8.0000000000000002E-3</v>
      </c>
      <c r="F3" s="52">
        <v>8.0000000000000002E-3</v>
      </c>
      <c r="G3" s="52">
        <v>0.01</v>
      </c>
    </row>
    <row r="4" spans="1:19" x14ac:dyDescent="0.2">
      <c r="A4" s="47" t="str">
        <f>A3</f>
        <v>Construção e Reforma de Edifícios</v>
      </c>
      <c r="B4" s="51" t="s">
        <v>145</v>
      </c>
      <c r="C4" s="47" t="str">
        <f t="shared" si="0"/>
        <v>Construção e Reforma de Edifícios-R</v>
      </c>
      <c r="E4" s="52">
        <v>9.7000000000000003E-3</v>
      </c>
      <c r="F4" s="52">
        <v>1.2699999999999999E-2</v>
      </c>
      <c r="G4" s="52">
        <v>1.2699999999999999E-2</v>
      </c>
      <c r="J4" s="583" t="s">
        <v>146</v>
      </c>
      <c r="K4" s="583"/>
      <c r="L4" s="583" t="s">
        <v>446</v>
      </c>
      <c r="M4" s="583"/>
      <c r="N4" s="583" t="s">
        <v>147</v>
      </c>
      <c r="O4" s="583"/>
      <c r="P4" s="583"/>
      <c r="Q4" s="583"/>
      <c r="R4" s="583"/>
      <c r="S4" s="583"/>
    </row>
    <row r="5" spans="1:19" ht="12.75" customHeight="1" x14ac:dyDescent="0.2">
      <c r="A5" s="47" t="str">
        <f>A4</f>
        <v>Construção e Reforma de Edifícios</v>
      </c>
      <c r="B5" s="51" t="s">
        <v>148</v>
      </c>
      <c r="C5" s="47" t="str">
        <f t="shared" si="0"/>
        <v>Construção e Reforma de Edifícios-DF</v>
      </c>
      <c r="E5" s="52">
        <v>5.8999999999999999E-3</v>
      </c>
      <c r="F5" s="52">
        <v>1.23E-2</v>
      </c>
      <c r="G5" s="52">
        <v>1.3899999999999999E-2</v>
      </c>
      <c r="J5" s="580">
        <f>Import.CR</f>
        <v>0</v>
      </c>
      <c r="K5" s="580"/>
      <c r="L5" s="580">
        <f>Import.TransfereGOV</f>
        <v>0</v>
      </c>
      <c r="M5" s="580"/>
      <c r="N5" s="580" t="str">
        <f>Import.Proponente</f>
        <v>PREFEITURA MUNICIPAL DE LAGES</v>
      </c>
      <c r="O5" s="580"/>
      <c r="P5" s="580"/>
      <c r="Q5" s="580"/>
      <c r="R5" s="580"/>
      <c r="S5" s="580"/>
    </row>
    <row r="6" spans="1:19" x14ac:dyDescent="0.2">
      <c r="A6" s="47" t="str">
        <f>A5</f>
        <v>Construção e Reforma de Edifícios</v>
      </c>
      <c r="B6" s="51" t="s">
        <v>149</v>
      </c>
      <c r="C6" s="47" t="str">
        <f t="shared" si="0"/>
        <v>Construção e Reforma de Edifícios-L</v>
      </c>
      <c r="E6" s="52">
        <v>6.1600000000000002E-2</v>
      </c>
      <c r="F6" s="52">
        <v>7.400000000000001E-2</v>
      </c>
      <c r="G6" s="52">
        <v>8.9600000000000013E-2</v>
      </c>
      <c r="I6" s="609" t="s">
        <v>209</v>
      </c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25.5" x14ac:dyDescent="0.2">
      <c r="A7" s="47" t="str">
        <f>A6</f>
        <v>Construção e Reforma de Edifícios</v>
      </c>
      <c r="B7" s="56" t="s">
        <v>150</v>
      </c>
      <c r="C7" s="47" t="str">
        <f t="shared" si="0"/>
        <v>Construção e Reforma de Edifícios-BDI PAD</v>
      </c>
      <c r="E7" s="52">
        <v>0.2034</v>
      </c>
      <c r="F7" s="52">
        <v>0.22120000000000001</v>
      </c>
      <c r="G7" s="52">
        <v>0.25</v>
      </c>
      <c r="I7" s="609"/>
      <c r="J7" s="583" t="s">
        <v>151</v>
      </c>
      <c r="K7" s="583"/>
      <c r="L7" s="583"/>
      <c r="M7" s="583"/>
      <c r="N7" s="583"/>
      <c r="O7" s="583"/>
      <c r="P7" s="583"/>
      <c r="Q7" s="583"/>
      <c r="R7" s="583"/>
      <c r="S7" s="583"/>
    </row>
    <row r="8" spans="1:19" x14ac:dyDescent="0.2">
      <c r="A8" s="47" t="s">
        <v>152</v>
      </c>
      <c r="B8" s="51" t="s">
        <v>142</v>
      </c>
      <c r="C8" s="47" t="str">
        <f t="shared" si="0"/>
        <v>Construção de Praças Urbanas, Rodovias, Ferrovias e recapeamento e pavimentação de vias urbanas-AC</v>
      </c>
      <c r="E8" s="52">
        <v>3.7999999999999999E-2</v>
      </c>
      <c r="F8" s="52">
        <v>4.0099999999999997E-2</v>
      </c>
      <c r="G8" s="52">
        <v>4.6699999999999998E-2</v>
      </c>
      <c r="I8" s="609"/>
      <c r="J8" s="586" t="str">
        <f>Import.Apelido&amp;" / "&amp;Import.DescLote</f>
        <v>VESTIÁRIOS CAMPO SANTA HELENA / IMPLANTAÇÃO DE VESTIÁRIOS</v>
      </c>
      <c r="K8" s="586"/>
      <c r="L8" s="586"/>
      <c r="M8" s="586"/>
      <c r="N8" s="586"/>
      <c r="O8" s="586"/>
      <c r="P8" s="586"/>
      <c r="Q8" s="586"/>
      <c r="R8" s="586"/>
      <c r="S8" s="586"/>
    </row>
    <row r="9" spans="1:19" x14ac:dyDescent="0.2">
      <c r="A9" s="47" t="s">
        <v>152</v>
      </c>
      <c r="B9" s="51" t="s">
        <v>144</v>
      </c>
      <c r="C9" s="47" t="str">
        <f t="shared" si="0"/>
        <v>Construção de Praças Urbanas, Rodovias, Ferrovias e recapeamento e pavimentação de vias urbanas-SG</v>
      </c>
      <c r="E9" s="52">
        <v>3.2000000000000002E-3</v>
      </c>
      <c r="F9" s="52">
        <v>4.0000000000000001E-3</v>
      </c>
      <c r="G9" s="52">
        <v>7.4000000000000003E-3</v>
      </c>
      <c r="I9" s="609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ht="12.75" customHeight="1" x14ac:dyDescent="0.2">
      <c r="A10" s="47" t="s">
        <v>152</v>
      </c>
      <c r="B10" s="51" t="s">
        <v>145</v>
      </c>
      <c r="C10" s="47" t="str">
        <f t="shared" si="0"/>
        <v>Construção de Praças Urbanas, Rodovias, Ferrovias e recapeamento e pavimentação de vias urbanas-R</v>
      </c>
      <c r="E10" s="52">
        <v>5.0000000000000001E-3</v>
      </c>
      <c r="F10" s="52">
        <v>5.6000000000000008E-3</v>
      </c>
      <c r="G10" s="52">
        <v>9.7000000000000003E-3</v>
      </c>
      <c r="I10" s="609"/>
      <c r="J10" s="587" t="s">
        <v>153</v>
      </c>
      <c r="K10" s="587"/>
      <c r="L10" s="587"/>
      <c r="M10" s="587"/>
      <c r="N10" s="587"/>
      <c r="O10" s="587"/>
      <c r="P10" s="587"/>
      <c r="Q10" s="587"/>
      <c r="R10" s="585">
        <v>1</v>
      </c>
      <c r="S10" s="585"/>
    </row>
    <row r="11" spans="1:19" ht="12.75" customHeight="1" x14ac:dyDescent="0.2">
      <c r="A11" s="47" t="s">
        <v>152</v>
      </c>
      <c r="B11" s="51" t="s">
        <v>148</v>
      </c>
      <c r="C11" s="47" t="str">
        <f t="shared" si="0"/>
        <v>Construção de Praças Urbanas, Rodovias, Ferrovias e recapeamento e pavimentação de vias urbanas-DF</v>
      </c>
      <c r="E11" s="52">
        <v>1.0200000000000001E-2</v>
      </c>
      <c r="F11" s="52">
        <v>1.11E-2</v>
      </c>
      <c r="G11" s="52">
        <v>1.21E-2</v>
      </c>
      <c r="I11" s="105" t="s">
        <v>217</v>
      </c>
      <c r="J11" s="584" t="s">
        <v>154</v>
      </c>
      <c r="K11" s="584"/>
      <c r="L11" s="584"/>
      <c r="M11" s="584"/>
      <c r="N11" s="584"/>
      <c r="O11" s="584"/>
      <c r="P11" s="584"/>
      <c r="Q11" s="584"/>
      <c r="R11" s="585">
        <v>0.03</v>
      </c>
      <c r="S11" s="585"/>
    </row>
    <row r="12" spans="1:19" x14ac:dyDescent="0.2">
      <c r="A12" s="47" t="s">
        <v>152</v>
      </c>
      <c r="B12" s="51" t="s">
        <v>149</v>
      </c>
      <c r="C12" s="47" t="str">
        <f t="shared" si="0"/>
        <v>Construção de Praças Urbanas, Rodovias, Ferrovias e recapeamento e pavimentação de vias urbanas-L</v>
      </c>
      <c r="E12" s="52">
        <v>6.6400000000000001E-2</v>
      </c>
      <c r="F12" s="52">
        <v>7.2999999999999995E-2</v>
      </c>
      <c r="G12" s="52">
        <v>8.6899999999999991E-2</v>
      </c>
      <c r="I12" t="s">
        <v>246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 ht="25.5" x14ac:dyDescent="0.2">
      <c r="A13" s="47" t="s">
        <v>152</v>
      </c>
      <c r="B13" s="56" t="s">
        <v>150</v>
      </c>
      <c r="C13" s="47" t="str">
        <f t="shared" si="0"/>
        <v>Construção de Praças Urbanas, Rodovias, Ferrovias e recapeamento e pavimentação de vias urbanas-BDI PAD</v>
      </c>
      <c r="E13" s="52">
        <v>0.19600000000000001</v>
      </c>
      <c r="F13" s="52">
        <v>0.2097</v>
      </c>
      <c r="G13" s="52">
        <v>0.24230000000000002</v>
      </c>
      <c r="I13" t="s">
        <v>246</v>
      </c>
    </row>
    <row r="14" spans="1:19" ht="15.75" x14ac:dyDescent="0.25">
      <c r="A14" s="47" t="s">
        <v>155</v>
      </c>
      <c r="B14" s="51" t="s">
        <v>142</v>
      </c>
      <c r="C14" s="47" t="str">
        <f t="shared" si="0"/>
        <v>Construção de Redes de Abastecimento de Água, Coleta de Esgoto-AC</v>
      </c>
      <c r="E14" s="52">
        <v>3.4300000000000004E-2</v>
      </c>
      <c r="F14" s="52">
        <v>4.9299999999999997E-2</v>
      </c>
      <c r="G14" s="52">
        <v>6.7099999999999993E-2</v>
      </c>
      <c r="I14" t="s">
        <v>246</v>
      </c>
      <c r="J14" s="592" t="s">
        <v>156</v>
      </c>
      <c r="K14" s="592"/>
      <c r="L14" s="592"/>
      <c r="M14" s="592"/>
      <c r="N14" s="592"/>
      <c r="O14" s="592"/>
      <c r="P14" s="592"/>
      <c r="Q14" s="592"/>
      <c r="R14" s="592"/>
      <c r="S14" s="592"/>
    </row>
    <row r="15" spans="1:19" x14ac:dyDescent="0.2">
      <c r="A15" s="47" t="str">
        <f>A14</f>
        <v>Construção de Redes de Abastecimento de Água, Coleta de Esgoto</v>
      </c>
      <c r="B15" s="51" t="s">
        <v>144</v>
      </c>
      <c r="C15" s="47" t="str">
        <f t="shared" si="0"/>
        <v>Construção de Redes de Abastecimento de Água, Coleta de Esgoto-SG</v>
      </c>
      <c r="E15" s="52">
        <v>2.8000000000000004E-3</v>
      </c>
      <c r="F15" s="52">
        <v>4.8999999999999998E-3</v>
      </c>
      <c r="G15" s="52">
        <v>7.4999999999999997E-3</v>
      </c>
      <c r="I15" t="s">
        <v>246</v>
      </c>
    </row>
    <row r="16" spans="1:19" x14ac:dyDescent="0.2">
      <c r="A16" s="47" t="str">
        <f>A15</f>
        <v>Construção de Redes de Abastecimento de Água, Coleta de Esgoto</v>
      </c>
      <c r="B16" s="51" t="s">
        <v>145</v>
      </c>
      <c r="C16" s="47" t="str">
        <f t="shared" si="0"/>
        <v>Construção de Redes de Abastecimento de Água, Coleta de Esgoto-R</v>
      </c>
      <c r="E16" s="52">
        <v>0.01</v>
      </c>
      <c r="F16" s="52">
        <v>1.3899999999999999E-2</v>
      </c>
      <c r="G16" s="52">
        <v>1.7399999999999999E-2</v>
      </c>
      <c r="I16" t="s">
        <v>246</v>
      </c>
      <c r="J16" s="583" t="s">
        <v>157</v>
      </c>
      <c r="K16" s="583"/>
      <c r="L16" s="583"/>
      <c r="M16" s="583"/>
      <c r="N16" s="583"/>
      <c r="O16" s="583"/>
      <c r="P16" s="583"/>
      <c r="Q16" s="583"/>
      <c r="R16" s="583"/>
      <c r="S16" s="583"/>
    </row>
    <row r="17" spans="1:26" x14ac:dyDescent="0.2">
      <c r="A17" s="47" t="str">
        <f>A16</f>
        <v>Construção de Redes de Abastecimento de Água, Coleta de Esgoto</v>
      </c>
      <c r="B17" s="51" t="s">
        <v>148</v>
      </c>
      <c r="C17" s="47" t="str">
        <f t="shared" si="0"/>
        <v>Construção de Redes de Abastecimento de Água, Coleta de Esgoto-DF</v>
      </c>
      <c r="E17" s="52">
        <v>9.3999999999999986E-3</v>
      </c>
      <c r="F17" s="52">
        <v>9.8999999999999991E-3</v>
      </c>
      <c r="G17" s="52">
        <v>1.1699999999999999E-2</v>
      </c>
      <c r="I17" t="s">
        <v>246</v>
      </c>
      <c r="J17" s="589" t="s">
        <v>141</v>
      </c>
      <c r="K17" s="589"/>
      <c r="L17" s="589"/>
      <c r="M17" s="589"/>
      <c r="N17" s="589"/>
      <c r="O17" s="589"/>
      <c r="P17" s="589"/>
      <c r="Q17" s="589"/>
      <c r="R17" s="589"/>
      <c r="S17" s="589"/>
    </row>
    <row r="18" spans="1:26" x14ac:dyDescent="0.2">
      <c r="A18" s="47" t="str">
        <f>A17</f>
        <v>Construção de Redes de Abastecimento de Água, Coleta de Esgoto</v>
      </c>
      <c r="B18" s="51" t="s">
        <v>149</v>
      </c>
      <c r="C18" s="47" t="str">
        <f t="shared" si="0"/>
        <v>Construção de Redes de Abastecimento de Água, Coleta de Esgoto-L</v>
      </c>
      <c r="E18" s="52">
        <v>6.7400000000000002E-2</v>
      </c>
      <c r="F18" s="52">
        <v>8.0399999999999985E-2</v>
      </c>
      <c r="G18" s="52">
        <v>9.4E-2</v>
      </c>
      <c r="I18" t="s">
        <v>246</v>
      </c>
    </row>
    <row r="19" spans="1:26" ht="12.75" customHeight="1" x14ac:dyDescent="0.2">
      <c r="A19" s="47" t="str">
        <f>A18</f>
        <v>Construção de Redes de Abastecimento de Água, Coleta de Esgoto</v>
      </c>
      <c r="B19" s="56" t="s">
        <v>150</v>
      </c>
      <c r="C19" s="47" t="str">
        <f t="shared" si="0"/>
        <v>Construção de Redes de Abastecimento de Água, Coleta de Esgoto-BDI PAD</v>
      </c>
      <c r="E19" s="52">
        <v>0.20760000000000001</v>
      </c>
      <c r="F19" s="52">
        <v>0.24179999999999999</v>
      </c>
      <c r="G19" s="52">
        <v>0.26440000000000002</v>
      </c>
      <c r="I19" t="s">
        <v>246</v>
      </c>
      <c r="J19" s="591" t="s">
        <v>158</v>
      </c>
      <c r="K19" s="591"/>
      <c r="L19" s="591"/>
      <c r="M19" s="591"/>
      <c r="N19" s="591"/>
      <c r="O19" s="591"/>
      <c r="P19" s="591"/>
      <c r="Q19" s="591"/>
      <c r="R19" s="591" t="s">
        <v>159</v>
      </c>
      <c r="S19" s="590" t="s">
        <v>160</v>
      </c>
      <c r="U19" s="590" t="s">
        <v>161</v>
      </c>
      <c r="V19" s="590"/>
      <c r="W19" s="590"/>
      <c r="X19" s="588" t="s">
        <v>162</v>
      </c>
      <c r="Y19" s="588" t="s">
        <v>163</v>
      </c>
      <c r="Z19" s="588" t="s">
        <v>164</v>
      </c>
    </row>
    <row r="20" spans="1:26" ht="12.75" customHeight="1" x14ac:dyDescent="0.2">
      <c r="A20" s="47" t="s">
        <v>165</v>
      </c>
      <c r="B20" s="51" t="s">
        <v>142</v>
      </c>
      <c r="C20" s="47" t="str">
        <f t="shared" si="0"/>
        <v>Construção e Manutenção de Estações e Redes de Distribuição de Energia Elétrica-AC</v>
      </c>
      <c r="E20" s="52">
        <v>5.2900000000000003E-2</v>
      </c>
      <c r="F20" s="52">
        <v>5.9200000000000003E-2</v>
      </c>
      <c r="G20" s="52">
        <v>7.9299999999999995E-2</v>
      </c>
      <c r="I20" t="s">
        <v>246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0"/>
      <c r="U20" s="590"/>
      <c r="V20" s="590"/>
      <c r="W20" s="590"/>
      <c r="X20" s="588"/>
      <c r="Y20" s="588"/>
      <c r="Z20" s="588"/>
    </row>
    <row r="21" spans="1:26" ht="15" customHeight="1" x14ac:dyDescent="0.2">
      <c r="A21" s="47" t="str">
        <f>A20</f>
        <v>Construção e Manutenção de Estações e Redes de Distribuição de Energia Elétrica</v>
      </c>
      <c r="B21" s="51" t="s">
        <v>144</v>
      </c>
      <c r="C21" s="47" t="str">
        <f t="shared" si="0"/>
        <v>Construção e Manutenção de Estações e Redes de Distribuição de Energia Elétrica-SG</v>
      </c>
      <c r="E21" s="52">
        <v>2.5000000000000001E-3</v>
      </c>
      <c r="F21" s="52">
        <v>5.1000000000000004E-3</v>
      </c>
      <c r="G21" s="52">
        <v>5.6000000000000008E-3</v>
      </c>
      <c r="I21" t="s">
        <v>246</v>
      </c>
      <c r="J21" s="593" t="str">
        <f>IF($J$17=$A$146,"Encargos Sociais incidentes sobre a mão de obra","Administração Central")</f>
        <v>Administração Central</v>
      </c>
      <c r="K21" s="593"/>
      <c r="L21" s="593"/>
      <c r="M21" s="593"/>
      <c r="N21" s="593"/>
      <c r="O21" s="593"/>
      <c r="P21" s="593"/>
      <c r="Q21" s="593"/>
      <c r="R21" s="58" t="str">
        <f>IF($J17=$A$146,"K1","AC")</f>
        <v>AC</v>
      </c>
      <c r="S21" s="59">
        <v>3.2000000000000001E-2</v>
      </c>
      <c r="U21" s="594" t="s">
        <v>166</v>
      </c>
      <c r="V21" s="594"/>
      <c r="W21" s="594"/>
      <c r="X21" s="60">
        <f>VLOOKUP(CONCATENATE(J17,"-",R21),$C$2:$G$136,3,FALSE)</f>
        <v>0.03</v>
      </c>
      <c r="Y21" s="60">
        <f>VLOOKUP(CONCATENATE(J17,"-",R21),$C$2:$G$136,4,FALSE)</f>
        <v>0.04</v>
      </c>
      <c r="Z21" s="60">
        <f>VLOOKUP(CONCATENATE(J17,"-",R21),$C$2:$G$136,5,FALSE)</f>
        <v>5.5E-2</v>
      </c>
    </row>
    <row r="22" spans="1:26" ht="15" customHeight="1" x14ac:dyDescent="0.2">
      <c r="A22" s="47" t="str">
        <f>A21</f>
        <v>Construção e Manutenção de Estações e Redes de Distribuição de Energia Elétrica</v>
      </c>
      <c r="B22" s="51" t="s">
        <v>145</v>
      </c>
      <c r="C22" s="47" t="str">
        <f t="shared" si="0"/>
        <v>Construção e Manutenção de Estações e Redes de Distribuição de Energia Elétrica-R</v>
      </c>
      <c r="E22" s="52">
        <v>0.01</v>
      </c>
      <c r="F22" s="52">
        <v>1.4800000000000001E-2</v>
      </c>
      <c r="G22" s="52">
        <v>1.9699999999999999E-2</v>
      </c>
      <c r="I22" t="s">
        <v>246</v>
      </c>
      <c r="J22" s="593" t="str">
        <f>IF($J$17=$A$146,"Administração Central da empresa ou consultoria - overhead","Seguro e Garantia")</f>
        <v>Seguro e Garantia</v>
      </c>
      <c r="K22" s="593"/>
      <c r="L22" s="593"/>
      <c r="M22" s="593"/>
      <c r="N22" s="593"/>
      <c r="O22" s="593"/>
      <c r="P22" s="593"/>
      <c r="Q22" s="593"/>
      <c r="R22" s="58" t="str">
        <f>IF($J17=$A$146,"K2","SG")</f>
        <v>SG</v>
      </c>
      <c r="S22" s="59">
        <v>8.9999999999999993E-3</v>
      </c>
      <c r="U22" s="594" t="s">
        <v>166</v>
      </c>
      <c r="V22" s="594"/>
      <c r="W22" s="594"/>
      <c r="X22" s="60">
        <f>VLOOKUP(CONCATENATE(J17,"-",R22),$C$2:$G$136,3,FALSE)</f>
        <v>8.0000000000000002E-3</v>
      </c>
      <c r="Y22" s="60">
        <f>VLOOKUP(CONCATENATE(J17,"-",R22),$C$2:$G$136,4,FALSE)</f>
        <v>8.0000000000000002E-3</v>
      </c>
      <c r="Z22" s="60">
        <f>VLOOKUP(CONCATENATE(J17,"-",R22),$C$2:$G$136,5,FALSE)</f>
        <v>0.01</v>
      </c>
    </row>
    <row r="23" spans="1:26" ht="15" customHeight="1" x14ac:dyDescent="0.2">
      <c r="A23" s="47" t="str">
        <f>A22</f>
        <v>Construção e Manutenção de Estações e Redes de Distribuição de Energia Elétrica</v>
      </c>
      <c r="B23" s="51" t="s">
        <v>148</v>
      </c>
      <c r="C23" s="47" t="str">
        <f t="shared" si="0"/>
        <v>Construção e Manutenção de Estações e Redes de Distribuição de Energia Elétrica-DF</v>
      </c>
      <c r="E23" s="52">
        <v>1.01E-2</v>
      </c>
      <c r="F23" s="52">
        <v>1.0700000000000001E-2</v>
      </c>
      <c r="G23" s="52">
        <v>1.11E-2</v>
      </c>
      <c r="I23" t="s">
        <v>246</v>
      </c>
      <c r="J23" s="593" t="str">
        <f>IF($J$17=$A$146,"","Risco")</f>
        <v>Risco</v>
      </c>
      <c r="K23" s="593"/>
      <c r="L23" s="593"/>
      <c r="M23" s="593"/>
      <c r="N23" s="593"/>
      <c r="O23" s="593"/>
      <c r="P23" s="593"/>
      <c r="Q23" s="593"/>
      <c r="R23" s="58" t="str">
        <f>IF($J17=$A$146,"","R")</f>
        <v>R</v>
      </c>
      <c r="S23" s="59">
        <v>1.0999999999999999E-2</v>
      </c>
      <c r="U23" s="594" t="s">
        <v>166</v>
      </c>
      <c r="V23" s="594"/>
      <c r="W23" s="594"/>
      <c r="X23" s="60">
        <f>VLOOKUP(CONCATENATE(J17,"-",R23),$C$2:$G$136,3,FALSE)</f>
        <v>9.7000000000000003E-3</v>
      </c>
      <c r="Y23" s="60">
        <f>VLOOKUP(CONCATENATE(J17,"-",R23),$C$2:$G$136,4,FALSE)</f>
        <v>1.2699999999999999E-2</v>
      </c>
      <c r="Z23" s="60">
        <f>VLOOKUP(CONCATENATE(J17,"-",R23),$C$2:$G$136,5,FALSE)</f>
        <v>1.2699999999999999E-2</v>
      </c>
    </row>
    <row r="24" spans="1:26" ht="15" customHeight="1" x14ac:dyDescent="0.2">
      <c r="A24" s="47" t="str">
        <f>A23</f>
        <v>Construção e Manutenção de Estações e Redes de Distribuição de Energia Elétrica</v>
      </c>
      <c r="B24" s="51" t="s">
        <v>149</v>
      </c>
      <c r="C24" s="47" t="str">
        <f t="shared" si="0"/>
        <v>Construção e Manutenção de Estações e Redes de Distribuição de Energia Elétrica-L</v>
      </c>
      <c r="E24" s="52">
        <v>0.08</v>
      </c>
      <c r="F24" s="52">
        <v>8.3100000000000007E-2</v>
      </c>
      <c r="G24" s="52">
        <v>9.5100000000000004E-2</v>
      </c>
      <c r="I24" t="s">
        <v>246</v>
      </c>
      <c r="J24" s="593" t="str">
        <f>IF($J$17=$A$146,"","Despesas Financeiras")</f>
        <v>Despesas Financeiras</v>
      </c>
      <c r="K24" s="593"/>
      <c r="L24" s="593"/>
      <c r="M24" s="593"/>
      <c r="N24" s="593"/>
      <c r="O24" s="593"/>
      <c r="P24" s="593"/>
      <c r="Q24" s="593"/>
      <c r="R24" s="58" t="str">
        <f>IF($J17=$A$146,"","DF")</f>
        <v>DF</v>
      </c>
      <c r="S24" s="59">
        <v>8.0000000000000002E-3</v>
      </c>
      <c r="U24" s="594" t="s">
        <v>166</v>
      </c>
      <c r="V24" s="594"/>
      <c r="W24" s="594"/>
      <c r="X24" s="60">
        <f>VLOOKUP(CONCATENATE(J17,"-",R24),$C$2:$G$136,3,FALSE)</f>
        <v>5.8999999999999999E-3</v>
      </c>
      <c r="Y24" s="60">
        <f>VLOOKUP(CONCATENATE(J17,"-",R24),$C$2:$G$136,4,FALSE)</f>
        <v>1.23E-2</v>
      </c>
      <c r="Z24" s="60">
        <f>VLOOKUP(CONCATENATE(J17,"-",R24),$C$2:$G$136,5,FALSE)</f>
        <v>1.3899999999999999E-2</v>
      </c>
    </row>
    <row r="25" spans="1:26" ht="15" customHeight="1" x14ac:dyDescent="0.2">
      <c r="A25" s="47" t="str">
        <f>A24</f>
        <v>Construção e Manutenção de Estações e Redes de Distribuição de Energia Elétrica</v>
      </c>
      <c r="B25" s="56" t="s">
        <v>150</v>
      </c>
      <c r="C25" s="47" t="str">
        <f t="shared" si="0"/>
        <v>Construção e Manutenção de Estações e Redes de Distribuição de Energia Elétrica-BDI PAD</v>
      </c>
      <c r="E25" s="52">
        <v>0.24</v>
      </c>
      <c r="F25" s="52">
        <v>0.25840000000000002</v>
      </c>
      <c r="G25" s="52">
        <v>0.27860000000000001</v>
      </c>
      <c r="I25" t="s">
        <v>246</v>
      </c>
      <c r="J25" s="593" t="str">
        <f>IF($J$17=$A$146,"Margem bruta da empresa de consultoria","Lucro")</f>
        <v>Lucro</v>
      </c>
      <c r="K25" s="593"/>
      <c r="L25" s="593"/>
      <c r="M25" s="593"/>
      <c r="N25" s="593"/>
      <c r="O25" s="593"/>
      <c r="P25" s="593"/>
      <c r="Q25" s="593"/>
      <c r="R25" s="58" t="str">
        <f>IF($J17=$A$146,"K3","L")</f>
        <v>L</v>
      </c>
      <c r="S25" s="59">
        <v>6.2600000000000003E-2</v>
      </c>
      <c r="U25" s="594" t="s">
        <v>166</v>
      </c>
      <c r="V25" s="594"/>
      <c r="W25" s="594"/>
      <c r="X25" s="60">
        <f>VLOOKUP(CONCATENATE(J17,"-",R25),$C$2:$G$136,3,FALSE)</f>
        <v>6.1600000000000002E-2</v>
      </c>
      <c r="Y25" s="60">
        <f>VLOOKUP(CONCATENATE(J17,"-",R25),$C$2:$G$136,4,FALSE)</f>
        <v>7.400000000000001E-2</v>
      </c>
      <c r="Z25" s="60">
        <f>VLOOKUP(CONCATENATE(J17,"-",R25),$C$2:$G$136,5,FALSE)</f>
        <v>8.9600000000000013E-2</v>
      </c>
    </row>
    <row r="26" spans="1:26" ht="15" customHeight="1" x14ac:dyDescent="0.2">
      <c r="A26" s="47" t="s">
        <v>167</v>
      </c>
      <c r="B26" s="51" t="s">
        <v>142</v>
      </c>
      <c r="C26" s="47" t="str">
        <f t="shared" si="0"/>
        <v>Obras Portuárias, Marítimas e Fluviais-AC</v>
      </c>
      <c r="E26" s="52">
        <v>0.04</v>
      </c>
      <c r="F26" s="52">
        <v>5.5199999999999999E-2</v>
      </c>
      <c r="G26" s="52">
        <v>7.85E-2</v>
      </c>
      <c r="I26" t="s">
        <v>246</v>
      </c>
      <c r="J26" s="593" t="s">
        <v>168</v>
      </c>
      <c r="K26" s="593"/>
      <c r="L26" s="593"/>
      <c r="M26" s="593"/>
      <c r="N26" s="593"/>
      <c r="O26" s="593"/>
      <c r="P26" s="593"/>
      <c r="Q26" s="593"/>
      <c r="R26" s="58" t="s">
        <v>169</v>
      </c>
      <c r="S26" s="59">
        <v>3.6499999999999998E-2</v>
      </c>
      <c r="U26" s="594" t="s">
        <v>166</v>
      </c>
      <c r="V26" s="594"/>
      <c r="W26" s="594"/>
      <c r="X26" s="60">
        <v>3.6499999999999998E-2</v>
      </c>
      <c r="Y26" s="60">
        <v>3.6499999999999998E-2</v>
      </c>
      <c r="Z26" s="60">
        <v>3.6499999999999998E-2</v>
      </c>
    </row>
    <row r="27" spans="1:26" ht="15" customHeight="1" x14ac:dyDescent="0.2">
      <c r="A27" s="47" t="str">
        <f>A26</f>
        <v>Obras Portuárias, Marítimas e Fluviais</v>
      </c>
      <c r="B27" s="51" t="s">
        <v>144</v>
      </c>
      <c r="C27" s="47" t="str">
        <f t="shared" si="0"/>
        <v>Obras Portuárias, Marítimas e Fluviais-SG</v>
      </c>
      <c r="E27" s="52">
        <v>8.1000000000000013E-3</v>
      </c>
      <c r="F27" s="52">
        <v>1.2199999999999999E-2</v>
      </c>
      <c r="G27" s="52">
        <v>1.9900000000000001E-2</v>
      </c>
      <c r="I27" t="s">
        <v>246</v>
      </c>
      <c r="J27" s="593" t="s">
        <v>170</v>
      </c>
      <c r="K27" s="593"/>
      <c r="L27" s="593"/>
      <c r="M27" s="593"/>
      <c r="N27" s="593"/>
      <c r="O27" s="593"/>
      <c r="P27" s="593"/>
      <c r="Q27" s="593"/>
      <c r="R27" s="58" t="s">
        <v>171</v>
      </c>
      <c r="S27" s="60">
        <f ca="1">IF(AND($J17&lt;&gt;$A$145,COUNTA(OFFSET(S20,1,0,6))&gt;0),$R$11*$R$10,0)</f>
        <v>0.03</v>
      </c>
      <c r="U27" s="594" t="s">
        <v>166</v>
      </c>
      <c r="V27" s="594"/>
      <c r="W27" s="594"/>
      <c r="X27" s="60">
        <v>0</v>
      </c>
      <c r="Y27" s="60">
        <v>2.5000000000000001E-2</v>
      </c>
      <c r="Z27" s="60">
        <v>0.05</v>
      </c>
    </row>
    <row r="28" spans="1:26" ht="15" customHeight="1" x14ac:dyDescent="0.2">
      <c r="A28" s="47" t="str">
        <f>A27</f>
        <v>Obras Portuárias, Marítimas e Fluviais</v>
      </c>
      <c r="B28" s="51" t="s">
        <v>145</v>
      </c>
      <c r="C28" s="47" t="str">
        <f t="shared" si="0"/>
        <v>Obras Portuárias, Marítimas e Fluviais-R</v>
      </c>
      <c r="E28" s="52">
        <v>1.46E-2</v>
      </c>
      <c r="F28" s="52">
        <v>2.3199999999999998E-2</v>
      </c>
      <c r="G28" s="52">
        <v>3.1600000000000003E-2</v>
      </c>
      <c r="I28" t="s">
        <v>246</v>
      </c>
      <c r="J28" s="593" t="s">
        <v>172</v>
      </c>
      <c r="K28" s="593"/>
      <c r="L28" s="593"/>
      <c r="M28" s="593"/>
      <c r="N28" s="593"/>
      <c r="O28" s="593"/>
      <c r="P28" s="593"/>
      <c r="Q28" s="593"/>
      <c r="R28" s="58" t="s">
        <v>173</v>
      </c>
      <c r="S28" s="60">
        <f ca="1">IF(BDI.Opcao&lt;&gt;"Desonerado",0,IF(AND($J17&lt;&gt;$A$145,COUNTA(OFFSET(S20,1,0,6))&gt;0),4.5%,0%))</f>
        <v>0</v>
      </c>
      <c r="U28" s="594" t="s">
        <v>166</v>
      </c>
      <c r="V28" s="594"/>
      <c r="W28" s="594"/>
      <c r="X28" s="61">
        <v>0</v>
      </c>
      <c r="Y28" s="61">
        <v>4.4999999999999998E-2</v>
      </c>
      <c r="Z28" s="61">
        <v>4.4999999999999998E-2</v>
      </c>
    </row>
    <row r="29" spans="1:26" ht="15" customHeight="1" x14ac:dyDescent="0.2">
      <c r="A29" s="47" t="str">
        <f>A28</f>
        <v>Obras Portuárias, Marítimas e Fluviais</v>
      </c>
      <c r="B29" s="51" t="s">
        <v>148</v>
      </c>
      <c r="C29" s="47" t="str">
        <f t="shared" si="0"/>
        <v>Obras Portuárias, Marítimas e Fluviais-DF</v>
      </c>
      <c r="E29" s="52">
        <v>9.3999999999999986E-3</v>
      </c>
      <c r="F29" s="52">
        <v>1.0200000000000001E-2</v>
      </c>
      <c r="G29" s="52">
        <v>1.3300000000000001E-2</v>
      </c>
      <c r="I29" t="s">
        <v>246</v>
      </c>
      <c r="J29" s="593" t="s">
        <v>174</v>
      </c>
      <c r="K29" s="593"/>
      <c r="L29" s="593"/>
      <c r="M29" s="593"/>
      <c r="N29" s="593"/>
      <c r="O29" s="593"/>
      <c r="P29" s="593"/>
      <c r="Q29" s="593"/>
      <c r="R29" s="62" t="s">
        <v>150</v>
      </c>
      <c r="S29" s="60">
        <f ca="1">IF($J17=$A$145,0,ROUND((((1+S21+S22+S23)*(1+S24)*(1+S25)/(1-(S26+S27)))-1),4))</f>
        <v>0.20710000000000001</v>
      </c>
      <c r="U29" s="590" t="str">
        <f ca="1">IF(OR($J$17=$A$146,$J$17=$A$145,AND(S29&gt;=X29,S29&lt;=Z29)),"OK","FORA DO INTERVALO")</f>
        <v>OK</v>
      </c>
      <c r="V29" s="590"/>
      <c r="W29" s="590"/>
      <c r="X29" s="60">
        <f>IF($J17=$A$145,0,VLOOKUP(CONCATENATE($J17,"-",$R29),$C$2:$G$136,3,FALSE))</f>
        <v>0.2034</v>
      </c>
      <c r="Y29" s="60">
        <f>IF($J17=$A$145,0,VLOOKUP(CONCATENATE($J17,"-",$R29),$C$2:$G$136,4,FALSE))</f>
        <v>0.22120000000000001</v>
      </c>
      <c r="Z29" s="60">
        <f>IF($J17=$A$145,0,VLOOKUP(CONCATENATE($J17,"-",$R29),$C$2:$G$136,5,FALSE))</f>
        <v>0.25</v>
      </c>
    </row>
    <row r="30" spans="1:26" ht="15" customHeight="1" x14ac:dyDescent="0.2">
      <c r="A30" s="47" t="str">
        <f>A29</f>
        <v>Obras Portuárias, Marítimas e Fluviais</v>
      </c>
      <c r="B30" s="51" t="s">
        <v>149</v>
      </c>
      <c r="C30" s="47" t="str">
        <f t="shared" si="0"/>
        <v>Obras Portuárias, Marítimas e Fluviais-L</v>
      </c>
      <c r="E30" s="52">
        <v>7.1399999999999991E-2</v>
      </c>
      <c r="F30" s="52">
        <v>8.4000000000000005E-2</v>
      </c>
      <c r="G30" s="52">
        <v>0.1043</v>
      </c>
      <c r="I30" t="s">
        <v>246</v>
      </c>
      <c r="J30" s="597" t="s">
        <v>175</v>
      </c>
      <c r="K30" s="597"/>
      <c r="L30" s="597"/>
      <c r="M30" s="597"/>
      <c r="N30" s="597"/>
      <c r="O30" s="597"/>
      <c r="P30" s="597"/>
      <c r="Q30" s="597"/>
      <c r="R30" s="63" t="s">
        <v>176</v>
      </c>
      <c r="S30" s="64">
        <f ca="1">IF($J17=$A$145,0,ROUND((((1+S21+S22+S23)*(1+S24)*(1+S25)/(1-(S26+S27+S28)))-1),4))</f>
        <v>0.20710000000000001</v>
      </c>
    </row>
    <row r="31" spans="1:26" ht="25.5" x14ac:dyDescent="0.2">
      <c r="A31" s="47" t="str">
        <f>A30</f>
        <v>Obras Portuárias, Marítimas e Fluviais</v>
      </c>
      <c r="B31" s="56" t="s">
        <v>150</v>
      </c>
      <c r="C31" s="47" t="str">
        <f t="shared" si="0"/>
        <v>Obras Portuárias, Marítimas e Fluviais-BDI PAD</v>
      </c>
      <c r="E31" s="52">
        <v>0.22800000000000001</v>
      </c>
      <c r="F31" s="52">
        <v>0.27479999999999999</v>
      </c>
      <c r="G31" s="52">
        <v>0.3095</v>
      </c>
      <c r="I31" t="s">
        <v>246</v>
      </c>
    </row>
    <row r="32" spans="1:26" ht="15.75" x14ac:dyDescent="0.2">
      <c r="A32" s="47" t="s">
        <v>177</v>
      </c>
      <c r="B32" s="51" t="s">
        <v>142</v>
      </c>
      <c r="C32" s="47" t="str">
        <f t="shared" si="0"/>
        <v>Fornecimento de Materiais e Equipamentos (aquisição indireta - em conjunto com licitação de obras)-AC</v>
      </c>
      <c r="E32" s="52">
        <v>1.4999999999999999E-2</v>
      </c>
      <c r="F32" s="52">
        <v>3.4500000000000003E-2</v>
      </c>
      <c r="G32" s="52">
        <v>4.4900000000000002E-2</v>
      </c>
      <c r="I32" t="s">
        <v>246</v>
      </c>
      <c r="J32" s="65" t="str">
        <f ca="1">IF(U29&lt;&gt;"ok","X","")</f>
        <v/>
      </c>
      <c r="K32" s="598" t="str">
        <f ca="1">IF(U29&lt;&gt;"ok","Anexo: Relatório Técnico Circunstanciado justificando a adoção do percentual de cada parcela do BDI.","")</f>
        <v/>
      </c>
      <c r="L32" s="598"/>
      <c r="M32" s="598"/>
      <c r="N32" s="598"/>
      <c r="O32" s="598"/>
      <c r="P32" s="598"/>
      <c r="Q32" s="598"/>
      <c r="R32" s="598"/>
      <c r="S32" s="598"/>
    </row>
    <row r="33" spans="1:19" x14ac:dyDescent="0.2">
      <c r="A33" s="47" t="str">
        <f>A32</f>
        <v>Fornecimento de Materiais e Equipamentos (aquisição indireta - em conjunto com licitação de obras)</v>
      </c>
      <c r="B33" s="51" t="s">
        <v>144</v>
      </c>
      <c r="C33" s="47" t="str">
        <f t="shared" si="0"/>
        <v>Fornecimento de Materiais e Equipamentos (aquisição indireta - em conjunto com licitação de obras)-SG</v>
      </c>
      <c r="E33" s="52">
        <v>3.0000000000000001E-3</v>
      </c>
      <c r="F33" s="52">
        <v>4.7999999999999996E-3</v>
      </c>
      <c r="G33" s="52">
        <v>8.199999999999999E-3</v>
      </c>
      <c r="I33" t="s">
        <v>246</v>
      </c>
    </row>
    <row r="34" spans="1:19" x14ac:dyDescent="0.2">
      <c r="A34" s="47" t="str">
        <f>A33</f>
        <v>Fornecimento de Materiais e Equipamentos (aquisição indireta - em conjunto com licitação de obras)</v>
      </c>
      <c r="B34" s="51" t="s">
        <v>145</v>
      </c>
      <c r="C34" s="47" t="str">
        <f t="shared" si="0"/>
        <v>Fornecimento de Materiais e Equipamentos (aquisição indireta - em conjunto com licitação de obras)-R</v>
      </c>
      <c r="E34" s="52">
        <v>5.6000000000000008E-3</v>
      </c>
      <c r="F34" s="52">
        <v>8.5000000000000006E-3</v>
      </c>
      <c r="G34" s="52">
        <v>8.8999999999999999E-3</v>
      </c>
      <c r="I34" t="s">
        <v>246</v>
      </c>
      <c r="J34" s="599" t="s">
        <v>178</v>
      </c>
      <c r="K34" s="599"/>
      <c r="L34" s="599"/>
      <c r="M34" s="599"/>
      <c r="N34" s="599"/>
      <c r="O34" s="599"/>
      <c r="P34" s="599"/>
      <c r="Q34" s="599"/>
      <c r="R34" s="599"/>
      <c r="S34" s="599"/>
    </row>
    <row r="35" spans="1:19" ht="15.75" x14ac:dyDescent="0.25">
      <c r="A35" s="47" t="str">
        <f>A34</f>
        <v>Fornecimento de Materiais e Equipamentos (aquisição indireta - em conjunto com licitação de obras)</v>
      </c>
      <c r="B35" s="51" t="s">
        <v>148</v>
      </c>
      <c r="C35" s="47" t="str">
        <f t="shared" si="0"/>
        <v>Fornecimento de Materiais e Equipamentos (aquisição indireta - em conjunto com licitação de obras)-DF</v>
      </c>
      <c r="E35" s="52">
        <v>8.5000000000000006E-3</v>
      </c>
      <c r="F35" s="52">
        <v>8.5000000000000006E-3</v>
      </c>
      <c r="G35" s="52">
        <v>1.11E-2</v>
      </c>
      <c r="I35" t="s">
        <v>246</v>
      </c>
      <c r="J35" s="66"/>
      <c r="K35" s="66"/>
      <c r="L35" s="66"/>
      <c r="M35" s="600" t="s">
        <v>179</v>
      </c>
      <c r="N35" s="606" t="str">
        <f>IF($J17=$A$146,"(1+K1+K2)*(1+K3)","(1+AC + S + R + G)*(1 + DF)*(1+L)")</f>
        <v>(1+AC + S + R + G)*(1 + DF)*(1+L)</v>
      </c>
      <c r="O35" s="606"/>
      <c r="P35" s="606"/>
      <c r="Q35" s="607" t="s">
        <v>180</v>
      </c>
      <c r="R35" s="66"/>
      <c r="S35" s="66"/>
    </row>
    <row r="36" spans="1:19" ht="15.75" x14ac:dyDescent="0.2">
      <c r="A36" s="47" t="str">
        <f>A35</f>
        <v>Fornecimento de Materiais e Equipamentos (aquisição indireta - em conjunto com licitação de obras)</v>
      </c>
      <c r="B36" s="51" t="s">
        <v>149</v>
      </c>
      <c r="C36" s="47" t="str">
        <f t="shared" si="0"/>
        <v>Fornecimento de Materiais e Equipamentos (aquisição indireta - em conjunto com licitação de obras)-L</v>
      </c>
      <c r="E36" s="52">
        <v>3.5000000000000003E-2</v>
      </c>
      <c r="F36" s="52">
        <v>5.1100000000000007E-2</v>
      </c>
      <c r="G36" s="52">
        <v>6.2199999999999998E-2</v>
      </c>
      <c r="I36" t="s">
        <v>246</v>
      </c>
      <c r="J36" s="66"/>
      <c r="K36" s="66"/>
      <c r="L36" s="66"/>
      <c r="M36" s="600"/>
      <c r="N36" s="595" t="s">
        <v>181</v>
      </c>
      <c r="O36" s="595"/>
      <c r="P36" s="595"/>
      <c r="Q36" s="607"/>
      <c r="R36" s="66"/>
      <c r="S36" s="66"/>
    </row>
    <row r="37" spans="1:19" ht="15" customHeight="1" x14ac:dyDescent="0.2">
      <c r="A37" s="47" t="str">
        <f>A36</f>
        <v>Fornecimento de Materiais e Equipamentos (aquisição indireta - em conjunto com licitação de obras)</v>
      </c>
      <c r="B37" s="56" t="s">
        <v>150</v>
      </c>
      <c r="C37" s="47" t="str">
        <f t="shared" si="0"/>
        <v>Fornecimento de Materiais e Equipamentos (aquisição indireta - em conjunto com licitação de obras)-BDI PAD</v>
      </c>
      <c r="E37" s="52">
        <v>0.111</v>
      </c>
      <c r="F37" s="52">
        <v>0.14019999999999999</v>
      </c>
      <c r="G37" s="52">
        <v>0.16800000000000001</v>
      </c>
      <c r="I37" t="s">
        <v>246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1:19" ht="50.1" customHeight="1" x14ac:dyDescent="0.2">
      <c r="A38" s="47" t="s">
        <v>182</v>
      </c>
      <c r="B38" s="56" t="s">
        <v>142</v>
      </c>
      <c r="C38" s="47" t="str">
        <f t="shared" si="0"/>
        <v>Fornecimento de Materiais e Equipamentos (aquisição direta)-AC</v>
      </c>
      <c r="E38" s="52" t="s">
        <v>166</v>
      </c>
      <c r="F38" s="52" t="s">
        <v>166</v>
      </c>
      <c r="G38" s="52" t="s">
        <v>166</v>
      </c>
      <c r="I38" t="s">
        <v>246</v>
      </c>
      <c r="J3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3%.</v>
      </c>
      <c r="K38" s="596"/>
      <c r="L38" s="596"/>
      <c r="M38" s="596"/>
      <c r="N38" s="596"/>
      <c r="O38" s="596"/>
      <c r="P38" s="596"/>
      <c r="Q38" s="596"/>
      <c r="R38" s="596"/>
      <c r="S38" s="596"/>
    </row>
    <row r="39" spans="1:19" x14ac:dyDescent="0.2">
      <c r="A39" s="47" t="s">
        <v>182</v>
      </c>
      <c r="B39" s="56" t="s">
        <v>144</v>
      </c>
      <c r="C39" s="47" t="str">
        <f t="shared" si="0"/>
        <v>Fornecimento de Materiais e Equipamentos (aquisição direta)-SG</v>
      </c>
      <c r="E39" s="52" t="s">
        <v>166</v>
      </c>
      <c r="F39" s="52" t="s">
        <v>166</v>
      </c>
      <c r="G39" s="52" t="s">
        <v>166</v>
      </c>
      <c r="I39" t="s">
        <v>246</v>
      </c>
    </row>
    <row r="40" spans="1:19" ht="50.1" customHeight="1" x14ac:dyDescent="0.2">
      <c r="A40" s="47" t="s">
        <v>182</v>
      </c>
      <c r="B40" s="56" t="s">
        <v>145</v>
      </c>
      <c r="C40" s="47" t="str">
        <f t="shared" si="0"/>
        <v>Fornecimento de Materiais e Equipamentos (aquisição direta)-R</v>
      </c>
      <c r="E40" s="52" t="s">
        <v>166</v>
      </c>
      <c r="F40" s="52" t="s">
        <v>166</v>
      </c>
      <c r="G40" s="52" t="s">
        <v>166</v>
      </c>
      <c r="I40" t="s">
        <v>246</v>
      </c>
      <c r="J4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596"/>
      <c r="L40" s="596"/>
      <c r="M40" s="596"/>
      <c r="N40" s="596"/>
      <c r="O40" s="596"/>
      <c r="P40" s="596"/>
      <c r="Q40" s="596"/>
      <c r="R40" s="596"/>
      <c r="S40" s="596"/>
    </row>
    <row r="41" spans="1:19" x14ac:dyDescent="0.2">
      <c r="A41" s="47" t="s">
        <v>182</v>
      </c>
      <c r="B41" s="56" t="s">
        <v>148</v>
      </c>
      <c r="C41" s="47" t="str">
        <f t="shared" si="0"/>
        <v>Fornecimento de Materiais e Equipamentos (aquisição direta)-DF</v>
      </c>
      <c r="E41" s="52" t="s">
        <v>166</v>
      </c>
      <c r="F41" s="52" t="s">
        <v>166</v>
      </c>
      <c r="G41" s="52" t="s">
        <v>166</v>
      </c>
      <c r="I41" t="s">
        <v>246</v>
      </c>
    </row>
    <row r="42" spans="1:19" x14ac:dyDescent="0.2">
      <c r="A42" s="47" t="s">
        <v>182</v>
      </c>
      <c r="B42" s="56" t="s">
        <v>149</v>
      </c>
      <c r="C42" s="47" t="str">
        <f t="shared" si="0"/>
        <v>Fornecimento de Materiais e Equipamentos (aquisição direta)-L</v>
      </c>
      <c r="E42" s="52" t="s">
        <v>166</v>
      </c>
      <c r="F42" s="52" t="s">
        <v>166</v>
      </c>
      <c r="G42" s="52" t="s">
        <v>166</v>
      </c>
      <c r="I42" t="s">
        <v>246</v>
      </c>
      <c r="J42" s="47" t="s">
        <v>187</v>
      </c>
    </row>
    <row r="43" spans="1:19" ht="99.95" customHeight="1" x14ac:dyDescent="0.2">
      <c r="A43" s="47" t="s">
        <v>182</v>
      </c>
      <c r="B43" s="56" t="s">
        <v>150</v>
      </c>
      <c r="C43" s="47" t="str">
        <f t="shared" si="0"/>
        <v>Fornecimento de Materiais e Equipamentos (aquisição direta)-BDI PAD</v>
      </c>
      <c r="E43" s="52" t="s">
        <v>166</v>
      </c>
      <c r="F43" s="52" t="s">
        <v>166</v>
      </c>
      <c r="G43" s="52" t="s">
        <v>166</v>
      </c>
      <c r="I43" t="s">
        <v>246</v>
      </c>
      <c r="J43" s="608"/>
      <c r="K43" s="608"/>
      <c r="L43" s="608"/>
      <c r="M43" s="608"/>
      <c r="N43" s="608"/>
      <c r="O43" s="608"/>
      <c r="P43" s="608"/>
      <c r="Q43" s="608"/>
      <c r="R43" s="608"/>
      <c r="S43" s="608"/>
    </row>
    <row r="44" spans="1:19" x14ac:dyDescent="0.2">
      <c r="A44" s="47" t="s">
        <v>183</v>
      </c>
      <c r="B44" s="51" t="s">
        <v>184</v>
      </c>
      <c r="C44" s="47" t="str">
        <f t="shared" si="0"/>
        <v>Estudos e Projetos, Planos e Gerenciamento e outros correlatos-K1</v>
      </c>
      <c r="E44" s="52" t="s">
        <v>166</v>
      </c>
      <c r="F44" s="52" t="s">
        <v>166</v>
      </c>
      <c r="G44" s="52" t="s">
        <v>166</v>
      </c>
      <c r="I44" t="s">
        <v>246</v>
      </c>
    </row>
    <row r="45" spans="1:19" x14ac:dyDescent="0.2">
      <c r="A45" s="47" t="str">
        <f>A44</f>
        <v>Estudos e Projetos, Planos e Gerenciamento e outros correlatos</v>
      </c>
      <c r="B45" s="51" t="s">
        <v>185</v>
      </c>
      <c r="C45" s="47" t="str">
        <f t="shared" si="0"/>
        <v>Estudos e Projetos, Planos e Gerenciamento e outros correlatos-K2</v>
      </c>
      <c r="E45" s="52" t="s">
        <v>166</v>
      </c>
      <c r="F45" s="52">
        <v>0.2</v>
      </c>
      <c r="G45" s="52" t="s">
        <v>166</v>
      </c>
      <c r="I45" t="s">
        <v>246</v>
      </c>
      <c r="J45" s="602" t="str">
        <f>Import.Município</f>
        <v>LAGES/SC</v>
      </c>
      <c r="K45" s="602"/>
      <c r="L45" s="602"/>
      <c r="M45" s="602"/>
      <c r="P45" s="603">
        <f ca="1">DADOS!$F$25</f>
        <v>45639</v>
      </c>
      <c r="Q45" s="603"/>
      <c r="R45" s="603"/>
      <c r="S45" s="603"/>
    </row>
    <row r="46" spans="1:19" x14ac:dyDescent="0.2">
      <c r="A46" s="47" t="str">
        <f>A45</f>
        <v>Estudos e Projetos, Planos e Gerenciamento e outros correlatos</v>
      </c>
      <c r="B46" s="51"/>
      <c r="C46" s="47" t="str">
        <f t="shared" si="0"/>
        <v>Estudos e Projetos, Planos e Gerenciamento e outros correlatos-</v>
      </c>
      <c r="E46" s="52" t="s">
        <v>166</v>
      </c>
      <c r="F46" s="52" t="s">
        <v>166</v>
      </c>
      <c r="G46" s="52" t="s">
        <v>166</v>
      </c>
      <c r="I46" t="s">
        <v>246</v>
      </c>
      <c r="J46" s="604" t="s">
        <v>188</v>
      </c>
      <c r="K46" s="604"/>
      <c r="L46" s="604"/>
      <c r="M46" s="604"/>
      <c r="O46" s="71"/>
      <c r="P46" s="72" t="s">
        <v>189</v>
      </c>
      <c r="Q46" s="73"/>
      <c r="R46" s="73"/>
      <c r="S46" s="73"/>
    </row>
    <row r="47" spans="1:19" ht="30" customHeight="1" x14ac:dyDescent="0.2">
      <c r="A47" s="47" t="str">
        <f>A46</f>
        <v>Estudos e Projetos, Planos e Gerenciamento e outros correlatos</v>
      </c>
      <c r="B47" s="51"/>
      <c r="C47" s="47" t="str">
        <f t="shared" si="0"/>
        <v>Estudos e Projetos, Planos e Gerenciamento e outros correlatos-</v>
      </c>
      <c r="E47" s="52" t="s">
        <v>166</v>
      </c>
      <c r="F47" s="52" t="s">
        <v>166</v>
      </c>
      <c r="G47" s="52" t="s">
        <v>166</v>
      </c>
      <c r="I47" t="s">
        <v>246</v>
      </c>
    </row>
    <row r="48" spans="1:19" ht="15" x14ac:dyDescent="0.2">
      <c r="A48" s="47" t="str">
        <f>A47</f>
        <v>Estudos e Projetos, Planos e Gerenciamento e outros correlatos</v>
      </c>
      <c r="B48" s="51" t="s">
        <v>186</v>
      </c>
      <c r="C48" s="47" t="str">
        <f t="shared" si="0"/>
        <v>Estudos e Projetos, Planos e Gerenciamento e outros correlatos-K3</v>
      </c>
      <c r="E48" s="52" t="s">
        <v>166</v>
      </c>
      <c r="F48" s="52">
        <v>0.12</v>
      </c>
      <c r="G48" s="52" t="s">
        <v>166</v>
      </c>
      <c r="I48" t="s">
        <v>246</v>
      </c>
      <c r="J48" s="605"/>
      <c r="K48" s="605"/>
      <c r="L48" s="605"/>
      <c r="M48" s="605"/>
      <c r="N48" s="74"/>
    </row>
    <row r="49" spans="1:26" ht="12.75" customHeight="1" x14ac:dyDescent="0.2">
      <c r="A49" s="47" t="str">
        <f>A48</f>
        <v>Estudos e Projetos, Planos e Gerenciamento e outros correlatos</v>
      </c>
      <c r="B49" s="56" t="s">
        <v>150</v>
      </c>
      <c r="C49" s="47" t="str">
        <f t="shared" si="0"/>
        <v>Estudos e Projetos, Planos e Gerenciamento e outros correlatos-BDI PAD</v>
      </c>
      <c r="E49" s="52" t="s">
        <v>166</v>
      </c>
      <c r="F49" s="52" t="s">
        <v>166</v>
      </c>
      <c r="G49" s="52" t="s">
        <v>166</v>
      </c>
      <c r="I49" t="s">
        <v>246</v>
      </c>
      <c r="J49" s="601" t="s">
        <v>190</v>
      </c>
      <c r="K49" s="601"/>
      <c r="L49" s="601"/>
      <c r="M49" s="601"/>
    </row>
    <row r="50" spans="1:26" ht="14.25" x14ac:dyDescent="0.2">
      <c r="B50" s="56"/>
      <c r="E50" s="52"/>
      <c r="F50" s="52"/>
      <c r="G50" s="52"/>
      <c r="I50" t="s">
        <v>246</v>
      </c>
      <c r="J50" s="75" t="s">
        <v>108</v>
      </c>
      <c r="K50" s="76" t="str">
        <f t="array" ref="K50:K52">Import.RespOrçamento</f>
        <v>RODRIGO FAGUNDES DE ALMEIDA</v>
      </c>
      <c r="L50" s="77"/>
      <c r="M50" s="77"/>
      <c r="N50" s="74"/>
    </row>
    <row r="51" spans="1:26" ht="14.25" x14ac:dyDescent="0.2">
      <c r="A51"/>
      <c r="B51"/>
      <c r="C51"/>
      <c r="D51"/>
      <c r="E51"/>
      <c r="F51"/>
      <c r="G51"/>
      <c r="I51" t="s">
        <v>246</v>
      </c>
      <c r="J51" s="75" t="s">
        <v>109</v>
      </c>
      <c r="K51" s="76" t="str">
        <v>CREA/SC 147572-3</v>
      </c>
      <c r="L51" s="77"/>
      <c r="M51" s="77"/>
      <c r="N51" s="74"/>
    </row>
    <row r="52" spans="1:26" ht="14.25" x14ac:dyDescent="0.2">
      <c r="A52"/>
      <c r="B52"/>
      <c r="C52"/>
      <c r="D52"/>
      <c r="E52"/>
      <c r="F52"/>
      <c r="G52"/>
      <c r="I52" t="s">
        <v>246</v>
      </c>
      <c r="J52" s="75" t="s">
        <v>110</v>
      </c>
      <c r="K52" s="76" t="str">
        <v>9360947-0</v>
      </c>
      <c r="L52" s="77"/>
      <c r="M52" s="77"/>
      <c r="N52" s="74"/>
    </row>
    <row r="53" spans="1:26" ht="14.25" x14ac:dyDescent="0.2">
      <c r="A53"/>
      <c r="B53"/>
      <c r="C53"/>
      <c r="D53"/>
      <c r="E53"/>
      <c r="F53"/>
      <c r="G53"/>
      <c r="I53" t="s">
        <v>246</v>
      </c>
      <c r="J53" s="75"/>
      <c r="K53" s="78"/>
      <c r="L53" s="77"/>
      <c r="M53" s="77"/>
      <c r="N53" s="74"/>
    </row>
    <row r="54" spans="1:26" ht="15.75" hidden="1" x14ac:dyDescent="0.25">
      <c r="A54"/>
      <c r="B54"/>
      <c r="C54"/>
      <c r="D54"/>
      <c r="E54"/>
      <c r="F54"/>
      <c r="G54"/>
      <c r="I54" t="str">
        <f ca="1">IF($S$69=0,"","F")</f>
        <v/>
      </c>
      <c r="J54" s="592" t="s">
        <v>191</v>
      </c>
      <c r="K54" s="592"/>
      <c r="L54" s="592"/>
      <c r="M54" s="592"/>
      <c r="N54" s="592"/>
      <c r="O54" s="592"/>
      <c r="P54" s="592"/>
      <c r="Q54" s="592"/>
      <c r="R54" s="592"/>
      <c r="S54" s="592"/>
    </row>
    <row r="55" spans="1:26" hidden="1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hidden="1" x14ac:dyDescent="0.2">
      <c r="A56"/>
      <c r="B56"/>
      <c r="C56"/>
      <c r="D56"/>
      <c r="E56"/>
      <c r="F56"/>
      <c r="G56"/>
      <c r="I56" t="str">
        <f t="shared" ca="1" si="1"/>
        <v/>
      </c>
      <c r="J56" s="583" t="s">
        <v>157</v>
      </c>
      <c r="K56" s="583"/>
      <c r="L56" s="583"/>
      <c r="M56" s="583"/>
      <c r="N56" s="583"/>
      <c r="O56" s="583"/>
      <c r="P56" s="583"/>
      <c r="Q56" s="583"/>
      <c r="R56" s="583"/>
      <c r="S56" s="583"/>
    </row>
    <row r="57" spans="1:26" hidden="1" x14ac:dyDescent="0.2">
      <c r="A57"/>
      <c r="B57"/>
      <c r="C57"/>
      <c r="D57"/>
      <c r="E57"/>
      <c r="F57"/>
      <c r="G57"/>
      <c r="I57" t="str">
        <f t="shared" ca="1" si="1"/>
        <v/>
      </c>
      <c r="J57" s="589" t="s">
        <v>409</v>
      </c>
      <c r="K57" s="589"/>
      <c r="L57" s="589"/>
      <c r="M57" s="589"/>
      <c r="N57" s="589"/>
      <c r="O57" s="589"/>
      <c r="P57" s="589"/>
      <c r="Q57" s="589"/>
      <c r="R57" s="589"/>
      <c r="S57" s="589"/>
    </row>
    <row r="58" spans="1:26" hidden="1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hidden="1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591" t="s">
        <v>158</v>
      </c>
      <c r="K59" s="591"/>
      <c r="L59" s="591"/>
      <c r="M59" s="591"/>
      <c r="N59" s="591"/>
      <c r="O59" s="591"/>
      <c r="P59" s="591"/>
      <c r="Q59" s="591"/>
      <c r="R59" s="591" t="s">
        <v>159</v>
      </c>
      <c r="S59" s="590" t="s">
        <v>160</v>
      </c>
      <c r="U59" s="590" t="s">
        <v>161</v>
      </c>
      <c r="V59" s="590"/>
      <c r="W59" s="590"/>
      <c r="X59" s="588" t="s">
        <v>162</v>
      </c>
      <c r="Y59" s="588" t="s">
        <v>163</v>
      </c>
      <c r="Z59" s="588" t="s">
        <v>164</v>
      </c>
    </row>
    <row r="60" spans="1:26" ht="12.75" hidden="1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591"/>
      <c r="K60" s="591"/>
      <c r="L60" s="591"/>
      <c r="M60" s="591"/>
      <c r="N60" s="591"/>
      <c r="O60" s="591"/>
      <c r="P60" s="591"/>
      <c r="Q60" s="591"/>
      <c r="R60" s="591"/>
      <c r="S60" s="590"/>
      <c r="U60" s="590"/>
      <c r="V60" s="590"/>
      <c r="W60" s="590"/>
      <c r="X60" s="588"/>
      <c r="Y60" s="588"/>
      <c r="Z60" s="588"/>
    </row>
    <row r="61" spans="1:26" ht="15" hidden="1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593" t="str">
        <f>IF($J$17=$A$146,"Encargos Sociais incidentes sobre a mão de obra","Administração Central")</f>
        <v>Administração Central</v>
      </c>
      <c r="K61" s="593"/>
      <c r="L61" s="593"/>
      <c r="M61" s="593"/>
      <c r="N61" s="593"/>
      <c r="O61" s="593"/>
      <c r="P61" s="593"/>
      <c r="Q61" s="593"/>
      <c r="R61" s="58" t="str">
        <f>IF($J57=$A$146,"K1","AC")</f>
        <v>AC</v>
      </c>
      <c r="S61" s="59"/>
      <c r="U61" s="594" t="s">
        <v>166</v>
      </c>
      <c r="V61" s="594"/>
      <c r="W61" s="594"/>
      <c r="X61" s="60" t="e">
        <f>VLOOKUP(CONCATENATE(J57,"-",R61),$C$2:$G$136,3,FALSE)</f>
        <v>#N/A</v>
      </c>
      <c r="Y61" s="60" t="e">
        <f>VLOOKUP(CONCATENATE(J57,"-",R61),$C$2:$G$136,4,FALSE)</f>
        <v>#N/A</v>
      </c>
      <c r="Z61" s="60" t="e">
        <f>VLOOKUP(CONCATENATE(J57,"-",R61),$C$2:$G$136,5,FALSE)</f>
        <v>#N/A</v>
      </c>
    </row>
    <row r="62" spans="1:26" ht="15" hidden="1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593" t="str">
        <f>IF($J$17=$A$146,"Administração Central da empresa ou consultoria - overhead","Seguro e Garantia")</f>
        <v>Seguro e Garantia</v>
      </c>
      <c r="K62" s="593"/>
      <c r="L62" s="593"/>
      <c r="M62" s="593"/>
      <c r="N62" s="593"/>
      <c r="O62" s="593"/>
      <c r="P62" s="593"/>
      <c r="Q62" s="593"/>
      <c r="R62" s="58" t="str">
        <f>IF($J57=$A$146,"K2","SG")</f>
        <v>SG</v>
      </c>
      <c r="S62" s="59"/>
      <c r="U62" s="594" t="s">
        <v>166</v>
      </c>
      <c r="V62" s="594"/>
      <c r="W62" s="594"/>
      <c r="X62" s="60" t="e">
        <f>VLOOKUP(CONCATENATE(J57,"-",R62),$C$2:$G$136,3,FALSE)</f>
        <v>#N/A</v>
      </c>
      <c r="Y62" s="60" t="e">
        <f>VLOOKUP(CONCATENATE(J57,"-",R62),$C$2:$G$136,4,FALSE)</f>
        <v>#N/A</v>
      </c>
      <c r="Z62" s="60" t="e">
        <f>VLOOKUP(CONCATENATE(J57,"-",R62),$C$2:$G$136,5,FALSE)</f>
        <v>#N/A</v>
      </c>
    </row>
    <row r="63" spans="1:26" ht="15" hidden="1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593" t="str">
        <f>IF($J$17=$A$146,"","Risco")</f>
        <v>Risco</v>
      </c>
      <c r="K63" s="593"/>
      <c r="L63" s="593"/>
      <c r="M63" s="593"/>
      <c r="N63" s="593"/>
      <c r="O63" s="593"/>
      <c r="P63" s="593"/>
      <c r="Q63" s="593"/>
      <c r="R63" s="58" t="str">
        <f>IF($J57=$A$146,"","R")</f>
        <v>R</v>
      </c>
      <c r="S63" s="59"/>
      <c r="U63" s="594" t="s">
        <v>166</v>
      </c>
      <c r="V63" s="594"/>
      <c r="W63" s="594"/>
      <c r="X63" s="60" t="e">
        <f>VLOOKUP(CONCATENATE(J57,"-",R63),$C$2:$G$136,3,FALSE)</f>
        <v>#N/A</v>
      </c>
      <c r="Y63" s="60" t="e">
        <f>VLOOKUP(CONCATENATE(J57,"-",R63),$C$2:$G$136,4,FALSE)</f>
        <v>#N/A</v>
      </c>
      <c r="Z63" s="60" t="e">
        <f>VLOOKUP(CONCATENATE(J57,"-",R63),$C$2:$G$136,5,FALSE)</f>
        <v>#N/A</v>
      </c>
    </row>
    <row r="64" spans="1:26" ht="15" hidden="1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593" t="str">
        <f>IF($J$17=$A$146,"","Despesas Financeiras")</f>
        <v>Despesas Financeiras</v>
      </c>
      <c r="K64" s="593"/>
      <c r="L64" s="593"/>
      <c r="M64" s="593"/>
      <c r="N64" s="593"/>
      <c r="O64" s="593"/>
      <c r="P64" s="593"/>
      <c r="Q64" s="593"/>
      <c r="R64" s="58" t="str">
        <f>IF($J57=$A$146,"","DF")</f>
        <v>DF</v>
      </c>
      <c r="S64" s="59"/>
      <c r="U64" s="594" t="s">
        <v>166</v>
      </c>
      <c r="V64" s="594"/>
      <c r="W64" s="594"/>
      <c r="X64" s="60" t="e">
        <f>VLOOKUP(CONCATENATE(J57,"-",R64),$C$2:$G$136,3,FALSE)</f>
        <v>#N/A</v>
      </c>
      <c r="Y64" s="60" t="e">
        <f>VLOOKUP(CONCATENATE(J57,"-",R64),$C$2:$G$136,4,FALSE)</f>
        <v>#N/A</v>
      </c>
      <c r="Z64" s="60" t="e">
        <f>VLOOKUP(CONCATENATE(J57,"-",R64),$C$2:$G$136,5,FALSE)</f>
        <v>#N/A</v>
      </c>
    </row>
    <row r="65" spans="1:26" ht="15" hidden="1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593" t="str">
        <f>IF($J$17=$A$146,"Margem bruta da empresa de consultoria","Lucro")</f>
        <v>Lucro</v>
      </c>
      <c r="K65" s="593"/>
      <c r="L65" s="593"/>
      <c r="M65" s="593"/>
      <c r="N65" s="593"/>
      <c r="O65" s="593"/>
      <c r="P65" s="593"/>
      <c r="Q65" s="593"/>
      <c r="R65" s="58" t="str">
        <f>IF($J57=$A$146,"K3","L")</f>
        <v>L</v>
      </c>
      <c r="S65" s="59"/>
      <c r="U65" s="594" t="s">
        <v>166</v>
      </c>
      <c r="V65" s="594"/>
      <c r="W65" s="594"/>
      <c r="X65" s="60" t="e">
        <f>VLOOKUP(CONCATENATE(J57,"-",R65),$C$2:$G$136,3,FALSE)</f>
        <v>#N/A</v>
      </c>
      <c r="Y65" s="60" t="e">
        <f>VLOOKUP(CONCATENATE(J57,"-",R65),$C$2:$G$136,4,FALSE)</f>
        <v>#N/A</v>
      </c>
      <c r="Z65" s="60" t="e">
        <f>VLOOKUP(CONCATENATE(J57,"-",R65),$C$2:$G$136,5,FALSE)</f>
        <v>#N/A</v>
      </c>
    </row>
    <row r="66" spans="1:26" ht="15" hidden="1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593" t="s">
        <v>168</v>
      </c>
      <c r="K66" s="593"/>
      <c r="L66" s="593"/>
      <c r="M66" s="593"/>
      <c r="N66" s="593"/>
      <c r="O66" s="593"/>
      <c r="P66" s="593"/>
      <c r="Q66" s="593"/>
      <c r="R66" s="58" t="s">
        <v>169</v>
      </c>
      <c r="S66" s="59"/>
      <c r="U66" s="594" t="s">
        <v>166</v>
      </c>
      <c r="V66" s="594"/>
      <c r="W66" s="594"/>
      <c r="X66" s="60">
        <v>3.6499999999999998E-2</v>
      </c>
      <c r="Y66" s="60">
        <v>3.6499999999999998E-2</v>
      </c>
      <c r="Z66" s="60">
        <v>3.6499999999999998E-2</v>
      </c>
    </row>
    <row r="67" spans="1:26" ht="15" hidden="1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593" t="s">
        <v>170</v>
      </c>
      <c r="K67" s="593"/>
      <c r="L67" s="593"/>
      <c r="M67" s="593"/>
      <c r="N67" s="593"/>
      <c r="O67" s="593"/>
      <c r="P67" s="593"/>
      <c r="Q67" s="593"/>
      <c r="R67" s="58" t="s">
        <v>171</v>
      </c>
      <c r="S67" s="60">
        <f ca="1">IF(AND($J57&lt;&gt;$A$145,COUNTA(OFFSET(S60,1,0,6))&gt;0),$R$11*$R$10,0)</f>
        <v>0</v>
      </c>
      <c r="U67" s="594" t="s">
        <v>166</v>
      </c>
      <c r="V67" s="594"/>
      <c r="W67" s="594"/>
      <c r="X67" s="60">
        <v>0</v>
      </c>
      <c r="Y67" s="60">
        <v>2.5000000000000001E-2</v>
      </c>
      <c r="Z67" s="60">
        <v>0.05</v>
      </c>
    </row>
    <row r="68" spans="1:26" ht="15" hidden="1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593" t="s">
        <v>172</v>
      </c>
      <c r="K68" s="593"/>
      <c r="L68" s="593"/>
      <c r="M68" s="593"/>
      <c r="N68" s="593"/>
      <c r="O68" s="593"/>
      <c r="P68" s="593"/>
      <c r="Q68" s="593"/>
      <c r="R68" s="58" t="s">
        <v>173</v>
      </c>
      <c r="S68" s="60">
        <f ca="1">IF(BDI.Opcao&lt;&gt;"Desonerado",0,IF(AND($J57&lt;&gt;$A$145,COUNTA(OFFSET(S60,1,0,6))&gt;0),4.5%,0%))</f>
        <v>0</v>
      </c>
      <c r="U68" s="594" t="s">
        <v>166</v>
      </c>
      <c r="V68" s="594"/>
      <c r="W68" s="594"/>
      <c r="X68" s="61">
        <v>0</v>
      </c>
      <c r="Y68" s="61">
        <v>4.4999999999999998E-2</v>
      </c>
      <c r="Z68" s="61">
        <v>4.4999999999999998E-2</v>
      </c>
    </row>
    <row r="69" spans="1:26" ht="15" hidden="1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593" t="s">
        <v>174</v>
      </c>
      <c r="K69" s="593"/>
      <c r="L69" s="593"/>
      <c r="M69" s="593"/>
      <c r="N69" s="593"/>
      <c r="O69" s="593"/>
      <c r="P69" s="593"/>
      <c r="Q69" s="593"/>
      <c r="R69" s="62" t="s">
        <v>150</v>
      </c>
      <c r="S69" s="60">
        <f ca="1">IF($J57=$A$145,0,ROUND((((1+S61+S62+S63)*(1+S64)*(1+S65)/(1-(S66+S67)))-1),4))</f>
        <v>0</v>
      </c>
      <c r="U69" s="590" t="e">
        <f ca="1">IF(OR($J$17=$A$146,$J$17=$A$145,AND(S69&gt;=X69,S69&lt;=Z69)),"OK","FORA DO INTERVALO")</f>
        <v>#N/A</v>
      </c>
      <c r="V69" s="590"/>
      <c r="W69" s="590"/>
      <c r="X69" s="60" t="e">
        <f>IF($J57=$A$145,0,VLOOKUP(CONCATENATE($J57,"-",$R69),$C$2:$G$136,3,FALSE))</f>
        <v>#N/A</v>
      </c>
      <c r="Y69" s="60" t="e">
        <f>IF($J57=$A$145,0,VLOOKUP(CONCATENATE($J57,"-",$R69),$C$2:$G$136,4,FALSE))</f>
        <v>#N/A</v>
      </c>
      <c r="Z69" s="60" t="e">
        <f>IF($J57=$A$145,0,VLOOKUP(CONCATENATE($J57,"-",$R69),$C$2:$G$136,5,FALSE))</f>
        <v>#N/A</v>
      </c>
    </row>
    <row r="70" spans="1:26" ht="15" hidden="1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597" t="s">
        <v>175</v>
      </c>
      <c r="K70" s="597"/>
      <c r="L70" s="597"/>
      <c r="M70" s="597"/>
      <c r="N70" s="597"/>
      <c r="O70" s="597"/>
      <c r="P70" s="597"/>
      <c r="Q70" s="597"/>
      <c r="R70" s="63" t="s">
        <v>176</v>
      </c>
      <c r="S70" s="64">
        <f ca="1">IF($J57=$A$145,0,ROUND((((1+S61+S62+S63)*(1+S64)*(1+S65)/(1-(S66+S67+S68)))-1),4))</f>
        <v>0</v>
      </c>
    </row>
    <row r="71" spans="1:26" ht="25.5" hidden="1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hidden="1" x14ac:dyDescent="0.2">
      <c r="A72"/>
      <c r="B72"/>
      <c r="C72"/>
      <c r="D72"/>
      <c r="E72"/>
      <c r="F72"/>
      <c r="G72"/>
      <c r="I72" t="str">
        <f t="shared" ca="1" si="1"/>
        <v/>
      </c>
      <c r="J72" s="65" t="e">
        <f ca="1">IF(U69&lt;&gt;"ok","X","")</f>
        <v>#N/A</v>
      </c>
      <c r="K72" s="598" t="e">
        <f ca="1">IF(U69&lt;&gt;"ok","Anexo: Relatório Técnico Circunstanciado justificando a adoção do percentual de cada parcela do BDI.","")</f>
        <v>#N/A</v>
      </c>
      <c r="L72" s="598"/>
      <c r="M72" s="598"/>
      <c r="N72" s="598"/>
      <c r="O72" s="598"/>
      <c r="P72" s="598"/>
      <c r="Q72" s="598"/>
      <c r="R72" s="598"/>
      <c r="S72" s="598"/>
    </row>
    <row r="73" spans="1:26" hidden="1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hidden="1" x14ac:dyDescent="0.2">
      <c r="A74"/>
      <c r="B74"/>
      <c r="C74"/>
      <c r="D74"/>
      <c r="E74"/>
      <c r="F74"/>
      <c r="G74"/>
      <c r="I74" t="str">
        <f t="shared" ca="1" si="1"/>
        <v/>
      </c>
      <c r="J74" s="599" t="s">
        <v>178</v>
      </c>
      <c r="K74" s="599"/>
      <c r="L74" s="599"/>
      <c r="M74" s="599"/>
      <c r="N74" s="599"/>
      <c r="O74" s="599"/>
      <c r="P74" s="599"/>
      <c r="Q74" s="599"/>
      <c r="R74" s="599"/>
      <c r="S74" s="599"/>
    </row>
    <row r="75" spans="1:26" ht="15.75" hidden="1" x14ac:dyDescent="0.25">
      <c r="A75"/>
      <c r="B75"/>
      <c r="C75"/>
      <c r="D75"/>
      <c r="E75"/>
      <c r="F75"/>
      <c r="G75"/>
      <c r="I75" t="str">
        <f t="shared" ca="1" si="1"/>
        <v/>
      </c>
      <c r="J75" s="66"/>
      <c r="K75" s="66"/>
      <c r="L75" s="66"/>
      <c r="M75" s="600" t="s">
        <v>179</v>
      </c>
      <c r="N75" s="606" t="str">
        <f>IF($J57=$A$146,"(1+K1+K2)*(1+K3)","(1+AC + S + R + G)*(1 + DF)*(1+L)")</f>
        <v>(1+AC + S + R + G)*(1 + DF)*(1+L)</v>
      </c>
      <c r="O75" s="606"/>
      <c r="P75" s="606"/>
      <c r="Q75" s="607" t="s">
        <v>180</v>
      </c>
      <c r="R75" s="66"/>
      <c r="S75" s="66"/>
    </row>
    <row r="76" spans="1:26" ht="15.75" hidden="1" x14ac:dyDescent="0.2">
      <c r="A76"/>
      <c r="B76"/>
      <c r="C76"/>
      <c r="D76"/>
      <c r="E76"/>
      <c r="F76"/>
      <c r="G76"/>
      <c r="I76" t="str">
        <f t="shared" ca="1" si="1"/>
        <v/>
      </c>
      <c r="J76" s="66"/>
      <c r="K76" s="66"/>
      <c r="L76" s="66"/>
      <c r="M76" s="600"/>
      <c r="N76" s="595" t="s">
        <v>181</v>
      </c>
      <c r="O76" s="595"/>
      <c r="P76" s="595"/>
      <c r="Q76" s="607"/>
      <c r="R76" s="66"/>
      <c r="S76" s="66"/>
    </row>
    <row r="77" spans="1:26" ht="15" hidden="1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66"/>
      <c r="K77" s="66"/>
      <c r="L77" s="66"/>
      <c r="M77" s="67"/>
      <c r="N77" s="69"/>
      <c r="O77" s="69"/>
      <c r="P77" s="69"/>
      <c r="Q77" s="68"/>
      <c r="R77" s="66"/>
      <c r="S77" s="66"/>
    </row>
    <row r="78" spans="1:26" ht="50.1" hidden="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3%.</v>
      </c>
      <c r="K78" s="596"/>
      <c r="L78" s="596"/>
      <c r="M78" s="596"/>
      <c r="N78" s="596"/>
      <c r="O78" s="596"/>
      <c r="P78" s="596"/>
      <c r="Q78" s="596"/>
      <c r="R78" s="596"/>
      <c r="S78" s="596"/>
    </row>
    <row r="79" spans="1:26" hidden="1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hidden="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596"/>
      <c r="L80" s="596"/>
      <c r="M80" s="596"/>
      <c r="N80" s="596"/>
      <c r="O80" s="596"/>
      <c r="P80" s="596"/>
      <c r="Q80" s="596"/>
      <c r="R80" s="596"/>
      <c r="S80" s="596"/>
    </row>
    <row r="81" spans="1:19" hidden="1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hidden="1" x14ac:dyDescent="0.2">
      <c r="A82"/>
      <c r="B82"/>
      <c r="C82"/>
      <c r="D82"/>
      <c r="E82"/>
      <c r="F82"/>
      <c r="G82"/>
      <c r="I82" t="str">
        <f t="shared" ca="1" si="1"/>
        <v/>
      </c>
      <c r="J82" s="47" t="s">
        <v>187</v>
      </c>
    </row>
    <row r="83" spans="1:19" ht="99.95" hidden="1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08"/>
      <c r="K83" s="608"/>
      <c r="L83" s="608"/>
      <c r="M83" s="608"/>
      <c r="N83" s="608"/>
      <c r="O83" s="608"/>
      <c r="P83" s="608"/>
      <c r="Q83" s="608"/>
      <c r="R83" s="608"/>
      <c r="S83" s="608"/>
    </row>
    <row r="84" spans="1:19" hidden="1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hidden="1" x14ac:dyDescent="0.2">
      <c r="A85"/>
      <c r="B85"/>
      <c r="C85"/>
      <c r="D85"/>
      <c r="E85"/>
      <c r="F85"/>
      <c r="G85"/>
      <c r="I85" t="str">
        <f t="shared" ca="1" si="1"/>
        <v/>
      </c>
      <c r="J85" s="602" t="str">
        <f>Import.Município</f>
        <v>LAGES/SC</v>
      </c>
      <c r="K85" s="602"/>
      <c r="L85" s="602"/>
      <c r="M85" s="602"/>
      <c r="P85" s="603">
        <f ca="1">DADOS!$F$25</f>
        <v>45639</v>
      </c>
      <c r="Q85" s="603"/>
      <c r="R85" s="603"/>
      <c r="S85" s="603"/>
    </row>
    <row r="86" spans="1:19" hidden="1" x14ac:dyDescent="0.2">
      <c r="A86"/>
      <c r="B86"/>
      <c r="C86"/>
      <c r="D86"/>
      <c r="E86"/>
      <c r="F86"/>
      <c r="G86"/>
      <c r="I86" t="str">
        <f t="shared" ca="1" si="1"/>
        <v/>
      </c>
      <c r="J86" s="604" t="s">
        <v>188</v>
      </c>
      <c r="K86" s="604"/>
      <c r="L86" s="604"/>
      <c r="M86" s="604"/>
      <c r="O86" s="71"/>
      <c r="P86" s="72" t="s">
        <v>189</v>
      </c>
      <c r="Q86" s="73"/>
      <c r="R86" s="73"/>
      <c r="S86" s="73"/>
    </row>
    <row r="87" spans="1:19" ht="30" hidden="1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hidden="1" x14ac:dyDescent="0.2">
      <c r="A88"/>
      <c r="B88"/>
      <c r="C88"/>
      <c r="D88"/>
      <c r="E88"/>
      <c r="F88"/>
      <c r="G88"/>
      <c r="I88" t="str">
        <f t="shared" ca="1" si="1"/>
        <v/>
      </c>
      <c r="J88" s="605"/>
      <c r="K88" s="605"/>
      <c r="L88" s="605"/>
      <c r="M88" s="605"/>
      <c r="N88" s="74"/>
    </row>
    <row r="89" spans="1:19" hidden="1" x14ac:dyDescent="0.2">
      <c r="A89"/>
      <c r="B89"/>
      <c r="C89"/>
      <c r="D89"/>
      <c r="E89"/>
      <c r="F89"/>
      <c r="G89"/>
      <c r="I89" t="str">
        <f t="shared" ca="1" si="1"/>
        <v/>
      </c>
      <c r="J89" s="601" t="s">
        <v>190</v>
      </c>
      <c r="K89" s="601"/>
      <c r="L89" s="601"/>
      <c r="M89" s="601"/>
    </row>
    <row r="90" spans="1:19" ht="14.25" hidden="1" x14ac:dyDescent="0.2">
      <c r="A90"/>
      <c r="B90"/>
      <c r="C90"/>
      <c r="D90"/>
      <c r="E90"/>
      <c r="F90"/>
      <c r="G90"/>
      <c r="I90" t="str">
        <f t="shared" ca="1" si="1"/>
        <v/>
      </c>
      <c r="J90" s="75" t="s">
        <v>108</v>
      </c>
      <c r="K90" s="76" t="str">
        <f t="array" ref="K90:K92">Import.RespOrçamento</f>
        <v>RODRIGO FAGUNDES DE ALMEIDA</v>
      </c>
      <c r="L90" s="77"/>
      <c r="M90" s="77"/>
      <c r="N90" s="74"/>
    </row>
    <row r="91" spans="1:19" ht="14.25" hidden="1" x14ac:dyDescent="0.2">
      <c r="A91"/>
      <c r="B91"/>
      <c r="C91"/>
      <c r="D91"/>
      <c r="E91"/>
      <c r="F91"/>
      <c r="G91"/>
      <c r="I91" t="str">
        <f t="shared" ca="1" si="1"/>
        <v/>
      </c>
      <c r="J91" s="75" t="s">
        <v>109</v>
      </c>
      <c r="K91" s="76" t="str">
        <v>CREA/SC 147572-3</v>
      </c>
      <c r="L91" s="77"/>
      <c r="M91" s="77"/>
      <c r="N91" s="74"/>
    </row>
    <row r="92" spans="1:19" ht="14.25" hidden="1" x14ac:dyDescent="0.2">
      <c r="A92"/>
      <c r="B92"/>
      <c r="C92"/>
      <c r="D92"/>
      <c r="E92"/>
      <c r="F92"/>
      <c r="G92"/>
      <c r="I92" t="str">
        <f t="shared" ca="1" si="1"/>
        <v/>
      </c>
      <c r="J92" s="75" t="s">
        <v>110</v>
      </c>
      <c r="K92" s="76" t="str">
        <v>9360947-0</v>
      </c>
      <c r="L92" s="77"/>
      <c r="M92" s="77"/>
      <c r="N92" s="74"/>
    </row>
    <row r="93" spans="1:19" ht="14.25" hidden="1" x14ac:dyDescent="0.2">
      <c r="A93"/>
      <c r="B93"/>
      <c r="C93"/>
      <c r="D93"/>
      <c r="E93"/>
      <c r="F93"/>
      <c r="G93"/>
      <c r="I93" t="str">
        <f t="shared" ca="1" si="1"/>
        <v/>
      </c>
      <c r="J93" s="75"/>
      <c r="K93" s="78"/>
      <c r="L93" s="77"/>
      <c r="M93" s="77"/>
      <c r="N93" s="74"/>
    </row>
    <row r="94" spans="1:19" ht="15.75" hidden="1" x14ac:dyDescent="0.25">
      <c r="A94"/>
      <c r="B94"/>
      <c r="C94"/>
      <c r="D94"/>
      <c r="E94"/>
      <c r="F94"/>
      <c r="G94"/>
      <c r="I94" t="str">
        <f ca="1">IF($S$109=0,"","F")</f>
        <v/>
      </c>
      <c r="J94" s="592" t="s">
        <v>192</v>
      </c>
      <c r="K94" s="592"/>
      <c r="L94" s="592"/>
      <c r="M94" s="592"/>
      <c r="N94" s="592"/>
      <c r="O94" s="592"/>
      <c r="P94" s="592"/>
      <c r="Q94" s="592"/>
      <c r="R94" s="592"/>
      <c r="S94" s="592"/>
    </row>
    <row r="95" spans="1:19" hidden="1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hidden="1" x14ac:dyDescent="0.2">
      <c r="A96"/>
      <c r="B96"/>
      <c r="C96"/>
      <c r="D96"/>
      <c r="E96"/>
      <c r="F96"/>
      <c r="G96"/>
      <c r="I96" t="str">
        <f t="shared" ca="1" si="2"/>
        <v/>
      </c>
      <c r="J96" s="583" t="s">
        <v>157</v>
      </c>
      <c r="K96" s="583"/>
      <c r="L96" s="583"/>
      <c r="M96" s="583"/>
      <c r="N96" s="583"/>
      <c r="O96" s="583"/>
      <c r="P96" s="583"/>
      <c r="Q96" s="583"/>
      <c r="R96" s="583"/>
      <c r="S96" s="583"/>
    </row>
    <row r="97" spans="1:26" hidden="1" x14ac:dyDescent="0.2">
      <c r="A97"/>
      <c r="B97"/>
      <c r="C97"/>
      <c r="D97"/>
      <c r="E97"/>
      <c r="F97"/>
      <c r="G97"/>
      <c r="I97" t="str">
        <f t="shared" ca="1" si="2"/>
        <v/>
      </c>
      <c r="J97" s="589" t="s">
        <v>409</v>
      </c>
      <c r="K97" s="589"/>
      <c r="L97" s="589"/>
      <c r="M97" s="589"/>
      <c r="N97" s="589"/>
      <c r="O97" s="589"/>
      <c r="P97" s="589"/>
      <c r="Q97" s="589"/>
      <c r="R97" s="589"/>
      <c r="S97" s="589"/>
    </row>
    <row r="98" spans="1:26" hidden="1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hidden="1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591" t="s">
        <v>158</v>
      </c>
      <c r="K99" s="591"/>
      <c r="L99" s="591"/>
      <c r="M99" s="591"/>
      <c r="N99" s="591"/>
      <c r="O99" s="591"/>
      <c r="P99" s="591"/>
      <c r="Q99" s="591"/>
      <c r="R99" s="591" t="s">
        <v>159</v>
      </c>
      <c r="S99" s="590" t="s">
        <v>160</v>
      </c>
      <c r="U99" s="590" t="s">
        <v>161</v>
      </c>
      <c r="V99" s="590"/>
      <c r="W99" s="590"/>
      <c r="X99" s="588" t="s">
        <v>162</v>
      </c>
      <c r="Y99" s="588" t="s">
        <v>163</v>
      </c>
      <c r="Z99" s="588" t="s">
        <v>164</v>
      </c>
    </row>
    <row r="100" spans="1:26" ht="12.75" hidden="1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591"/>
      <c r="K100" s="591"/>
      <c r="L100" s="591"/>
      <c r="M100" s="591"/>
      <c r="N100" s="591"/>
      <c r="O100" s="591"/>
      <c r="P100" s="591"/>
      <c r="Q100" s="591"/>
      <c r="R100" s="591"/>
      <c r="S100" s="590"/>
      <c r="U100" s="590"/>
      <c r="V100" s="590"/>
      <c r="W100" s="590"/>
      <c r="X100" s="588"/>
      <c r="Y100" s="588"/>
      <c r="Z100" s="588"/>
    </row>
    <row r="101" spans="1:26" ht="15" hidden="1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593" t="str">
        <f>IF($J$17=$A$146,"Encargos Sociais incidentes sobre a mão de obra","Administração Central")</f>
        <v>Administração Central</v>
      </c>
      <c r="K101" s="593"/>
      <c r="L101" s="593"/>
      <c r="M101" s="593"/>
      <c r="N101" s="593"/>
      <c r="O101" s="593"/>
      <c r="P101" s="593"/>
      <c r="Q101" s="593"/>
      <c r="R101" s="58" t="str">
        <f>IF($J97=$A$146,"K1","AC")</f>
        <v>AC</v>
      </c>
      <c r="S101" s="59"/>
      <c r="U101" s="594" t="s">
        <v>166</v>
      </c>
      <c r="V101" s="594"/>
      <c r="W101" s="594"/>
      <c r="X101" s="60" t="e">
        <f>VLOOKUP(CONCATENATE(J97,"-",R101),$C$2:$G$136,3,FALSE)</f>
        <v>#N/A</v>
      </c>
      <c r="Y101" s="60" t="e">
        <f>VLOOKUP(CONCATENATE(J97,"-",R101),$C$2:$G$136,4,FALSE)</f>
        <v>#N/A</v>
      </c>
      <c r="Z101" s="60" t="e">
        <f>VLOOKUP(CONCATENATE(J97,"-",R101),$C$2:$G$136,5,FALSE)</f>
        <v>#N/A</v>
      </c>
    </row>
    <row r="102" spans="1:26" ht="15" hidden="1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593" t="str">
        <f>IF($J$17=$A$146,"Administração Central da empresa ou consultoria - overhead","Seguro e Garantia")</f>
        <v>Seguro e Garantia</v>
      </c>
      <c r="K102" s="593"/>
      <c r="L102" s="593"/>
      <c r="M102" s="593"/>
      <c r="N102" s="593"/>
      <c r="O102" s="593"/>
      <c r="P102" s="593"/>
      <c r="Q102" s="593"/>
      <c r="R102" s="58" t="str">
        <f>IF($J97=$A$146,"K2","SG")</f>
        <v>SG</v>
      </c>
      <c r="S102" s="59"/>
      <c r="U102" s="594" t="s">
        <v>166</v>
      </c>
      <c r="V102" s="594"/>
      <c r="W102" s="594"/>
      <c r="X102" s="60" t="e">
        <f>VLOOKUP(CONCATENATE(J97,"-",R102),$C$2:$G$136,3,FALSE)</f>
        <v>#N/A</v>
      </c>
      <c r="Y102" s="60" t="e">
        <f>VLOOKUP(CONCATENATE(J97,"-",R102),$C$2:$G$136,4,FALSE)</f>
        <v>#N/A</v>
      </c>
      <c r="Z102" s="60" t="e">
        <f>VLOOKUP(CONCATENATE(J97,"-",R102),$C$2:$G$136,5,FALSE)</f>
        <v>#N/A</v>
      </c>
    </row>
    <row r="103" spans="1:26" ht="15" hidden="1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593" t="str">
        <f>IF($J$17=$A$146,"","Risco")</f>
        <v>Risco</v>
      </c>
      <c r="K103" s="593"/>
      <c r="L103" s="593"/>
      <c r="M103" s="593"/>
      <c r="N103" s="593"/>
      <c r="O103" s="593"/>
      <c r="P103" s="593"/>
      <c r="Q103" s="593"/>
      <c r="R103" s="58" t="str">
        <f>IF($J97=$A$146,"","R")</f>
        <v>R</v>
      </c>
      <c r="S103" s="59"/>
      <c r="U103" s="594" t="s">
        <v>166</v>
      </c>
      <c r="V103" s="594"/>
      <c r="W103" s="594"/>
      <c r="X103" s="60" t="e">
        <f>VLOOKUP(CONCATENATE(J97,"-",R103),$C$2:$G$136,3,FALSE)</f>
        <v>#N/A</v>
      </c>
      <c r="Y103" s="60" t="e">
        <f>VLOOKUP(CONCATENATE(J97,"-",R103),$C$2:$G$136,4,FALSE)</f>
        <v>#N/A</v>
      </c>
      <c r="Z103" s="60" t="e">
        <f>VLOOKUP(CONCATENATE(J97,"-",R103),$C$2:$G$136,5,FALSE)</f>
        <v>#N/A</v>
      </c>
    </row>
    <row r="104" spans="1:26" ht="15" hidden="1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593" t="str">
        <f>IF($J$17=$A$146,"","Despesas Financeiras")</f>
        <v>Despesas Financeiras</v>
      </c>
      <c r="K104" s="593"/>
      <c r="L104" s="593"/>
      <c r="M104" s="593"/>
      <c r="N104" s="593"/>
      <c r="O104" s="593"/>
      <c r="P104" s="593"/>
      <c r="Q104" s="593"/>
      <c r="R104" s="58" t="str">
        <f>IF($J97=$A$146,"","DF")</f>
        <v>DF</v>
      </c>
      <c r="S104" s="59"/>
      <c r="U104" s="594" t="s">
        <v>166</v>
      </c>
      <c r="V104" s="594"/>
      <c r="W104" s="594"/>
      <c r="X104" s="60" t="e">
        <f>VLOOKUP(CONCATENATE(J97,"-",R104),$C$2:$G$136,3,FALSE)</f>
        <v>#N/A</v>
      </c>
      <c r="Y104" s="60" t="e">
        <f>VLOOKUP(CONCATENATE(J97,"-",R104),$C$2:$G$136,4,FALSE)</f>
        <v>#N/A</v>
      </c>
      <c r="Z104" s="60" t="e">
        <f>VLOOKUP(CONCATENATE(J97,"-",R104),$C$2:$G$136,5,FALSE)</f>
        <v>#N/A</v>
      </c>
    </row>
    <row r="105" spans="1:26" ht="15" hidden="1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593" t="str">
        <f>IF($J$17=$A$146,"Margem bruta da empresa de consultoria","Lucro")</f>
        <v>Lucro</v>
      </c>
      <c r="K105" s="593"/>
      <c r="L105" s="593"/>
      <c r="M105" s="593"/>
      <c r="N105" s="593"/>
      <c r="O105" s="593"/>
      <c r="P105" s="593"/>
      <c r="Q105" s="593"/>
      <c r="R105" s="58" t="str">
        <f>IF($J97=$A$146,"K3","L")</f>
        <v>L</v>
      </c>
      <c r="S105" s="59"/>
      <c r="U105" s="594" t="s">
        <v>166</v>
      </c>
      <c r="V105" s="594"/>
      <c r="W105" s="594"/>
      <c r="X105" s="60" t="e">
        <f>VLOOKUP(CONCATENATE(J97,"-",R105),$C$2:$G$136,3,FALSE)</f>
        <v>#N/A</v>
      </c>
      <c r="Y105" s="60" t="e">
        <f>VLOOKUP(CONCATENATE(J97,"-",R105),$C$2:$G$136,4,FALSE)</f>
        <v>#N/A</v>
      </c>
      <c r="Z105" s="60" t="e">
        <f>VLOOKUP(CONCATENATE(J97,"-",R105),$C$2:$G$136,5,FALSE)</f>
        <v>#N/A</v>
      </c>
    </row>
    <row r="106" spans="1:26" ht="15" hidden="1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593" t="s">
        <v>168</v>
      </c>
      <c r="K106" s="593"/>
      <c r="L106" s="593"/>
      <c r="M106" s="593"/>
      <c r="N106" s="593"/>
      <c r="O106" s="593"/>
      <c r="P106" s="593"/>
      <c r="Q106" s="593"/>
      <c r="R106" s="58" t="s">
        <v>169</v>
      </c>
      <c r="S106" s="59"/>
      <c r="U106" s="594" t="s">
        <v>166</v>
      </c>
      <c r="V106" s="594"/>
      <c r="W106" s="594"/>
      <c r="X106" s="60">
        <v>3.6499999999999998E-2</v>
      </c>
      <c r="Y106" s="60">
        <v>3.6499999999999998E-2</v>
      </c>
      <c r="Z106" s="60">
        <v>3.6499999999999998E-2</v>
      </c>
    </row>
    <row r="107" spans="1:26" ht="15" hidden="1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593" t="s">
        <v>170</v>
      </c>
      <c r="K107" s="593"/>
      <c r="L107" s="593"/>
      <c r="M107" s="593"/>
      <c r="N107" s="593"/>
      <c r="O107" s="593"/>
      <c r="P107" s="593"/>
      <c r="Q107" s="593"/>
      <c r="R107" s="58" t="s">
        <v>171</v>
      </c>
      <c r="S107" s="60">
        <f ca="1">IF(AND($J97&lt;&gt;$A$145,COUNTA(OFFSET(S100,1,0,6))&gt;0),$R$11*$R$10,0)</f>
        <v>0</v>
      </c>
      <c r="U107" s="594" t="s">
        <v>166</v>
      </c>
      <c r="V107" s="594"/>
      <c r="W107" s="594"/>
      <c r="X107" s="60">
        <v>0</v>
      </c>
      <c r="Y107" s="60">
        <v>2.5000000000000001E-2</v>
      </c>
      <c r="Z107" s="60">
        <v>0.05</v>
      </c>
    </row>
    <row r="108" spans="1:26" ht="15" hidden="1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593" t="s">
        <v>172</v>
      </c>
      <c r="K108" s="593"/>
      <c r="L108" s="593"/>
      <c r="M108" s="593"/>
      <c r="N108" s="593"/>
      <c r="O108" s="593"/>
      <c r="P108" s="593"/>
      <c r="Q108" s="593"/>
      <c r="R108" s="58" t="s">
        <v>173</v>
      </c>
      <c r="S108" s="60">
        <f ca="1">IF(BDI.Opcao&lt;&gt;"Desonerado",0,IF(AND($J97&lt;&gt;$A$145,COUNTA(OFFSET(S100,1,0,6))&gt;0),4.5%,0%))</f>
        <v>0</v>
      </c>
      <c r="U108" s="594" t="s">
        <v>166</v>
      </c>
      <c r="V108" s="594"/>
      <c r="W108" s="594"/>
      <c r="X108" s="61">
        <v>0</v>
      </c>
      <c r="Y108" s="61">
        <v>4.4999999999999998E-2</v>
      </c>
      <c r="Z108" s="61">
        <v>4.4999999999999998E-2</v>
      </c>
    </row>
    <row r="109" spans="1:26" ht="15" hidden="1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593" t="s">
        <v>174</v>
      </c>
      <c r="K109" s="593"/>
      <c r="L109" s="593"/>
      <c r="M109" s="593"/>
      <c r="N109" s="593"/>
      <c r="O109" s="593"/>
      <c r="P109" s="593"/>
      <c r="Q109" s="593"/>
      <c r="R109" s="62" t="s">
        <v>150</v>
      </c>
      <c r="S109" s="60">
        <f ca="1">IF($J97=$A$145,0,ROUND((((1+S101+S102+S103)*(1+S104)*(1+S105)/(1-(S106+S107)))-1),4))</f>
        <v>0</v>
      </c>
      <c r="U109" s="590" t="e">
        <f ca="1">IF(OR($J$17=$A$146,$J$17=$A$145,AND(S109&gt;=X109,S109&lt;=Z109)),"OK","FORA DO INTERVALO")</f>
        <v>#N/A</v>
      </c>
      <c r="V109" s="590"/>
      <c r="W109" s="590"/>
      <c r="X109" s="60" t="e">
        <f>IF($J97=$A$145,0,VLOOKUP(CONCATENATE($J97,"-",$R109),$C$2:$G$136,3,FALSE))</f>
        <v>#N/A</v>
      </c>
      <c r="Y109" s="60" t="e">
        <f>IF($J97=$A$145,0,VLOOKUP(CONCATENATE($J97,"-",$R109),$C$2:$G$136,4,FALSE))</f>
        <v>#N/A</v>
      </c>
      <c r="Z109" s="60" t="e">
        <f>IF($J97=$A$145,0,VLOOKUP(CONCATENATE($J97,"-",$R109),$C$2:$G$136,5,FALSE))</f>
        <v>#N/A</v>
      </c>
    </row>
    <row r="110" spans="1:26" ht="15" hidden="1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597" t="s">
        <v>175</v>
      </c>
      <c r="K110" s="597"/>
      <c r="L110" s="597"/>
      <c r="M110" s="597"/>
      <c r="N110" s="597"/>
      <c r="O110" s="597"/>
      <c r="P110" s="597"/>
      <c r="Q110" s="597"/>
      <c r="R110" s="63" t="s">
        <v>176</v>
      </c>
      <c r="S110" s="64">
        <f ca="1">IF($J97=$A$145,0,ROUND((((1+S101+S102+S103)*(1+S104)*(1+S105)/(1-(S106+S107+S108)))-1),4))</f>
        <v>0</v>
      </c>
    </row>
    <row r="111" spans="1:26" ht="25.5" hidden="1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hidden="1" x14ac:dyDescent="0.2">
      <c r="A112"/>
      <c r="B112"/>
      <c r="C112"/>
      <c r="D112"/>
      <c r="E112"/>
      <c r="F112"/>
      <c r="G112"/>
      <c r="I112" t="str">
        <f t="shared" ca="1" si="2"/>
        <v/>
      </c>
      <c r="J112" s="65" t="e">
        <f ca="1">IF(U109&lt;&gt;"ok","X","")</f>
        <v>#N/A</v>
      </c>
      <c r="K112" s="598" t="e">
        <f ca="1">IF(U109&lt;&gt;"ok","Anexo: Relatório Técnico Circunstanciado justificando a adoção do percentual de cada parcela do BDI.","")</f>
        <v>#N/A</v>
      </c>
      <c r="L112" s="598"/>
      <c r="M112" s="598"/>
      <c r="N112" s="598"/>
      <c r="O112" s="598"/>
      <c r="P112" s="598"/>
      <c r="Q112" s="598"/>
      <c r="R112" s="598"/>
      <c r="S112" s="598"/>
    </row>
    <row r="113" spans="1:19" hidden="1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hidden="1" x14ac:dyDescent="0.2">
      <c r="A114"/>
      <c r="B114"/>
      <c r="C114"/>
      <c r="D114"/>
      <c r="E114"/>
      <c r="F114"/>
      <c r="G114"/>
      <c r="I114" t="str">
        <f t="shared" ca="1" si="2"/>
        <v/>
      </c>
      <c r="J114" s="599" t="s">
        <v>178</v>
      </c>
      <c r="K114" s="599"/>
      <c r="L114" s="599"/>
      <c r="M114" s="599"/>
      <c r="N114" s="599"/>
      <c r="O114" s="599"/>
      <c r="P114" s="599"/>
      <c r="Q114" s="599"/>
      <c r="R114" s="599"/>
      <c r="S114" s="599"/>
    </row>
    <row r="115" spans="1:19" ht="15.75" hidden="1" x14ac:dyDescent="0.25">
      <c r="A115"/>
      <c r="B115"/>
      <c r="C115"/>
      <c r="D115"/>
      <c r="E115"/>
      <c r="F115"/>
      <c r="G115"/>
      <c r="I115" t="str">
        <f t="shared" ca="1" si="2"/>
        <v/>
      </c>
      <c r="J115" s="66"/>
      <c r="K115" s="66"/>
      <c r="L115" s="66"/>
      <c r="M115" s="600" t="s">
        <v>179</v>
      </c>
      <c r="N115" s="606" t="str">
        <f>IF($J97=$A$146,"(1+K1+K2)*(1+K3)","(1+AC + S + R + G)*(1 + DF)*(1+L)")</f>
        <v>(1+AC + S + R + G)*(1 + DF)*(1+L)</v>
      </c>
      <c r="O115" s="606"/>
      <c r="P115" s="606"/>
      <c r="Q115" s="607" t="s">
        <v>180</v>
      </c>
      <c r="R115" s="66"/>
      <c r="S115" s="66"/>
    </row>
    <row r="116" spans="1:19" ht="15.75" hidden="1" x14ac:dyDescent="0.2">
      <c r="A116"/>
      <c r="B116"/>
      <c r="C116"/>
      <c r="D116"/>
      <c r="E116"/>
      <c r="F116"/>
      <c r="G116"/>
      <c r="I116" t="str">
        <f t="shared" ca="1" si="2"/>
        <v/>
      </c>
      <c r="J116" s="66"/>
      <c r="K116" s="66"/>
      <c r="L116" s="66"/>
      <c r="M116" s="600"/>
      <c r="N116" s="595" t="s">
        <v>181</v>
      </c>
      <c r="O116" s="595"/>
      <c r="P116" s="595"/>
      <c r="Q116" s="607"/>
      <c r="R116" s="66"/>
      <c r="S116" s="66"/>
    </row>
    <row r="117" spans="1:19" ht="15" hidden="1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66"/>
      <c r="K117" s="66"/>
      <c r="L117" s="66"/>
      <c r="M117" s="67"/>
      <c r="N117" s="69"/>
      <c r="O117" s="69"/>
      <c r="P117" s="69"/>
      <c r="Q117" s="68"/>
      <c r="R117" s="66"/>
      <c r="S117" s="66"/>
    </row>
    <row r="118" spans="1:19" ht="50.1" hidden="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3%.</v>
      </c>
      <c r="K118" s="596"/>
      <c r="L118" s="596"/>
      <c r="M118" s="596"/>
      <c r="N118" s="596"/>
      <c r="O118" s="596"/>
      <c r="P118" s="596"/>
      <c r="Q118" s="596"/>
      <c r="R118" s="596"/>
      <c r="S118" s="596"/>
    </row>
    <row r="119" spans="1:19" hidden="1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hidden="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596"/>
      <c r="L120" s="596"/>
      <c r="M120" s="596"/>
      <c r="N120" s="596"/>
      <c r="O120" s="596"/>
      <c r="P120" s="596"/>
      <c r="Q120" s="596"/>
      <c r="R120" s="596"/>
      <c r="S120" s="596"/>
    </row>
    <row r="121" spans="1:19" hidden="1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hidden="1" x14ac:dyDescent="0.2">
      <c r="A122"/>
      <c r="B122"/>
      <c r="C122"/>
      <c r="D122"/>
      <c r="E122"/>
      <c r="F122"/>
      <c r="G122"/>
      <c r="I122" t="str">
        <f t="shared" ca="1" si="2"/>
        <v/>
      </c>
      <c r="J122" s="47" t="s">
        <v>187</v>
      </c>
    </row>
    <row r="123" spans="1:19" ht="110.1" hidden="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</row>
    <row r="124" spans="1:19" hidden="1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hidden="1" x14ac:dyDescent="0.2">
      <c r="A125"/>
      <c r="B125"/>
      <c r="C125"/>
      <c r="D125"/>
      <c r="E125"/>
      <c r="F125"/>
      <c r="G125"/>
      <c r="I125" t="str">
        <f t="shared" ca="1" si="2"/>
        <v/>
      </c>
      <c r="J125" s="602" t="str">
        <f>Import.Município</f>
        <v>LAGES/SC</v>
      </c>
      <c r="K125" s="602"/>
      <c r="L125" s="602"/>
      <c r="M125" s="602"/>
      <c r="P125" s="603">
        <f ca="1">DADOS!$F$25</f>
        <v>45639</v>
      </c>
      <c r="Q125" s="603"/>
      <c r="R125" s="603"/>
      <c r="S125" s="603"/>
    </row>
    <row r="126" spans="1:19" hidden="1" x14ac:dyDescent="0.2">
      <c r="A126"/>
      <c r="B126"/>
      <c r="C126"/>
      <c r="D126"/>
      <c r="E126"/>
      <c r="F126"/>
      <c r="G126"/>
      <c r="I126" t="str">
        <f t="shared" ca="1" si="2"/>
        <v/>
      </c>
      <c r="J126" s="604" t="s">
        <v>188</v>
      </c>
      <c r="K126" s="604"/>
      <c r="L126" s="604"/>
      <c r="M126" s="604"/>
      <c r="O126" s="71"/>
      <c r="P126" s="72" t="s">
        <v>189</v>
      </c>
      <c r="Q126" s="73"/>
      <c r="R126" s="73"/>
      <c r="S126" s="73"/>
    </row>
    <row r="127" spans="1:19" ht="30" hidden="1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hidden="1" x14ac:dyDescent="0.2">
      <c r="A128"/>
      <c r="B128"/>
      <c r="C128"/>
      <c r="D128"/>
      <c r="E128"/>
      <c r="F128"/>
      <c r="G128"/>
      <c r="I128" t="str">
        <f t="shared" ca="1" si="2"/>
        <v/>
      </c>
      <c r="J128" s="605"/>
      <c r="K128" s="605"/>
      <c r="L128" s="605"/>
      <c r="M128" s="605"/>
      <c r="N128" s="74"/>
    </row>
    <row r="129" spans="1:14" hidden="1" x14ac:dyDescent="0.2">
      <c r="A129"/>
      <c r="B129"/>
      <c r="C129"/>
      <c r="D129"/>
      <c r="E129"/>
      <c r="F129"/>
      <c r="G129"/>
      <c r="I129" t="str">
        <f t="shared" ca="1" si="2"/>
        <v/>
      </c>
      <c r="J129" s="601" t="s">
        <v>190</v>
      </c>
      <c r="K129" s="601"/>
      <c r="L129" s="601"/>
      <c r="M129" s="601"/>
    </row>
    <row r="130" spans="1:14" ht="14.25" hidden="1" x14ac:dyDescent="0.2">
      <c r="A130"/>
      <c r="B130"/>
      <c r="C130"/>
      <c r="D130"/>
      <c r="E130"/>
      <c r="F130"/>
      <c r="G130"/>
      <c r="I130" t="str">
        <f t="shared" ca="1" si="2"/>
        <v/>
      </c>
      <c r="J130" s="75" t="s">
        <v>108</v>
      </c>
      <c r="K130" s="76" t="str">
        <f t="array" ref="K130:K132">Import.RespOrçamento</f>
        <v>RODRIGO FAGUNDES DE ALMEIDA</v>
      </c>
      <c r="L130" s="77"/>
      <c r="M130" s="77"/>
      <c r="N130" s="74"/>
    </row>
    <row r="131" spans="1:14" ht="14.25" hidden="1" x14ac:dyDescent="0.2">
      <c r="A131"/>
      <c r="B131"/>
      <c r="C131"/>
      <c r="D131"/>
      <c r="E131"/>
      <c r="F131"/>
      <c r="G131"/>
      <c r="I131" t="str">
        <f t="shared" ca="1" si="2"/>
        <v/>
      </c>
      <c r="J131" s="75" t="s">
        <v>109</v>
      </c>
      <c r="K131" s="76" t="str">
        <v>CREA/SC 147572-3</v>
      </c>
      <c r="L131" s="77"/>
      <c r="M131" s="77"/>
      <c r="N131" s="74"/>
    </row>
    <row r="132" spans="1:14" ht="14.25" hidden="1" x14ac:dyDescent="0.2">
      <c r="A132"/>
      <c r="B132"/>
      <c r="C132"/>
      <c r="D132"/>
      <c r="E132"/>
      <c r="F132"/>
      <c r="G132"/>
      <c r="I132" t="str">
        <f t="shared" ca="1" si="2"/>
        <v/>
      </c>
      <c r="J132" s="75" t="s">
        <v>110</v>
      </c>
      <c r="K132" s="76" t="str">
        <v>9360947-0</v>
      </c>
      <c r="L132" s="77"/>
      <c r="M132" s="77"/>
      <c r="N132" s="74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47" t="s">
        <v>409</v>
      </c>
    </row>
    <row r="139" spans="1:14" x14ac:dyDescent="0.2">
      <c r="A139" s="47" t="s">
        <v>141</v>
      </c>
    </row>
    <row r="140" spans="1:14" x14ac:dyDescent="0.2">
      <c r="A140" s="47" t="s">
        <v>152</v>
      </c>
    </row>
    <row r="141" spans="1:14" x14ac:dyDescent="0.2">
      <c r="A141" s="47" t="s">
        <v>155</v>
      </c>
    </row>
    <row r="142" spans="1:14" x14ac:dyDescent="0.2">
      <c r="A142" s="47" t="s">
        <v>165</v>
      </c>
    </row>
    <row r="143" spans="1:14" x14ac:dyDescent="0.2">
      <c r="A143" s="47" t="s">
        <v>167</v>
      </c>
    </row>
    <row r="144" spans="1:14" x14ac:dyDescent="0.2">
      <c r="A144" s="47" t="s">
        <v>177</v>
      </c>
    </row>
    <row r="145" spans="1:1" x14ac:dyDescent="0.2">
      <c r="A145" s="47" t="s">
        <v>182</v>
      </c>
    </row>
    <row r="146" spans="1:1" x14ac:dyDescent="0.2">
      <c r="A146" s="47" t="s">
        <v>183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>
    <filterColumn colId="0">
      <customFilters>
        <customFilter operator="notEqual" val=" "/>
      </customFilters>
    </filterColumn>
  </autoFilter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8" type="noConversion"/>
  <conditionalFormatting sqref="J30:S30 J70:S70 J110:S110">
    <cfRule type="expression" dxfId="450" priority="2" stopIfTrue="1">
      <formula>DESONERACAO="não"</formula>
    </cfRule>
  </conditionalFormatting>
  <conditionalFormatting sqref="U29:W29 U69:W69 U109:W109">
    <cfRule type="expression" dxfId="449" priority="3" stopIfTrue="1">
      <formula>AND(U29&lt;&gt;"OK",U29&lt;&gt;"-",U29&lt;&gt;"")</formula>
    </cfRule>
    <cfRule type="cellIs" dxfId="448" priority="4" stopIfTrue="1" operator="equal">
      <formula>"OK"</formula>
    </cfRule>
  </conditionalFormatting>
  <conditionalFormatting sqref="S29 S69 S109">
    <cfRule type="expression" dxfId="447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pageSetUpPr fitToPage="1"/>
  </sheetPr>
  <dimension ref="A1:AN137"/>
  <sheetViews>
    <sheetView showGridLines="0" zoomScale="70" zoomScaleNormal="70" zoomScaleSheetLayoutView="90" workbookViewId="0">
      <pane xSplit="19" ySplit="15" topLeftCell="T46" activePane="bottomRight" state="frozen"/>
      <selection activeCell="L1" sqref="L1"/>
      <selection pane="topRight" activeCell="T1" sqref="T1"/>
      <selection pane="bottomLeft" activeCell="L16" sqref="L16"/>
      <selection pane="bottomRight" activeCell="U118" sqref="U118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18" x14ac:dyDescent="0.2">
      <c r="M1" s="79"/>
      <c r="N1" s="79"/>
      <c r="R1" s="80" t="s">
        <v>193</v>
      </c>
      <c r="T1" s="80"/>
      <c r="X1" s="50" t="s">
        <v>140</v>
      </c>
      <c r="Y1" s="7"/>
      <c r="Z1" s="7"/>
      <c r="AA1" s="7"/>
      <c r="AB1" s="7"/>
    </row>
    <row r="2" spans="1:40" ht="15" x14ac:dyDescent="0.2"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R2" s="81" t="str">
        <f>IF(TIPOORCAMENTO="licitado","Orçamento Licitado","Orçamento Base para Licitação")&amp;" - "&amp;import.recurso</f>
        <v>Orçamento Base para Licitação - (SELECIONAR)</v>
      </c>
      <c r="X2" s="12" t="s">
        <v>143</v>
      </c>
      <c r="Y2" s="82"/>
      <c r="Z2" s="82"/>
      <c r="AA2" s="82"/>
      <c r="AB2" s="82"/>
    </row>
    <row r="3" spans="1:40" x14ac:dyDescent="0.2">
      <c r="H3" s="83"/>
      <c r="R3" s="84"/>
    </row>
    <row r="4" spans="1:40" x14ac:dyDescent="0.2">
      <c r="A4" t="s">
        <v>201</v>
      </c>
      <c r="F4" t="s">
        <v>156</v>
      </c>
      <c r="G4" t="s">
        <v>191</v>
      </c>
      <c r="H4" t="s">
        <v>192</v>
      </c>
      <c r="I4" s="85">
        <v>0</v>
      </c>
      <c r="O4" s="583" t="s">
        <v>146</v>
      </c>
      <c r="P4" s="583"/>
      <c r="Q4" s="86" t="s">
        <v>443</v>
      </c>
      <c r="R4" s="86" t="s">
        <v>147</v>
      </c>
      <c r="S4" s="583" t="s">
        <v>202</v>
      </c>
      <c r="T4" s="583"/>
      <c r="U4" s="583"/>
      <c r="V4" s="583"/>
      <c r="W4" s="583"/>
      <c r="X4" s="583"/>
      <c r="Y4" s="75"/>
      <c r="Z4" s="75"/>
      <c r="AA4" s="75"/>
      <c r="AB4" s="75"/>
    </row>
    <row r="5" spans="1:40" ht="12.75" customHeight="1" x14ac:dyDescent="0.2">
      <c r="A5" s="7">
        <f ca="1">MAX($C$15:$C$120)</f>
        <v>2</v>
      </c>
      <c r="B5" s="7"/>
      <c r="C5" s="7"/>
      <c r="F5" s="85">
        <f ca="1">IF(BDI.Opcao="DESONERADO",BDI!$S$30,BDI!$S$29)</f>
        <v>0.20710000000000001</v>
      </c>
      <c r="G5" s="85">
        <f ca="1">IF(BDI.Opcao="DESONERADO",BDI!$S$70,BDI!$S$69)</f>
        <v>0</v>
      </c>
      <c r="H5" s="85">
        <f ca="1">IF(BDI.Opcao="DESONERADO",BDI!$S$110,BDI!$S$109)</f>
        <v>0</v>
      </c>
      <c r="O5" s="580">
        <f>Import.CR</f>
        <v>0</v>
      </c>
      <c r="P5" s="580"/>
      <c r="Q5" s="89" cm="1">
        <f t="array" ref="Q5">Import.TransfereGOV</f>
        <v>0</v>
      </c>
      <c r="R5" s="90" t="str">
        <f>Import.Proponente</f>
        <v>PREFEITURA MUNICIPAL DE LAGES</v>
      </c>
      <c r="S5" s="580" t="str">
        <f>Import.Apelido</f>
        <v>VESTIÁRIOS CAMPO SANTA HELENA</v>
      </c>
      <c r="T5" s="580"/>
      <c r="U5" s="580"/>
      <c r="V5" s="580"/>
      <c r="W5" s="580"/>
      <c r="X5" s="580"/>
      <c r="Y5" s="91"/>
      <c r="Z5" s="91"/>
      <c r="AA5" s="91"/>
      <c r="AB5" s="91"/>
      <c r="AE5" s="619" t="s">
        <v>200</v>
      </c>
      <c r="AF5" s="619"/>
    </row>
    <row r="6" spans="1:40" ht="5.0999999999999996" customHeight="1" x14ac:dyDescent="0.2">
      <c r="A6" s="7"/>
      <c r="B6" s="7"/>
      <c r="C6" s="7"/>
      <c r="H6" s="83"/>
      <c r="O6" s="92"/>
      <c r="P6" s="92"/>
      <c r="Q6" s="93"/>
      <c r="R6" s="93"/>
      <c r="S6" s="92"/>
      <c r="T6" s="92"/>
      <c r="U6" s="92"/>
      <c r="V6" s="92"/>
      <c r="W6" s="92"/>
      <c r="X6" s="92"/>
      <c r="Y6" s="91"/>
      <c r="Z6" s="91"/>
      <c r="AA6" s="91"/>
      <c r="AB6" s="91"/>
      <c r="AC6" s="94"/>
      <c r="AE6" s="87"/>
      <c r="AF6" s="88"/>
    </row>
    <row r="7" spans="1:40" ht="12.75" customHeight="1" x14ac:dyDescent="0.2">
      <c r="H7" s="83"/>
      <c r="O7" s="583" t="s">
        <v>204</v>
      </c>
      <c r="P7" s="583"/>
      <c r="Q7" s="86" t="s">
        <v>205</v>
      </c>
      <c r="R7" s="86" t="str">
        <f>IF(TIPOORCAMENTO="Licitado","NOME DA EMPRESA","DESCRIÇÃO DO LOTE")</f>
        <v>DESCRIÇÃO DO LOTE</v>
      </c>
      <c r="S7" s="620" t="str">
        <f>IF(TIPOORCAMENTO="Licitado","REGIME DE EXECUÇÃO","MUNICÍPIO / UF")</f>
        <v>MUNICÍPIO / UF</v>
      </c>
      <c r="T7" s="620"/>
      <c r="U7" s="620"/>
      <c r="V7" s="96" t="str">
        <f>IF(TIPOORCAMENTO="Licitado","","BDI 1")</f>
        <v>BDI 1</v>
      </c>
      <c r="W7" s="96" t="str">
        <f>IF(TIPOORCAMENTO="Licitado","","BDI 2")</f>
        <v>BDI 2</v>
      </c>
      <c r="X7" s="97" t="str">
        <f>IF(TIPOORCAMENTO="Licitado","Nº CTEF","BDI 3")</f>
        <v>BDI 3</v>
      </c>
      <c r="Y7" s="96"/>
      <c r="Z7" s="96"/>
      <c r="AE7" s="87" t="s">
        <v>203</v>
      </c>
      <c r="AF7" s="88" t="b">
        <v>1</v>
      </c>
      <c r="AJ7" s="623" t="s">
        <v>207</v>
      </c>
      <c r="AL7" s="621" t="s">
        <v>208</v>
      </c>
    </row>
    <row r="8" spans="1:40" ht="12.75" customHeight="1" x14ac:dyDescent="0.2">
      <c r="A8" s="7"/>
      <c r="B8" s="7"/>
      <c r="C8" s="7"/>
      <c r="F8" s="617" t="str">
        <f ca="1">IF(LEN(INFO("release"))&gt;5,"'Referência "&amp;Excel_BuiltIn_Database&amp;".xlsm'#Banco.$a5:$a$65536","'[Referência "&amp;Excel_BuiltIn_Database&amp;".xlsm]Banco'!$a5:$a$65536")</f>
        <v>'[Referência 10-2024.xlsm]Banco'!$a5:$a$65536</v>
      </c>
      <c r="G8" s="617"/>
      <c r="H8" s="617"/>
      <c r="I8" s="617"/>
      <c r="J8" s="617"/>
      <c r="K8" s="617"/>
      <c r="L8" s="609" t="s">
        <v>209</v>
      </c>
      <c r="O8" s="580" t="str">
        <f ca="1">IF(ISERROR(INDIRECT($F$9)),"(N/D: 'Referência "&amp;Excel_BuiltIn_Database&amp;".xlsm)",INDIRECT($F$9))</f>
        <v>(N/D: 'Referência 10-2024.xlsm)</v>
      </c>
      <c r="P8" s="580"/>
      <c r="Q8" s="98" t="str">
        <f ca="1">TEXT(Import.DataBase,"mm-aa")&amp;IF(DESONERACAO="Sim"," (DES.)"," (N DES.)")</f>
        <v>10-24 (N DES.)</v>
      </c>
      <c r="R8" s="90" t="str">
        <f>IF(TIPOORCAMENTO="Licitado",Import.empresa,Import.DescLote)</f>
        <v>IMPLANTAÇÃO DE VESTIÁRIOS</v>
      </c>
      <c r="S8" s="618" t="str">
        <f>IF(TIPOORCAMENTO="Licitado",Import.RegimeExecução,Import.Município)</f>
        <v>LAGES/SC</v>
      </c>
      <c r="T8" s="618"/>
      <c r="U8" s="618"/>
      <c r="V8" s="99" t="str">
        <f ca="1">IF(TIPOORCAMENTO="Licitado","",TEXT(F5,"0,00%"))</f>
        <v>20,71%</v>
      </c>
      <c r="W8" s="99" t="str">
        <f ca="1">IF(TIPOORCAMENTO="Licitado","",TEXT(G5,"0,00%"))</f>
        <v>0,00%</v>
      </c>
      <c r="X8" s="100" t="str">
        <f ca="1">IF(TIPOORCAMENTO="Licitado",Import.CTEF,TEXT(H5,"0,00%"))</f>
        <v>0,00%</v>
      </c>
      <c r="Y8" s="609" t="s">
        <v>210</v>
      </c>
      <c r="Z8" s="609" t="s">
        <v>211</v>
      </c>
      <c r="AA8" s="101"/>
      <c r="AB8" s="101"/>
      <c r="AE8" s="87" t="s">
        <v>206</v>
      </c>
      <c r="AF8" s="88" t="b">
        <v>1</v>
      </c>
      <c r="AJ8" s="623"/>
      <c r="AL8" s="621"/>
    </row>
    <row r="9" spans="1:40" ht="12.75" customHeight="1" x14ac:dyDescent="0.2">
      <c r="F9" s="617" t="str">
        <f ca="1">IF(LEN(INFO("release"))&gt;5,"'Referência "&amp;Excel_BuiltIn_Database&amp;".xlsm'#Banco.$d$3","'[Referência "&amp;Excel_BuiltIn_Database&amp;".xlsm]Banco'!$d$3")</f>
        <v>'[Referência 10-2024.xlsm]Banco'!$d$3</v>
      </c>
      <c r="G9" s="617"/>
      <c r="H9" s="617"/>
      <c r="I9" s="617"/>
      <c r="J9" s="617"/>
      <c r="K9" s="617"/>
      <c r="L9" s="609"/>
      <c r="Y9" s="609"/>
      <c r="Z9" s="609"/>
      <c r="AE9" s="87" t="s">
        <v>212</v>
      </c>
      <c r="AF9" s="88" t="b">
        <v>1</v>
      </c>
      <c r="AJ9" s="623"/>
      <c r="AL9" s="621"/>
    </row>
    <row r="10" spans="1:40" x14ac:dyDescent="0.2">
      <c r="G10" s="83"/>
      <c r="H10" s="83"/>
      <c r="L10" s="609"/>
      <c r="Y10" s="609"/>
      <c r="Z10" s="609"/>
      <c r="AC10" s="102" t="s">
        <v>214</v>
      </c>
      <c r="AE10" s="87" t="s">
        <v>213</v>
      </c>
      <c r="AF10" s="88" t="b">
        <v>1</v>
      </c>
      <c r="AJ10" s="623"/>
      <c r="AL10" s="621"/>
    </row>
    <row r="11" spans="1:40" x14ac:dyDescent="0.2">
      <c r="G11" s="83"/>
      <c r="H11" s="103"/>
      <c r="L11" s="609"/>
      <c r="Y11" s="609"/>
      <c r="Z11" s="609"/>
      <c r="AC11" s="104" t="str">
        <f ca="1">IF(COUNTIF($AC$15:OFFSET($AC$120,-1,0),"DESCRIÇÃO")+COUNTIF($AC$15:OFFSET($AC$120,-1,0),"UNIDADE")+COUNTIF($AC$15:OFFSET($AC$120,-1,0),"SEM VALOR")&gt;0,"NÃO OK","OK")</f>
        <v>OK</v>
      </c>
      <c r="AE11" s="87" t="s">
        <v>215</v>
      </c>
      <c r="AF11" s="88" t="b">
        <v>1</v>
      </c>
      <c r="AJ11" s="623"/>
      <c r="AL11" s="621"/>
    </row>
    <row r="12" spans="1:40" x14ac:dyDescent="0.2">
      <c r="G12" s="83"/>
      <c r="H12" s="83"/>
      <c r="L12" s="609"/>
      <c r="Y12" s="609"/>
      <c r="Z12" s="609"/>
      <c r="AA12" s="622" t="s">
        <v>216</v>
      </c>
      <c r="AB12" s="622"/>
      <c r="AJ12" s="105" t="s">
        <v>217</v>
      </c>
      <c r="AL12" s="548" t="s">
        <v>217</v>
      </c>
    </row>
    <row r="13" spans="1:40" ht="35.1" customHeight="1" x14ac:dyDescent="0.2">
      <c r="A13" s="106" t="s">
        <v>218</v>
      </c>
      <c r="B13" s="106" t="s">
        <v>219</v>
      </c>
      <c r="C13" s="106" t="s">
        <v>220</v>
      </c>
      <c r="D13" s="106" t="s">
        <v>221</v>
      </c>
      <c r="E13" s="106" t="s">
        <v>222</v>
      </c>
      <c r="F13" s="106" t="s">
        <v>223</v>
      </c>
      <c r="G13" s="106" t="s">
        <v>224</v>
      </c>
      <c r="H13" s="106" t="s">
        <v>225</v>
      </c>
      <c r="I13" s="106" t="s">
        <v>226</v>
      </c>
      <c r="J13" s="106" t="s">
        <v>227</v>
      </c>
      <c r="K13" s="106" t="s">
        <v>228</v>
      </c>
      <c r="L13" s="105" t="s">
        <v>217</v>
      </c>
      <c r="M13" s="106" t="s">
        <v>229</v>
      </c>
      <c r="N13" s="107" t="s">
        <v>230</v>
      </c>
      <c r="O13" s="106" t="s">
        <v>231</v>
      </c>
      <c r="P13" s="106" t="s">
        <v>232</v>
      </c>
      <c r="Q13" s="106" t="s">
        <v>233</v>
      </c>
      <c r="R13" s="106" t="s">
        <v>234</v>
      </c>
      <c r="S13" s="108" t="s">
        <v>235</v>
      </c>
      <c r="T13" s="106" t="s">
        <v>203</v>
      </c>
      <c r="U13" s="106" t="str">
        <f>IF(TIPOORCAMENTO="Licitado","","Custo Unitário (sem BDI) (R$)")</f>
        <v>Custo Unitário (sem BDI) (R$)</v>
      </c>
      <c r="V13" s="106" t="str">
        <f>IF(TIPOORCAMENTO="Licitado","","BDI
(%)")</f>
        <v>BDI
(%)</v>
      </c>
      <c r="W13" s="106" t="s">
        <v>236</v>
      </c>
      <c r="X13" s="106" t="s">
        <v>237</v>
      </c>
      <c r="Y13" s="105" t="s">
        <v>217</v>
      </c>
      <c r="Z13" s="105" t="s">
        <v>217</v>
      </c>
      <c r="AA13" s="109" t="s">
        <v>238</v>
      </c>
      <c r="AB13" s="110" t="s">
        <v>239</v>
      </c>
      <c r="AC13" s="106" t="s">
        <v>240</v>
      </c>
      <c r="AD13" s="111" t="s">
        <v>241</v>
      </c>
      <c r="AE13" s="111" t="s">
        <v>242</v>
      </c>
      <c r="AF13" s="111" t="s">
        <v>243</v>
      </c>
      <c r="AG13" s="165" t="s">
        <v>418</v>
      </c>
      <c r="AH13" s="494" t="str">
        <f>IF(TIPOORCAMENTO="LICITADO","Valor BDI Edital","Valor BDI")</f>
        <v>Valor BDI</v>
      </c>
      <c r="AJ13" s="334" t="s">
        <v>203</v>
      </c>
      <c r="AL13" s="334" t="s">
        <v>236</v>
      </c>
      <c r="AM13" s="165" t="s">
        <v>244</v>
      </c>
      <c r="AN13" s="166" t="s">
        <v>414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IF(OR($C14="S",$C14=0),0,MATCH(0,OFFSET($D14,1,$C14,ROW($C$120)-ROW($C14)),0))</f>
        <v>0</v>
      </c>
      <c r="K14">
        <f ca="1">IF(OR($C14="S",$C14=0),0,MATCH(OFFSET($D14,0,$C14)+IF($C14&lt;&gt;1,1,COUNTIF(QCI!$A$13:$A$24,ORÇAMENTO!E14)),OFFSET($D14,1,$C14,ROW($C$120)-ROW($C14)),0))</f>
        <v>0</v>
      </c>
      <c r="L14" s="113" t="str">
        <f ca="1">IF(OR($X14&gt;0,$C14=1,$C14=2,$C14=3,$C14=4),"F","")</f>
        <v/>
      </c>
      <c r="M14" s="114" t="s">
        <v>199</v>
      </c>
      <c r="N14" s="115" t="str">
        <f ca="1">CHOOSE(1+LOG(1+2*(C14=1)+4*(C14=2)+8*(C14=3)+16*(C14=4)+32*(C14="S"),2),"","Meta","Nível 2","Nível 3","Nível 4","Serviço")</f>
        <v>Serviço</v>
      </c>
      <c r="O14" s="116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17" t="s">
        <v>247</v>
      </c>
      <c r="Q14" s="118"/>
      <c r="R14" s="119" t="str">
        <f ca="1">IF($C14="S",REFERENCIA.Descricao,"(digite a descrição aqui)")</f>
        <v>(abra o arquivo 'Referência 10-2024.xlsm)</v>
      </c>
      <c r="S14" s="120" t="str">
        <f ca="1">REFERENCIA.Unidade</f>
        <v>-</v>
      </c>
      <c r="T14" s="121">
        <f ca="1">OFFSET(CÁLCULO!H$15,ROW($T14)-ROW(T$15),0)</f>
        <v>0</v>
      </c>
      <c r="U14" s="122"/>
      <c r="V14" s="123" t="s">
        <v>156</v>
      </c>
      <c r="W14" s="121">
        <f ca="1">IF($C14="S",ROUND(IF(TIPOORCAMENTO="Proposto",ORÇAMENTO.CustoUnitario*(1+$AH14),ORÇAMENTO.PrecoUnitarioLicitado),15-13*$AF$10),0)</f>
        <v>0</v>
      </c>
      <c r="X14" s="124">
        <f ca="1">IF($C14="S",IF(Import.TipoArredondamento&lt;&gt;"TransfereGOV",VTOTAL1,SUM(OFFSET(CÁLCULO!$AA$15,ROW($X14)-ROW($X$15),1):OFFSET(CÁLCULO!$AL$15,ROW($X14)-ROW($X$15),-1))),IF($C14=0,0,ROUND(SomaAgrup,15-13*$AF$11)))</f>
        <v>0</v>
      </c>
      <c r="Y14" s="125" t="s">
        <v>245</v>
      </c>
      <c r="Z14" t="str">
        <f ca="1">IF(AND($C14="S",$X14&gt;0),IF(ISBLANK($Y14),"RA",LEFT($Y14,2)),"")</f>
        <v/>
      </c>
      <c r="AA14" s="126">
        <f ca="1">IF($C14="S",IF($Z14="CP",$X14,IF($Z14="RA",(($X14)*QCI!$AA$3),0)),SomaAgrup)</f>
        <v>0</v>
      </c>
      <c r="AB14" s="127">
        <f ca="1">IF($C14="S",IF($Z14="OU",ROUND($X14,2),0),SomaAgrup)</f>
        <v>0</v>
      </c>
      <c r="AC14" s="128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t="str">
        <f ca="1">IF(C14&lt;=CRONO.NivelExibicao,MAX($AD$15:OFFSET(AD14,-1,0))+IF($C14&lt;&gt;1,1,MAX(1,COUNTIF(QCI!$A$13:$A$24,OFFSET($E14,-1,0)))),"")</f>
        <v/>
      </c>
      <c r="AE14" s="7" t="b">
        <f ca="1">IF(AND($C14="S",ORÇAMENTO.CodBarra&lt;&gt;""),IF(ORÇAMENTO.Fonte="",ORÇAMENTO.CodBarra,CONCATENATE(ORÇAMENTO.Fonte," ",ORÇAMENTO.CodBarra)))</f>
        <v>0</v>
      </c>
      <c r="AF14" s="13" t="str">
        <f ca="1">IF(ISERROR(INDIRECT(ORÇAMENTO.BancoRef)),"(abra o arquivo 'Referência "&amp;Excel_BuiltIn_Database&amp;".xlsm)",IF(OR($C14&lt;&gt;"S",ORÇAMENTO.CodBarra=""),"(Sem Código)",IF(ISERROR(MATCH($AE14,INDIRECT(ORÇAMENTO.BancoRef),0)),"(Código não identificado nas referências)",MATCH($AE14,INDIRECT(ORÇAMENTO.BancoRef),0))))</f>
        <v>(abra o arquivo 'Referência 10-2024.xlsm)</v>
      </c>
      <c r="AG14" s="495">
        <f ca="1">ROUND(IF(DESONERACAO="sim",REFERENCIA.Desonerado,REFERENCIA.NaoDesonerado),2)</f>
        <v>0</v>
      </c>
      <c r="AH14" s="496">
        <f ca="1">ROUND(IF(ISNUMBER(ORÇAMENTO.OpcaoBDI),ORÇAMENTO.OpcaoBDI,IF(LEFT(ORÇAMENTO.OpcaoBDI,3)="BDI",HLOOKUP(ORÇAMENTO.OpcaoBDI,$F$4:$H$5,2,FALSE),0)),15-11*$AF$9)</f>
        <v>0.20710000000000001</v>
      </c>
      <c r="AJ14" s="498"/>
      <c r="AL14" s="524"/>
      <c r="AM14" s="378">
        <f t="shared" ref="AM14:AM93" ca="1" si="0">$X14</f>
        <v>0</v>
      </c>
      <c r="AN14" s="563">
        <f ca="1">ROUND(ORÇAMENTO.CustoUnitario*(1+$AH14),2)</f>
        <v>0</v>
      </c>
    </row>
    <row r="15" spans="1:40" x14ac:dyDescent="0.2">
      <c r="A15">
        <v>0</v>
      </c>
      <c r="C15" t="s">
        <v>149</v>
      </c>
      <c r="D15">
        <f ca="1">COUNTA(OFFSET(D15,1,0):D$120)</f>
        <v>104</v>
      </c>
      <c r="E15">
        <v>0</v>
      </c>
      <c r="L15" s="113" t="s">
        <v>246</v>
      </c>
      <c r="M15" s="129" t="str">
        <f>IF(TIPOORCAMENTO="LICITADO","CTEF","LOTE")</f>
        <v>LOTE</v>
      </c>
      <c r="N15" s="129" t="str">
        <f>IF(TIPOORCAMENTO="LICITADO","CTEF","LOTE")</f>
        <v>LOTE</v>
      </c>
      <c r="O15" s="611" t="str">
        <f>Import.DescLote</f>
        <v>IMPLANTAÇÃO DE VESTIÁRIOS</v>
      </c>
      <c r="P15" s="611"/>
      <c r="Q15" s="611"/>
      <c r="R15" s="611"/>
      <c r="S15" s="130"/>
      <c r="T15" s="131"/>
      <c r="U15" s="131"/>
      <c r="V15" s="132"/>
      <c r="W15" s="131"/>
      <c r="X15" s="133">
        <f ca="1">SUMIF(OFFSET($C15,1,0,ROW(X120)-ROW(X15)-1),"S",OFFSET(X15,1,0,ROW(X120)-ROW(X15)-1))</f>
        <v>0</v>
      </c>
      <c r="Y15" s="7"/>
      <c r="Z15" t="str">
        <f ca="1">IF(AND($C15="S",$X15&gt;0),LEFT($Y15,2),"")</f>
        <v/>
      </c>
      <c r="AA15" s="493">
        <f ca="1">SUMIF(OFFSET($C15,1,0,ROW(AA120)-ROW(AA15)-1),"S",OFFSET(AA15,1,0,ROW(AA120)-ROW(AA15)-1))</f>
        <v>0</v>
      </c>
      <c r="AB15" s="134">
        <f ca="1">SUMIF(OFFSET($C15,1,0,ROW(AB120)-ROW(AB15)-1),"S",OFFSET(AB15,1,0,ROW(AB120)-ROW(AB15)-1))</f>
        <v>0</v>
      </c>
      <c r="AC15" s="128"/>
      <c r="AG15" s="526"/>
      <c r="AH15" s="527"/>
      <c r="AJ15" s="497"/>
      <c r="AL15" s="525"/>
      <c r="AM15" s="564">
        <f t="shared" ca="1" si="0"/>
        <v>0</v>
      </c>
      <c r="AN15" s="565"/>
    </row>
    <row r="16" spans="1:40" x14ac:dyDescent="0.2">
      <c r="A16" t="str">
        <f t="shared" ref="A16:A91" si="1">CHOOSE(1+LOG(1+2*(ORÇAMENTO.Nivel="Meta")+4*(ORÇAMENTO.Nivel="Nível 2")+8*(ORÇAMENTO.Nivel="Nível 3")+16*(ORÇAMENTO.Nivel="Nível 4")+32*(ORÇAMENTO.Nivel="Serviço"),2),0,1,2,3,4,"S")</f>
        <v>S</v>
      </c>
      <c r="B16">
        <f t="shared" ref="B16:B91" ca="1" si="2">IF(OR(C16="s",C16=0),OFFSET(B16,-1,0),C16)</f>
        <v>1</v>
      </c>
      <c r="C16">
        <f t="shared" ref="C16:C91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91" ca="1" si="4">IF(OR(C16="S",C16=0),0,IF(ISERROR(K16),J16,SMALL(J16:K16,1)))</f>
        <v>104</v>
      </c>
      <c r="E16">
        <f ca="1">IF($C16=1,OFFSET(E16,-1,0)+MAX(1,COUNTIF(QCI!$A$13:$A$24,OFFSET(ORÇAMENTO!E16,-1,0))),OFFSET(E16,-1,0))</f>
        <v>1</v>
      </c>
      <c r="F16">
        <f t="shared" ref="F16:F91" ca="1" si="5">IF($C16=1,0,IF($C16=2,OFFSET(F16,-1,0)+1,OFFSET(F16,-1,0)))</f>
        <v>0</v>
      </c>
      <c r="G16">
        <f t="shared" ref="G16:G91" ca="1" si="6">IF(AND($C16&lt;=2,$C16&lt;&gt;0),0,IF($C16=3,OFFSET(G16,-1,0)+1,OFFSET(G16,-1,0)))</f>
        <v>0</v>
      </c>
      <c r="H16">
        <f t="shared" ref="H16:H91" ca="1" si="7">IF(AND($C16&lt;=3,$C16&lt;&gt;0),0,IF($C16=4,OFFSET(H16,-1,0)+1,OFFSET(H16,-1,0)))</f>
        <v>0</v>
      </c>
      <c r="I16">
        <f t="shared" ref="I16:I91" ca="1" si="8">IF(AND($C16&lt;=4,$C16&lt;&gt;0),0,IF(AND($C16="S",$X16&gt;0),OFFSET(I16,-1,0)+1,OFFSET(I16,-1,0)))</f>
        <v>0</v>
      </c>
      <c r="J16">
        <f t="shared" ref="J16:J47" ca="1" si="9">IF(OR($C16="S",$C16=0),0,MATCH(0,OFFSET($D16,1,$C16,ROW($C$120)-ROW($C16)),0))</f>
        <v>104</v>
      </c>
      <c r="K16" t="e">
        <f ca="1">IF(OR($C16="S",$C16=0),0,MATCH(OFFSET($D16,0,$C16)+IF($C16&lt;&gt;1,1,COUNTIF(QCI!$A$13:$A$24,ORÇAMENTO!E16)),OFFSET($D16,1,$C16,ROW($C$120)-ROW($C16)),0))</f>
        <v>#N/A</v>
      </c>
      <c r="L16" s="113" t="str">
        <f t="shared" ref="L16:L91" ca="1" si="10">IF(OR($X16&gt;0,$C16=1,$C16=2,$C16=3,$C16=4),"F","")</f>
        <v>F</v>
      </c>
      <c r="M16" s="114" t="s">
        <v>199</v>
      </c>
      <c r="N16" s="115" t="str">
        <f t="shared" ref="N16:N91" ca="1" si="11">CHOOSE(1+LOG(1+2*(C16=1)+4*(C16=2)+8*(C16=3)+16*(C16=4)+32*(C16="S"),2),"","Meta","Nível 2","Nível 3","Nível 4","Serviço")</f>
        <v>Meta</v>
      </c>
      <c r="O16" s="116" t="str">
        <f t="shared" ref="O16:O91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17" t="s">
        <v>247</v>
      </c>
      <c r="Q16" s="118"/>
      <c r="R16" s="119" t="s">
        <v>544</v>
      </c>
      <c r="S16" s="120" t="str">
        <f ca="1">REFERENCIA.Unidade</f>
        <v>-</v>
      </c>
      <c r="T16" s="121">
        <f ca="1">OFFSET(CÁLCULO!H$15,ROW($T16)-ROW(T$15),0)</f>
        <v>0</v>
      </c>
      <c r="U16" s="122"/>
      <c r="V16" s="123" t="s">
        <v>156</v>
      </c>
      <c r="W16" s="121">
        <f ca="1">IF($C16="S",ROUND(IF(TIPOORCAMENTO="Proposto",ORÇAMENTO.CustoUnitario*(1+$AH16),ORÇAMENTO.PrecoUnitarioLicitado),15-13*$AF$10),0)</f>
        <v>0</v>
      </c>
      <c r="X16" s="124">
        <f ca="1">IF($C16="S",IF(Import.TipoArredondamento&lt;&gt;"TransfereGOV",VTOTAL1,SUM(OFFSET(CÁLCULO!$AA$15,ROW($X16)-ROW($X$15),1):OFFSET(CÁLCULO!$AL$15,ROW($X16)-ROW($X$15),-1))),IF($C16=0,0,ROUND(SomaAgrup,15-13*$AF$11)))</f>
        <v>0</v>
      </c>
      <c r="Y16" s="125" t="s">
        <v>245</v>
      </c>
      <c r="Z16" t="str">
        <f t="shared" ref="Z16:Z91" ca="1" si="13">IF(AND($C16="S",$X16&gt;0),IF(ISBLANK($Y16),"RA",LEFT($Y16,2)),"")</f>
        <v/>
      </c>
      <c r="AA16" s="126">
        <f ca="1">IF($C16="S",IF($Z16="CP",$X16,IF($Z16="RA",(($X16)*QCI!$AA$3),0)),SomaAgrup)</f>
        <v>0</v>
      </c>
      <c r="AB16" s="127">
        <f t="shared" ref="AB16:AB91" ca="1" si="14">IF($C16="S",IF($Z16="OU",ROUND($X16,2),0),SomaAgrup)</f>
        <v>0</v>
      </c>
      <c r="AC16" s="128" t="str">
        <f ca="1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>
        <f ca="1">IF(C16&lt;=CRONO.NivelExibicao,MAX($AD$15:OFFSET(AD16,-1,0))+IF($C16&lt;&gt;1,1,MAX(1,COUNTIF(QCI!$A$13:$A$24,OFFSET($E16,-1,0)))),"")</f>
        <v>1</v>
      </c>
      <c r="AE16" s="7" t="b">
        <f ca="1">IF(AND($C16="S",ORÇAMENTO.CodBarra&lt;&gt;""),IF(ORÇAMENTO.Fonte="",ORÇAMENTO.CodBarra,CONCATENATE(ORÇAMENTO.Fonte," ",ORÇAMENTO.CodBarra)))</f>
        <v>0</v>
      </c>
      <c r="AF16" s="13" t="str">
        <f ca="1">IF(ISERROR(INDIRECT(ORÇAMENTO.BancoRef)),"(abra o arquivo 'Referência "&amp;Excel_BuiltIn_Database&amp;".xlsm)",IF(OR($C16&lt;&gt;"S",ORÇAMENTO.CodBarra=""),"(Sem Código)",IF(ISERROR(MATCH($AE16,INDIRECT(ORÇAMENTO.BancoRef),0)),"(Código não identificado nas referências)",MATCH($AE16,INDIRECT(ORÇAMENTO.BancoRef),0))))</f>
        <v>(abra o arquivo 'Referência 10-2024.xlsm)</v>
      </c>
      <c r="AG16" s="495">
        <f ca="1">ROUND(IF(DESONERACAO="sim",REFERENCIA.Desonerado,REFERENCIA.NaoDesonerado),2)</f>
        <v>0</v>
      </c>
      <c r="AH16" s="496">
        <f t="shared" ref="AH16:AH91" ca="1" si="15">ROUND(IF(ISNUMBER(ORÇAMENTO.OpcaoBDI),ORÇAMENTO.OpcaoBDI,IF(LEFT(ORÇAMENTO.OpcaoBDI,3)="BDI",HLOOKUP(ORÇAMENTO.OpcaoBDI,$F$4:$H$5,2,FALSE),0)),15-11*$AF$9)</f>
        <v>0.20710000000000001</v>
      </c>
      <c r="AJ16" s="498"/>
      <c r="AL16" s="524"/>
      <c r="AM16" s="378">
        <f t="shared" ca="1" si="0"/>
        <v>0</v>
      </c>
      <c r="AN16" s="563">
        <f t="shared" ref="AN16:AN91" ca="1" si="16">ROUND(ORÇAMENTO.CustoUnitario*(1+$AH16),2)</f>
        <v>0</v>
      </c>
    </row>
    <row r="17" spans="1:40" x14ac:dyDescent="0.2">
      <c r="A17" t="str">
        <f t="shared" si="1"/>
        <v>S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103</v>
      </c>
      <c r="K17">
        <f ca="1">IF(OR($C17="S",$C17=0),0,MATCH(OFFSET($D17,0,$C17)+IF($C17&lt;&gt;1,1,COUNTIF(QCI!$A$13:$A$24,ORÇAMENTO!E17)),OFFSET($D17,1,$C17,ROW($C$120)-ROW($C17)),0))</f>
        <v>5</v>
      </c>
      <c r="L17" s="113" t="str">
        <f t="shared" ca="1" si="10"/>
        <v>F</v>
      </c>
      <c r="M17" s="114" t="s">
        <v>199</v>
      </c>
      <c r="N17" s="115" t="str">
        <f t="shared" ca="1" si="11"/>
        <v>Nível 2</v>
      </c>
      <c r="O17" s="116" t="str">
        <f t="shared" ca="1" si="12"/>
        <v>1.1.</v>
      </c>
      <c r="P17" s="117" t="s">
        <v>247</v>
      </c>
      <c r="Q17" s="118"/>
      <c r="R17" s="119" t="s">
        <v>462</v>
      </c>
      <c r="S17" s="120" t="str">
        <f ca="1">REFERENCIA.Unidade</f>
        <v>-</v>
      </c>
      <c r="T17" s="121">
        <f ca="1">OFFSET(CÁLCULO!H$15,ROW($T17)-ROW(T$15),0)</f>
        <v>0</v>
      </c>
      <c r="U17" s="122"/>
      <c r="V17" s="123" t="s">
        <v>156</v>
      </c>
      <c r="W17" s="121">
        <f ca="1">IF($C17="S",ROUND(IF(TIPOORCAMENTO="Proposto",ORÇAMENTO.CustoUnitario*(1+$AH17),ORÇAMENTO.PrecoUnitarioLicitado),15-13*$AF$10),0)</f>
        <v>0</v>
      </c>
      <c r="X17" s="124">
        <f ca="1">IF($C17="S",IF(Import.TipoArredondamento&lt;&gt;"TransfereGOV",VTOTAL1,SUM(OFFSET(CÁLCULO!$AA$15,ROW($X17)-ROW($X$15),1):OFFSET(CÁLCULO!$AL$15,ROW($X17)-ROW($X$15),-1))),IF($C17=0,0,ROUND(SomaAgrup,15-13*$AF$11)))</f>
        <v>0</v>
      </c>
      <c r="Y17" s="125" t="s">
        <v>245</v>
      </c>
      <c r="Z17" t="str">
        <f t="shared" ca="1" si="13"/>
        <v/>
      </c>
      <c r="AA17" s="126">
        <f ca="1">IF($C17="S",IF($Z17="CP",$X17,IF($Z17="RA",(($X17)*QCI!$AA$3),0)),SomaAgrup)</f>
        <v>0</v>
      </c>
      <c r="AB17" s="127">
        <f t="shared" ca="1" si="14"/>
        <v>0</v>
      </c>
      <c r="AC17" s="128" t="str">
        <f ca="1">IF($N17="","",IF(ORÇAMENTO.Descricao="","DESCRIÇÃO",IF(AND($C17="S",ORÇAMENTO.Unidade=""),"UNIDADE",IF($X17&lt;0,"VALOR NEGATIVO",IF(OR(AND(TIPOORCAMENTO="Proposto",$AG17&lt;&gt;"",$AG17&gt;0,ORÇAMENTO.CustoUnitario&gt;$AG17),AND(TIPOORCAMENTO="LICITADO",ORÇAMENTO.PrecoUnitarioLicitado&gt;$AN17)),"ACIMA REF.","")))))</f>
        <v/>
      </c>
      <c r="AD17">
        <f ca="1">IF(C17&lt;=CRONO.NivelExibicao,MAX($AD$15:OFFSET(AD17,-1,0))+IF($C17&lt;&gt;1,1,MAX(1,COUNTIF(QCI!$A$13:$A$24,OFFSET($E17,-1,0)))),"")</f>
        <v>2</v>
      </c>
      <c r="AE17" s="7" t="b">
        <f ca="1">IF(AND($C17="S",ORÇAMENTO.CodBarra&lt;&gt;""),IF(ORÇAMENTO.Fonte="",ORÇAMENTO.CodBarra,CONCATENATE(ORÇAMENTO.Fonte," ",ORÇAMENTO.CodBarra)))</f>
        <v>0</v>
      </c>
      <c r="AF17" s="13" t="str">
        <f ca="1">IF(ISERROR(INDIRECT(ORÇAMENTO.BancoRef)),"(abra o arquivo 'Referência "&amp;Excel_BuiltIn_Database&amp;".xlsm)",IF(OR($C17&lt;&gt;"S",ORÇAMENTO.CodBarra=""),"(Sem Código)",IF(ISERROR(MATCH($AE17,INDIRECT(ORÇAMENTO.BancoRef),0)),"(Código não identificado nas referências)",MATCH($AE17,INDIRECT(ORÇAMENTO.BancoRef),0))))</f>
        <v>(abra o arquivo 'Referência 10-2024.xlsm)</v>
      </c>
      <c r="AG17" s="495">
        <f ca="1">ROUND(IF(DESONERACAO="sim",REFERENCIA.Desonerado,REFERENCIA.NaoDesonerado),2)</f>
        <v>0</v>
      </c>
      <c r="AH17" s="496">
        <f t="shared" ca="1" si="15"/>
        <v>0.20710000000000001</v>
      </c>
      <c r="AJ17" s="498"/>
      <c r="AL17" s="524"/>
      <c r="AM17" s="378">
        <f t="shared" ca="1" si="0"/>
        <v>0</v>
      </c>
      <c r="AN17" s="563">
        <f t="shared" ca="1" si="16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t="shared" ca="1" si="9"/>
        <v>0</v>
      </c>
      <c r="K18">
        <f ca="1">IF(OR($C18="S",$C18=0),0,MATCH(OFFSET($D18,0,$C18)+IF($C18&lt;&gt;1,1,COUNTIF(QCI!$A$13:$A$24,ORÇAMENTO!E18)),OFFSET($D18,1,$C18,ROW($C$120)-ROW($C18)),0))</f>
        <v>0</v>
      </c>
      <c r="L18" s="113" t="str">
        <f t="shared" ca="1" si="10"/>
        <v/>
      </c>
      <c r="M18" s="114" t="s">
        <v>199</v>
      </c>
      <c r="N18" s="115" t="str">
        <f t="shared" ca="1" si="11"/>
        <v>Serviço</v>
      </c>
      <c r="O18" s="116" t="str">
        <f t="shared" ca="1" si="12"/>
        <v>-</v>
      </c>
      <c r="P18" s="117" t="s">
        <v>457</v>
      </c>
      <c r="Q18" s="118" t="s">
        <v>458</v>
      </c>
      <c r="R18" s="119" t="str">
        <f ca="1">IF($C18="S",REFERENCIA.Descricao,"(digite a descrição aqui)")</f>
        <v>(abra o arquivo 'Referência 10-2024.xlsm)</v>
      </c>
      <c r="S18" s="120" t="str">
        <f ca="1">REFERENCIA.Unidade</f>
        <v>-</v>
      </c>
      <c r="T18" s="121">
        <f ca="1">OFFSET(CÁLCULO!H$15,ROW($T18)-ROW(T$15),0)</f>
        <v>3</v>
      </c>
      <c r="U18" s="122">
        <f ca="1">AG18</f>
        <v>0</v>
      </c>
      <c r="V18" s="123" t="s">
        <v>156</v>
      </c>
      <c r="W18" s="121">
        <f ca="1">IF($C18="S",ROUND(IF(TIPOORCAMENTO="Proposto",ORÇAMENTO.CustoUnitario*(1+$AH18),ORÇAMENTO.PrecoUnitarioLicitado),15-13*$AF$10),0)</f>
        <v>0</v>
      </c>
      <c r="X18" s="124">
        <f ca="1">IF($C18="S",IF(Import.TipoArredondamento&lt;&gt;"TransfereGOV",VTOTAL1,SUM(OFFSET(CÁLCULO!$AA$15,ROW($X18)-ROW($X$15),1):OFFSET(CÁLCULO!$AL$15,ROW($X18)-ROW($X$15),-1))),IF($C18=0,0,ROUND(SomaAgrup,15-13*$AF$11)))</f>
        <v>0</v>
      </c>
      <c r="Y18" s="125" t="s">
        <v>245</v>
      </c>
      <c r="Z18" t="str">
        <f t="shared" ca="1" si="13"/>
        <v/>
      </c>
      <c r="AA18" s="126">
        <f ca="1">IF($C18="S",IF($Z18="CP",$X18,IF($Z18="RA",(($X18)*QCI!$AA$3),0)),SomaAgrup)</f>
        <v>0</v>
      </c>
      <c r="AB18" s="127">
        <f t="shared" ca="1" si="14"/>
        <v>0</v>
      </c>
      <c r="AC18" s="128" t="str">
        <f ca="1">IF($N18="","",IF(ORÇAMENTO.Descricao="","DESCRIÇÃO",IF(AND($C18="S",ORÇAMENTO.Unidade=""),"UNIDADE",IF($X18&lt;0,"VALOR NEGATIVO",IF(OR(AND(TIPOORCAMENTO="Proposto",$AG18&lt;&gt;"",$AG18&gt;0,ORÇAMENTO.CustoUnitario&gt;$AG18),AND(TIPOORCAMENTO="LICITADO",ORÇAMENTO.PrecoUnitarioLicitado&gt;$AN18)),"ACIMA REF.","")))))</f>
        <v/>
      </c>
      <c r="AD18" t="str">
        <f ca="1">IF(C18&lt;=CRONO.NivelExibicao,MAX($AD$15:OFFSET(AD18,-1,0))+IF($C18&lt;&gt;1,1,MAX(1,COUNTIF(QCI!$A$13:$A$24,OFFSET($E18,-1,0)))),"")</f>
        <v/>
      </c>
      <c r="AE18" s="7" t="str">
        <f ca="1">IF(AND($C18="S",ORÇAMENTO.CodBarra&lt;&gt;""),IF(ORÇAMENTO.Fonte="",ORÇAMENTO.CodBarra,CONCATENATE(ORÇAMENTO.Fonte," ",ORÇAMENTO.CodBarra)))</f>
        <v>Composição COMP-01</v>
      </c>
      <c r="AF18" s="13" t="str">
        <f ca="1">IF(ISERROR(INDIRECT(ORÇAMENTO.BancoRef)),"(abra o arquivo 'Referência "&amp;Excel_BuiltIn_Database&amp;".xlsm)",IF(OR($C18&lt;&gt;"S",ORÇAMENTO.CodBarra=""),"(Sem Código)",IF(ISERROR(MATCH($AE18,INDIRECT(ORÇAMENTO.BancoRef),0)),"(Código não identificado nas referências)",MATCH($AE18,INDIRECT(ORÇAMENTO.BancoRef),0))))</f>
        <v>(abra o arquivo 'Referência 10-2024.xlsm)</v>
      </c>
      <c r="AG18" s="495">
        <f ca="1">ROUND(IF(DESONERACAO="sim",REFERENCIA.Desonerado,REFERENCIA.NaoDesonerado),2)</f>
        <v>0</v>
      </c>
      <c r="AH18" s="496">
        <f t="shared" ca="1" si="15"/>
        <v>0.20710000000000001</v>
      </c>
      <c r="AJ18" s="498">
        <v>3</v>
      </c>
      <c r="AL18" s="524"/>
      <c r="AM18" s="378">
        <f t="shared" ca="1" si="0"/>
        <v>0</v>
      </c>
      <c r="AN18" s="563">
        <f t="shared" ca="1" si="16"/>
        <v>0</v>
      </c>
    </row>
    <row r="19" spans="1:40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0</v>
      </c>
      <c r="J19">
        <f t="shared" ca="1" si="9"/>
        <v>0</v>
      </c>
      <c r="K19">
        <f ca="1">IF(OR($C19="S",$C19=0),0,MATCH(OFFSET($D19,0,$C19)+IF($C19&lt;&gt;1,1,COUNTIF(QCI!$A$13:$A$24,ORÇAMENTO!E19)),OFFSET($D19,1,$C19,ROW($C$120)-ROW($C19)),0))</f>
        <v>0</v>
      </c>
      <c r="L19" s="113" t="str">
        <f t="shared" ca="1" si="10"/>
        <v/>
      </c>
      <c r="M19" s="114" t="s">
        <v>199</v>
      </c>
      <c r="N19" s="115" t="str">
        <f t="shared" ca="1" si="11"/>
        <v>Serviço</v>
      </c>
      <c r="O19" s="116" t="str">
        <f t="shared" ca="1" si="12"/>
        <v>-</v>
      </c>
      <c r="P19" s="117" t="s">
        <v>457</v>
      </c>
      <c r="Q19" s="118" t="s">
        <v>548</v>
      </c>
      <c r="R19" s="119" t="str">
        <f ca="1">IF($C19="S",REFERENCIA.Descricao,"(digite a descrição aqui)")</f>
        <v>(abra o arquivo 'Referência 10-2024.xlsm)</v>
      </c>
      <c r="S19" s="120" t="str">
        <f ca="1">REFERENCIA.Unidade</f>
        <v>-</v>
      </c>
      <c r="T19" s="121">
        <f ca="1">OFFSET(CÁLCULO!H$15,ROW($T19)-ROW(T$15),0)</f>
        <v>1</v>
      </c>
      <c r="U19" s="122">
        <f t="shared" ref="U19:U27" ca="1" si="17">AG19</f>
        <v>0</v>
      </c>
      <c r="V19" s="123" t="s">
        <v>156</v>
      </c>
      <c r="W19" s="121">
        <f ca="1">IF($C19="S",ROUND(IF(TIPOORCAMENTO="Proposto",ORÇAMENTO.CustoUnitario*(1+$AH19),ORÇAMENTO.PrecoUnitarioLicitado),15-13*$AF$10),0)</f>
        <v>0</v>
      </c>
      <c r="X19" s="124">
        <f ca="1">IF($C19="S",IF(Import.TipoArredondamento&lt;&gt;"TransfereGOV",VTOTAL1,SUM(OFFSET(CÁLCULO!$AA$15,ROW($X19)-ROW($X$15),1):OFFSET(CÁLCULO!$AL$15,ROW($X19)-ROW($X$15),-1))),IF($C19=0,0,ROUND(SomaAgrup,15-13*$AF$11)))</f>
        <v>0</v>
      </c>
      <c r="Y19" s="125" t="s">
        <v>245</v>
      </c>
      <c r="Z19" t="str">
        <f t="shared" ca="1" si="13"/>
        <v/>
      </c>
      <c r="AA19" s="126">
        <f ca="1">IF($C19="S",IF($Z19="CP",$X19,IF($Z19="RA",(($X19)*QCI!$AA$3),0)),SomaAgrup)</f>
        <v>0</v>
      </c>
      <c r="AB19" s="127">
        <f t="shared" ca="1" si="14"/>
        <v>0</v>
      </c>
      <c r="AC19" s="128" t="str">
        <f ca="1">IF($N19="","",IF(ORÇAMENTO.Descricao="","DESCRIÇÃO",IF(AND($C19="S",ORÇAMENTO.Unidade=""),"UNIDADE",IF($X19&lt;0,"VALOR NEGATIVO",IF(OR(AND(TIPOORCAMENTO="Proposto",$AG19&lt;&gt;"",$AG19&gt;0,ORÇAMENTO.CustoUnitario&gt;$AG19),AND(TIPOORCAMENTO="LICITADO",ORÇAMENTO.PrecoUnitarioLicitado&gt;$AN19)),"ACIMA REF.","")))))</f>
        <v/>
      </c>
      <c r="AD19" t="str">
        <f ca="1">IF(C19&lt;=CRONO.NivelExibicao,MAX($AD$15:OFFSET(AD19,-1,0))+IF($C19&lt;&gt;1,1,MAX(1,COUNTIF(QCI!$A$13:$A$24,OFFSET($E19,-1,0)))),"")</f>
        <v/>
      </c>
      <c r="AE19" s="7" t="str">
        <f ca="1">IF(AND($C19="S",ORÇAMENTO.CodBarra&lt;&gt;""),IF(ORÇAMENTO.Fonte="",ORÇAMENTO.CodBarra,CONCATENATE(ORÇAMENTO.Fonte," ",ORÇAMENTO.CodBarra)))</f>
        <v>Composição COMP-05</v>
      </c>
      <c r="AF19" s="13" t="str">
        <f ca="1">IF(ISERROR(INDIRECT(ORÇAMENTO.BancoRef)),"(abra o arquivo 'Referência "&amp;Excel_BuiltIn_Database&amp;".xlsm)",IF(OR($C19&lt;&gt;"S",ORÇAMENTO.CodBarra=""),"(Sem Código)",IF(ISERROR(MATCH($AE19,INDIRECT(ORÇAMENTO.BancoRef),0)),"(Código não identificado nas referências)",MATCH($AE19,INDIRECT(ORÇAMENTO.BancoRef),0))))</f>
        <v>(abra o arquivo 'Referência 10-2024.xlsm)</v>
      </c>
      <c r="AG19" s="495">
        <f ca="1">ROUND(IF(DESONERACAO="sim",REFERENCIA.Desonerado,REFERENCIA.NaoDesonerado),2)</f>
        <v>0</v>
      </c>
      <c r="AH19" s="496">
        <f t="shared" ca="1" si="15"/>
        <v>0.20710000000000001</v>
      </c>
      <c r="AJ19" s="498">
        <v>1</v>
      </c>
      <c r="AL19" s="524"/>
      <c r="AM19" s="378">
        <f t="shared" ca="1" si="0"/>
        <v>0</v>
      </c>
      <c r="AN19" s="563">
        <f t="shared" ca="1" si="16"/>
        <v>0</v>
      </c>
    </row>
    <row r="20" spans="1:40" ht="38.2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0</v>
      </c>
      <c r="J20">
        <f t="shared" ca="1" si="9"/>
        <v>0</v>
      </c>
      <c r="K20">
        <f ca="1">IF(OR($C20="S",$C20=0),0,MATCH(OFFSET($D20,0,$C20)+IF($C20&lt;&gt;1,1,COUNTIF(QCI!$A$13:$A$24,ORÇAMENTO!E20)),OFFSET($D20,1,$C20,ROW($C$120)-ROW($C20)),0))</f>
        <v>0</v>
      </c>
      <c r="L20" s="113" t="str">
        <f t="shared" ca="1" si="10"/>
        <v/>
      </c>
      <c r="M20" s="114" t="s">
        <v>199</v>
      </c>
      <c r="N20" s="115" t="str">
        <f t="shared" ca="1" si="11"/>
        <v>Serviço</v>
      </c>
      <c r="O20" s="116" t="str">
        <f t="shared" ca="1" si="12"/>
        <v>-</v>
      </c>
      <c r="P20" s="117" t="s">
        <v>456</v>
      </c>
      <c r="Q20" s="118" t="s">
        <v>461</v>
      </c>
      <c r="R20" s="119" t="str">
        <f ca="1">IF($C20="S",REFERENCIA.Descricao,"(digite a descrição aqui)")</f>
        <v>(abra o arquivo 'Referência 10-2024.xlsm)</v>
      </c>
      <c r="S20" s="120" t="str">
        <f ca="1">REFERENCIA.Unidade</f>
        <v>-</v>
      </c>
      <c r="T20" s="121">
        <f ca="1">OFFSET(CÁLCULO!H$15,ROW($T20)-ROW(T$15),0)</f>
        <v>3</v>
      </c>
      <c r="U20" s="122">
        <f t="shared" ca="1" si="17"/>
        <v>0</v>
      </c>
      <c r="V20" s="123" t="s">
        <v>156</v>
      </c>
      <c r="W20" s="121">
        <f ca="1">IF($C20="S",ROUND(IF(TIPOORCAMENTO="Proposto",ORÇAMENTO.CustoUnitario*(1+$AH20),ORÇAMENTO.PrecoUnitarioLicitado),15-13*$AF$10),0)</f>
        <v>0</v>
      </c>
      <c r="X20" s="124">
        <f ca="1">IF($C20="S",IF(Import.TipoArredondamento&lt;&gt;"TransfereGOV",VTOTAL1,SUM(OFFSET(CÁLCULO!$AA$15,ROW($X20)-ROW($X$15),1):OFFSET(CÁLCULO!$AL$15,ROW($X20)-ROW($X$15),-1))),IF($C20=0,0,ROUND(SomaAgrup,15-13*$AF$11)))</f>
        <v>0</v>
      </c>
      <c r="Y20" s="125" t="s">
        <v>245</v>
      </c>
      <c r="Z20" t="str">
        <f t="shared" ca="1" si="13"/>
        <v/>
      </c>
      <c r="AA20" s="126">
        <f ca="1">IF($C20="S",IF($Z20="CP",$X20,IF($Z20="RA",(($X20)*QCI!$AA$3),0)),SomaAgrup)</f>
        <v>0</v>
      </c>
      <c r="AB20" s="127">
        <f t="shared" ca="1" si="14"/>
        <v>0</v>
      </c>
      <c r="AC20" s="128" t="str">
        <f ca="1">IF($N20="","",IF(ORÇAMENTO.Descricao="","DESCRIÇÃO",IF(AND($C20="S",ORÇAMENTO.Unidade=""),"UNIDADE",IF($X20&lt;0,"VALOR NEGATIVO",IF(OR(AND(TIPOORCAMENTO="Proposto",$AG20&lt;&gt;"",$AG20&gt;0,ORÇAMENTO.CustoUnitario&gt;$AG20),AND(TIPOORCAMENTO="LICITADO",ORÇAMENTO.PrecoUnitarioLicitado&gt;$AN20)),"ACIMA REF.","")))))</f>
        <v/>
      </c>
      <c r="AD20" t="str">
        <f ca="1">IF(C20&lt;=CRONO.NivelExibicao,MAX($AD$15:OFFSET(AD20,-1,0))+IF($C20&lt;&gt;1,1,MAX(1,COUNTIF(QCI!$A$13:$A$24,OFFSET($E20,-1,0)))),"")</f>
        <v/>
      </c>
      <c r="AE20" s="7" t="str">
        <f ca="1">IF(AND($C20="S",ORÇAMENTO.CodBarra&lt;&gt;""),IF(ORÇAMENTO.Fonte="",ORÇAMENTO.CodBarra,CONCATENATE(ORÇAMENTO.Fonte," ",ORÇAMENTO.CodBarra)))</f>
        <v>SINAPI-I 10776</v>
      </c>
      <c r="AF20" s="13" t="str">
        <f ca="1">IF(ISERROR(INDIRECT(ORÇAMENTO.BancoRef)),"(abra o arquivo 'Referência "&amp;Excel_BuiltIn_Database&amp;".xlsm)",IF(OR($C20&lt;&gt;"S",ORÇAMENTO.CodBarra=""),"(Sem Código)",IF(ISERROR(MATCH($AE20,INDIRECT(ORÇAMENTO.BancoRef),0)),"(Código não identificado nas referências)",MATCH($AE20,INDIRECT(ORÇAMENTO.BancoRef),0))))</f>
        <v>(abra o arquivo 'Referência 10-2024.xlsm)</v>
      </c>
      <c r="AG20" s="495">
        <f ca="1">ROUND(IF(DESONERACAO="sim",REFERENCIA.Desonerado,REFERENCIA.NaoDesonerado),2)</f>
        <v>0</v>
      </c>
      <c r="AH20" s="496">
        <f t="shared" ca="1" si="15"/>
        <v>0.20710000000000001</v>
      </c>
      <c r="AJ20" s="498">
        <v>3</v>
      </c>
      <c r="AL20" s="524"/>
      <c r="AM20" s="378">
        <f t="shared" ca="1" si="0"/>
        <v>0</v>
      </c>
      <c r="AN20" s="563">
        <f t="shared" ca="1" si="16"/>
        <v>0</v>
      </c>
    </row>
    <row r="21" spans="1:40" ht="25.5" x14ac:dyDescent="0.2">
      <c r="A21" t="str">
        <f>CHOOSE(1+LOG(1+2*(ORÇAMENTO.Nivel="Meta")+4*(ORÇAMENTO.Nivel="Nível 2")+8*(ORÇAMENTO.Nivel="Nível 3")+16*(ORÇAMENTO.Nivel="Nível 4")+32*(ORÇAMENTO.Nivel="Serviço"),2),0,1,2,3,4,"S")</f>
        <v>S</v>
      </c>
      <c r="B21">
        <f ca="1">IF(OR(C21="s",C21=0),OFFSET(B21,-1,0),C21)</f>
        <v>2</v>
      </c>
      <c r="C21" t="str">
        <f ca="1">IF(OFFSET(C21,-1,0)="L",1,IF(OFFSET(C21,-1,0)=1,2,IF(OR(A21="s",A21=0),"S",IF(AND(OFFSET(C21,-1,0)=2,A21=4),3,IF(AND(OR(OFFSET(C21,-1,0)="s",OFFSET(C21,-1,0)=0),A21&lt;&gt;"s",A21&gt;OFFSET(B21,-1,0)),OFFSET(B21,-1,0),A21)))))</f>
        <v>S</v>
      </c>
      <c r="D21">
        <f ca="1">IF(OR(C21="S",C21=0),0,IF(ISERROR(K21),J21,SMALL(J21:K21,1)))</f>
        <v>0</v>
      </c>
      <c r="E21">
        <f ca="1">IF($C21=1,OFFSET(E21,-1,0)+MAX(1,COUNTIF(QCI!$A$13:$A$24,OFFSET(ORÇAMENTO!E21,-1,0))),OFFSET(E21,-1,0))</f>
        <v>1</v>
      </c>
      <c r="F21">
        <f ca="1">IF($C21=1,0,IF($C21=2,OFFSET(F21,-1,0)+1,OFFSET(F21,-1,0)))</f>
        <v>1</v>
      </c>
      <c r="G21">
        <f ca="1">IF(AND($C21&lt;=2,$C21&lt;&gt;0),0,IF($C21=3,OFFSET(G21,-1,0)+1,OFFSET(G21,-1,0)))</f>
        <v>0</v>
      </c>
      <c r="H21">
        <f ca="1">IF(AND($C21&lt;=3,$C21&lt;&gt;0),0,IF($C21=4,OFFSET(H21,-1,0)+1,OFFSET(H21,-1,0)))</f>
        <v>0</v>
      </c>
      <c r="I21">
        <f ca="1">IF(AND($C21&lt;=4,$C21&lt;&gt;0),0,IF(AND($C21="S",$X21&gt;0),OFFSET(I21,-1,0)+1,OFFSET(I21,-1,0)))</f>
        <v>0</v>
      </c>
      <c r="J21">
        <f t="shared" ca="1" si="9"/>
        <v>0</v>
      </c>
      <c r="K21">
        <f ca="1">IF(OR($C21="S",$C21=0),0,MATCH(OFFSET($D21,0,$C21)+IF($C21&lt;&gt;1,1,COUNTIF(QCI!$A$13:$A$24,ORÇAMENTO!E21)),OFFSET($D21,1,$C21,ROW($C$120)-ROW($C21)),0))</f>
        <v>0</v>
      </c>
      <c r="L21" s="113" t="str">
        <f ca="1">IF(OR($X21&gt;0,$C21=1,$C21=2,$C21=3,$C21=4),"F","")</f>
        <v/>
      </c>
      <c r="M21" s="114" t="s">
        <v>199</v>
      </c>
      <c r="N21" s="115" t="str">
        <f ca="1">CHOOSE(1+LOG(1+2*(C21=1)+4*(C21=2)+8*(C21=3)+16*(C21=4)+32*(C21="S"),2),"","Meta","Nível 2","Nível 3","Nível 4","Serviço")</f>
        <v>Serviço</v>
      </c>
      <c r="O21" s="116" t="str">
        <f ca="1">IF(OR($C21=0,$L21=""),"-",CONCATENATE(E21&amp;".",IF(AND($A$5&gt;=2,$C21&gt;=2),F21&amp;".",""),IF(AND($A$5&gt;=3,$C21&gt;=3),G21&amp;".",""),IF(AND($A$5&gt;=4,$C21&gt;=4),H21&amp;".",""),IF($C21="S",I21&amp;".","")))</f>
        <v>-</v>
      </c>
      <c r="P21" s="117" t="s">
        <v>247</v>
      </c>
      <c r="Q21" s="118" t="s">
        <v>479</v>
      </c>
      <c r="R21" s="119" t="str">
        <f ca="1">IF($C21="S",REFERENCIA.Descricao,"(digite a descrição aqui)")</f>
        <v>(abra o arquivo 'Referência 10-2024.xlsm)</v>
      </c>
      <c r="S21" s="120" t="str">
        <f ca="1">REFERENCIA.Unidade</f>
        <v>-</v>
      </c>
      <c r="T21" s="121">
        <f ca="1">OFFSET(CÁLCULO!H$15,ROW($T21)-ROW(T$15),0)</f>
        <v>1</v>
      </c>
      <c r="U21" s="122">
        <f t="shared" ca="1" si="17"/>
        <v>0</v>
      </c>
      <c r="V21" s="123" t="s">
        <v>156</v>
      </c>
      <c r="W21" s="121">
        <f ca="1">IF($C21="S",ROUND(IF(TIPOORCAMENTO="Proposto",ORÇAMENTO.CustoUnitario*(1+$AH21),ORÇAMENTO.PrecoUnitarioLicitado),15-13*$AF$10),0)</f>
        <v>0</v>
      </c>
      <c r="X21" s="124">
        <f ca="1">IF($C21="S",IF(Import.TipoArredondamento&lt;&gt;"TransfereGOV",VTOTAL1,SUM(OFFSET(CÁLCULO!$AA$15,ROW($X21)-ROW($X$15),1):OFFSET(CÁLCULO!$AL$15,ROW($X21)-ROW($X$15),-1))),IF($C21=0,0,ROUND(SomaAgrup,15-13*$AF$11)))</f>
        <v>0</v>
      </c>
      <c r="Y21" s="125" t="s">
        <v>245</v>
      </c>
      <c r="Z21" t="str">
        <f ca="1">IF(AND($C21="S",$X21&gt;0),IF(ISBLANK($Y21),"RA",LEFT($Y21,2)),"")</f>
        <v/>
      </c>
      <c r="AA21" s="126">
        <f ca="1">IF($C21="S",IF($Z21="CP",$X21,IF($Z21="RA",(($X21)*QCI!$AA$3),0)),SomaAgrup)</f>
        <v>0</v>
      </c>
      <c r="AB21" s="127">
        <f ca="1">IF($C21="S",IF($Z21="OU",ROUND($X21,2),0),SomaAgrup)</f>
        <v>0</v>
      </c>
      <c r="AC21" s="128" t="str">
        <f ca="1">IF($N21="","",IF(ORÇAMENTO.Descricao="","DESCRIÇÃO",IF(AND($C21="S",ORÇAMENTO.Unidade=""),"UNIDADE",IF($X21&lt;0,"VALOR NEGATIVO",IF(OR(AND(TIPOORCAMENTO="Proposto",$AG21&lt;&gt;"",$AG21&gt;0,ORÇAMENTO.CustoUnitario&gt;$AG21),AND(TIPOORCAMENTO="LICITADO",ORÇAMENTO.PrecoUnitarioLicitado&gt;$AN21)),"ACIMA REF.","")))))</f>
        <v/>
      </c>
      <c r="AD21" t="str">
        <f ca="1">IF(C21&lt;=CRONO.NivelExibicao,MAX($AD$15:OFFSET(AD21,-1,0))+IF($C21&lt;&gt;1,1,MAX(1,COUNTIF(QCI!$A$13:$A$24,OFFSET($E21,-1,0)))),"")</f>
        <v/>
      </c>
      <c r="AE21" s="7" t="str">
        <f ca="1">IF(AND($C21="S",ORÇAMENTO.CodBarra&lt;&gt;""),IF(ORÇAMENTO.Fonte="",ORÇAMENTO.CodBarra,CONCATENATE(ORÇAMENTO.Fonte," ",ORÇAMENTO.CodBarra)))</f>
        <v>SINAPI 105115</v>
      </c>
      <c r="AF21" s="13" t="str">
        <f ca="1">IF(ISERROR(INDIRECT(ORÇAMENTO.BancoRef)),"(abra o arquivo 'Referência "&amp;Excel_BuiltIn_Database&amp;".xlsm)",IF(OR($C21&lt;&gt;"S",ORÇAMENTO.CodBarra=""),"(Sem Código)",IF(ISERROR(MATCH($AE21,INDIRECT(ORÇAMENTO.BancoRef),0)),"(Código não identificado nas referências)",MATCH($AE21,INDIRECT(ORÇAMENTO.BancoRef),0))))</f>
        <v>(abra o arquivo 'Referência 10-2024.xlsm)</v>
      </c>
      <c r="AG21" s="495">
        <f ca="1">ROUND(IF(DESONERACAO="sim",REFERENCIA.Desonerado,REFERENCIA.NaoDesonerado),2)</f>
        <v>0</v>
      </c>
      <c r="AH21" s="496">
        <f ca="1">ROUND(IF(ISNUMBER(ORÇAMENTO.OpcaoBDI),ORÇAMENTO.OpcaoBDI,IF(LEFT(ORÇAMENTO.OpcaoBDI,3)="BDI",HLOOKUP(ORÇAMENTO.OpcaoBDI,$F$4:$H$5,2,FALSE),0)),15-11*$AF$9)</f>
        <v>0.20710000000000001</v>
      </c>
      <c r="AJ21" s="498">
        <v>1</v>
      </c>
      <c r="AL21" s="524"/>
      <c r="AM21" s="378">
        <f t="shared" ca="1" si="0"/>
        <v>0</v>
      </c>
      <c r="AN21" s="563">
        <f ca="1">ROUND(ORÇAMENTO.CustoUnitario*(1+$AH21),2)</f>
        <v>0</v>
      </c>
    </row>
    <row r="22" spans="1:40" x14ac:dyDescent="0.2">
      <c r="A22">
        <f t="shared" ref="A22:A27" si="18">CHOOSE(1+LOG(1+2*(ORÇAMENTO.Nivel="Meta")+4*(ORÇAMENTO.Nivel="Nível 2")+8*(ORÇAMENTO.Nivel="Nível 3")+16*(ORÇAMENTO.Nivel="Nível 4")+32*(ORÇAMENTO.Nivel="Serviço"),2),0,1,2,3,4,"S")</f>
        <v>2</v>
      </c>
      <c r="B22">
        <f t="shared" ref="B22:B27" ca="1" si="19">IF(OR(C22="s",C22=0),OFFSET(B22,-1,0),C22)</f>
        <v>2</v>
      </c>
      <c r="C22">
        <f t="shared" ref="C22:C27" ca="1" si="20">IF(OFFSET(C22,-1,0)="L",1,IF(OFFSET(C22,-1,0)=1,2,IF(OR(A22="s",A22=0),"S",IF(AND(OFFSET(C22,-1,0)=2,A22=4),3,IF(AND(OR(OFFSET(C22,-1,0)="s",OFFSET(C22,-1,0)=0),A22&lt;&gt;"s",A22&gt;OFFSET(B22,-1,0)),OFFSET(B22,-1,0),A22)))))</f>
        <v>2</v>
      </c>
      <c r="D22">
        <f t="shared" ref="D22:D27" ca="1" si="21">IF(OR(C22="S",C22=0),0,IF(ISERROR(K22),J22,SMALL(J22:K22,1)))</f>
        <v>6</v>
      </c>
      <c r="E22">
        <f ca="1">IF($C22=1,OFFSET(E22,-1,0)+MAX(1,COUNTIF(QCI!$A$13:$A$24,OFFSET(ORÇAMENTO!E22,-1,0))),OFFSET(E22,-1,0))</f>
        <v>1</v>
      </c>
      <c r="F22">
        <f t="shared" ref="F22:F27" ca="1" si="22">IF($C22=1,0,IF($C22=2,OFFSET(F22,-1,0)+1,OFFSET(F22,-1,0)))</f>
        <v>2</v>
      </c>
      <c r="G22">
        <f t="shared" ref="G22:G27" ca="1" si="23">IF(AND($C22&lt;=2,$C22&lt;&gt;0),0,IF($C22=3,OFFSET(G22,-1,0)+1,OFFSET(G22,-1,0)))</f>
        <v>0</v>
      </c>
      <c r="H22">
        <f t="shared" ref="H22:H27" ca="1" si="24">IF(AND($C22&lt;=3,$C22&lt;&gt;0),0,IF($C22=4,OFFSET(H22,-1,0)+1,OFFSET(H22,-1,0)))</f>
        <v>0</v>
      </c>
      <c r="I22">
        <f t="shared" ref="I22:I27" ca="1" si="25">IF(AND($C22&lt;=4,$C22&lt;&gt;0),0,IF(AND($C22="S",$X22&gt;0),OFFSET(I22,-1,0)+1,OFFSET(I22,-1,0)))</f>
        <v>0</v>
      </c>
      <c r="J22">
        <f t="shared" ca="1" si="9"/>
        <v>98</v>
      </c>
      <c r="K22">
        <f ca="1">IF(OR($C22="S",$C22=0),0,MATCH(OFFSET($D22,0,$C22)+IF($C22&lt;&gt;1,1,COUNTIF(QCI!$A$13:$A$24,ORÇAMENTO!E22)),OFFSET($D22,1,$C22,ROW($C$120)-ROW($C22)),0))</f>
        <v>6</v>
      </c>
      <c r="L22" s="113" t="str">
        <f t="shared" ref="L22:L27" ca="1" si="26">IF(OR($X22&gt;0,$C22=1,$C22=2,$C22=3,$C22=4),"F","")</f>
        <v>F</v>
      </c>
      <c r="M22" s="114" t="s">
        <v>196</v>
      </c>
      <c r="N22" s="115" t="str">
        <f t="shared" ref="N22:N27" ca="1" si="27">CHOOSE(1+LOG(1+2*(C22=1)+4*(C22=2)+8*(C22=3)+16*(C22=4)+32*(C22="S"),2),"","Meta","Nível 2","Nível 3","Nível 4","Serviço")</f>
        <v>Nível 2</v>
      </c>
      <c r="O22" s="116" t="str">
        <f t="shared" ref="O22:O27" ca="1" si="28">IF(OR($C22=0,$L22=""),"-",CONCATENATE(E22&amp;".",IF(AND($A$5&gt;=2,$C22&gt;=2),F22&amp;".",""),IF(AND($A$5&gt;=3,$C22&gt;=3),G22&amp;".",""),IF(AND($A$5&gt;=4,$C22&gt;=4),H22&amp;".",""),IF($C22="S",I22&amp;".","")))</f>
        <v>1.2.</v>
      </c>
      <c r="P22" s="117" t="s">
        <v>247</v>
      </c>
      <c r="Q22" s="118"/>
      <c r="R22" s="119" t="s">
        <v>455</v>
      </c>
      <c r="S22" s="120" t="str">
        <f ca="1">REFERENCIA.Unidade</f>
        <v>-</v>
      </c>
      <c r="T22" s="121">
        <f ca="1">OFFSET(CÁLCULO!H$15,ROW($T22)-ROW(T$15),0)</f>
        <v>0</v>
      </c>
      <c r="U22" s="122"/>
      <c r="V22" s="123" t="s">
        <v>156</v>
      </c>
      <c r="W22" s="121">
        <f ca="1">IF($C22="S",ROUND(IF(TIPOORCAMENTO="Proposto",ORÇAMENTO.CustoUnitario*(1+$AH22),ORÇAMENTO.PrecoUnitarioLicitado),15-13*$AF$10),0)</f>
        <v>0</v>
      </c>
      <c r="X22" s="124">
        <f ca="1">IF($C22="S",IF(Import.TipoArredondamento&lt;&gt;"TransfereGOV",VTOTAL1,SUM(OFFSET(CÁLCULO!$AA$15,ROW($X22)-ROW($X$15),1):OFFSET(CÁLCULO!$AL$15,ROW($X22)-ROW($X$15),-1))),IF($C22=0,0,ROUND(SomaAgrup,15-13*$AF$11)))</f>
        <v>0</v>
      </c>
      <c r="Y22" s="125" t="s">
        <v>245</v>
      </c>
      <c r="Z22" t="str">
        <f t="shared" ref="Z22:Z27" ca="1" si="29">IF(AND($C22="S",$X22&gt;0),IF(ISBLANK($Y22),"RA",LEFT($Y22,2)),"")</f>
        <v/>
      </c>
      <c r="AA22" s="126">
        <f ca="1">IF($C22="S",IF($Z22="CP",$X22,IF($Z22="RA",(($X22)*QCI!$AA$3),0)),SomaAgrup)</f>
        <v>0</v>
      </c>
      <c r="AB22" s="127">
        <f t="shared" ref="AB22:AB27" ca="1" si="30">IF($C22="S",IF($Z22="OU",ROUND($X22,2),0),SomaAgrup)</f>
        <v>0</v>
      </c>
      <c r="AC22" s="128" t="str">
        <f ca="1">IF($N22="","",IF(ORÇAMENTO.Descricao="","DESCRIÇÃO",IF(AND($C22="S",ORÇAMENTO.Unidade=""),"UNIDADE",IF($X22&lt;0,"VALOR NEGATIVO",IF(OR(AND(TIPOORCAMENTO="Proposto",$AG22&lt;&gt;"",$AG22&gt;0,ORÇAMENTO.CustoUnitario&gt;$AG22),AND(TIPOORCAMENTO="LICITADO",ORÇAMENTO.PrecoUnitarioLicitado&gt;$AN22)),"ACIMA REF.","")))))</f>
        <v/>
      </c>
      <c r="AD22">
        <f ca="1">IF(C22&lt;=CRONO.NivelExibicao,MAX($AD$15:OFFSET(AD22,-1,0))+IF($C22&lt;&gt;1,1,MAX(1,COUNTIF(QCI!$A$13:$A$24,OFFSET($E22,-1,0)))),"")</f>
        <v>3</v>
      </c>
      <c r="AE22" s="7" t="b">
        <f ca="1">IF(AND($C22="S",ORÇAMENTO.CodBarra&lt;&gt;""),IF(ORÇAMENTO.Fonte="",ORÇAMENTO.CodBarra,CONCATENATE(ORÇAMENTO.Fonte," ",ORÇAMENTO.CodBarra)))</f>
        <v>0</v>
      </c>
      <c r="AF22" s="13" t="str">
        <f ca="1">IF(ISERROR(INDIRECT(ORÇAMENTO.BancoRef)),"(abra o arquivo 'Referência "&amp;Excel_BuiltIn_Database&amp;".xlsm)",IF(OR($C22&lt;&gt;"S",ORÇAMENTO.CodBarra=""),"(Sem Código)",IF(ISERROR(MATCH($AE22,INDIRECT(ORÇAMENTO.BancoRef),0)),"(Código não identificado nas referências)",MATCH($AE22,INDIRECT(ORÇAMENTO.BancoRef),0))))</f>
        <v>(abra o arquivo 'Referência 10-2024.xlsm)</v>
      </c>
      <c r="AG22" s="495">
        <f ca="1">ROUND(IF(DESONERACAO="sim",REFERENCIA.Desonerado,REFERENCIA.NaoDesonerado),2)</f>
        <v>0</v>
      </c>
      <c r="AH22" s="496">
        <f t="shared" ref="AH22:AH27" ca="1" si="31">ROUND(IF(ISNUMBER(ORÇAMENTO.OpcaoBDI),ORÇAMENTO.OpcaoBDI,IF(LEFT(ORÇAMENTO.OpcaoBDI,3)="BDI",HLOOKUP(ORÇAMENTO.OpcaoBDI,$F$4:$H$5,2,FALSE),0)),15-11*$AF$9)</f>
        <v>0.20710000000000001</v>
      </c>
      <c r="AJ22" s="498"/>
      <c r="AL22" s="524"/>
      <c r="AM22" s="378">
        <f t="shared" ca="1" si="0"/>
        <v>0</v>
      </c>
      <c r="AN22" s="563">
        <f t="shared" ref="AN22:AN27" ca="1" si="32">ROUND(ORÇAMENTO.CustoUnitario*(1+$AH22),2)</f>
        <v>0</v>
      </c>
    </row>
    <row r="23" spans="1:40" ht="38.25" x14ac:dyDescent="0.2">
      <c r="A23" t="str">
        <f t="shared" si="18"/>
        <v>S</v>
      </c>
      <c r="B23">
        <f t="shared" ca="1" si="19"/>
        <v>2</v>
      </c>
      <c r="C23" t="str">
        <f t="shared" ca="1" si="20"/>
        <v>S</v>
      </c>
      <c r="D23">
        <f t="shared" ca="1" si="21"/>
        <v>0</v>
      </c>
      <c r="E23">
        <f ca="1">IF($C23=1,OFFSET(E23,-1,0)+MAX(1,COUNTIF(QCI!$A$13:$A$24,OFFSET(ORÇAMENTO!E23,-1,0))),OFFSET(E23,-1,0))</f>
        <v>1</v>
      </c>
      <c r="F23">
        <f t="shared" ca="1" si="22"/>
        <v>2</v>
      </c>
      <c r="G23">
        <f t="shared" ca="1" si="23"/>
        <v>0</v>
      </c>
      <c r="H23">
        <f t="shared" ca="1" si="24"/>
        <v>0</v>
      </c>
      <c r="I23">
        <f t="shared" ca="1" si="25"/>
        <v>0</v>
      </c>
      <c r="J23">
        <f t="shared" ca="1" si="9"/>
        <v>0</v>
      </c>
      <c r="K23">
        <f ca="1">IF(OR($C23="S",$C23=0),0,MATCH(OFFSET($D23,0,$C23)+IF($C23&lt;&gt;1,1,COUNTIF(QCI!$A$13:$A$24,ORÇAMENTO!E23)),OFFSET($D23,1,$C23,ROW($C$120)-ROW($C23)),0))</f>
        <v>0</v>
      </c>
      <c r="L23" s="113" t="str">
        <f t="shared" ca="1" si="26"/>
        <v/>
      </c>
      <c r="M23" s="114" t="s">
        <v>199</v>
      </c>
      <c r="N23" s="115" t="str">
        <f t="shared" ca="1" si="27"/>
        <v>Serviço</v>
      </c>
      <c r="O23" s="116" t="str">
        <f t="shared" ca="1" si="28"/>
        <v>-</v>
      </c>
      <c r="P23" s="117" t="s">
        <v>247</v>
      </c>
      <c r="Q23" s="118" t="s">
        <v>459</v>
      </c>
      <c r="R23" s="119" t="str">
        <f ca="1">IF($C23="S",REFERENCIA.Descricao,"(digite a descrição aqui)")</f>
        <v>(abra o arquivo 'Referência 10-2024.xlsm)</v>
      </c>
      <c r="S23" s="120" t="str">
        <f ca="1">REFERENCIA.Unidade</f>
        <v>-</v>
      </c>
      <c r="T23" s="121">
        <f ca="1">OFFSET(CÁLCULO!H$15,ROW($T23)-ROW(T$15),0)</f>
        <v>100</v>
      </c>
      <c r="U23" s="122">
        <f t="shared" ca="1" si="17"/>
        <v>0</v>
      </c>
      <c r="V23" s="123" t="s">
        <v>156</v>
      </c>
      <c r="W23" s="121">
        <f ca="1">IF($C23="S",ROUND(IF(TIPOORCAMENTO="Proposto",ORÇAMENTO.CustoUnitario*(1+$AH23),ORÇAMENTO.PrecoUnitarioLicitado),15-13*$AF$10),0)</f>
        <v>0</v>
      </c>
      <c r="X23" s="124">
        <f ca="1">IF($C23="S",IF(Import.TipoArredondamento&lt;&gt;"TransfereGOV",VTOTAL1,SUM(OFFSET(CÁLCULO!$AA$15,ROW($X23)-ROW($X$15),1):OFFSET(CÁLCULO!$AL$15,ROW($X23)-ROW($X$15),-1))),IF($C23=0,0,ROUND(SomaAgrup,15-13*$AF$11)))</f>
        <v>0</v>
      </c>
      <c r="Y23" s="125" t="s">
        <v>245</v>
      </c>
      <c r="Z23" t="str">
        <f t="shared" ca="1" si="29"/>
        <v/>
      </c>
      <c r="AA23" s="126">
        <f ca="1">IF($C23="S",IF($Z23="CP",$X23,IF($Z23="RA",(($X23)*QCI!$AA$3),0)),SomaAgrup)</f>
        <v>0</v>
      </c>
      <c r="AB23" s="127">
        <f t="shared" ca="1" si="30"/>
        <v>0</v>
      </c>
      <c r="AC23" s="128" t="str">
        <f ca="1">IF($N23="","",IF(ORÇAMENTO.Descricao="","DESCRIÇÃO",IF(AND($C23="S",ORÇAMENTO.Unidade=""),"UNIDADE",IF($X23&lt;0,"VALOR NEGATIVO",IF(OR(AND(TIPOORCAMENTO="Proposto",$AG23&lt;&gt;"",$AG23&gt;0,ORÇAMENTO.CustoUnitario&gt;$AG23),AND(TIPOORCAMENTO="LICITADO",ORÇAMENTO.PrecoUnitarioLicitado&gt;$AN23)),"ACIMA REF.","")))))</f>
        <v/>
      </c>
      <c r="AD23" t="str">
        <f ca="1">IF(C23&lt;=CRONO.NivelExibicao,MAX($AD$15:OFFSET(AD23,-1,0))+IF($C23&lt;&gt;1,1,MAX(1,COUNTIF(QCI!$A$13:$A$24,OFFSET($E23,-1,0)))),"")</f>
        <v/>
      </c>
      <c r="AE23" s="7" t="str">
        <f ca="1">IF(AND($C23="S",ORÇAMENTO.CodBarra&lt;&gt;""),IF(ORÇAMENTO.Fonte="",ORÇAMENTO.CodBarra,CONCATENATE(ORÇAMENTO.Fonte," ",ORÇAMENTO.CodBarra)))</f>
        <v>SINAPI 98525</v>
      </c>
      <c r="AF23" s="13" t="str">
        <f ca="1">IF(ISERROR(INDIRECT(ORÇAMENTO.BancoRef)),"(abra o arquivo 'Referência "&amp;Excel_BuiltIn_Database&amp;".xlsm)",IF(OR($C23&lt;&gt;"S",ORÇAMENTO.CodBarra=""),"(Sem Código)",IF(ISERROR(MATCH($AE23,INDIRECT(ORÇAMENTO.BancoRef),0)),"(Código não identificado nas referências)",MATCH($AE23,INDIRECT(ORÇAMENTO.BancoRef),0))))</f>
        <v>(abra o arquivo 'Referência 10-2024.xlsm)</v>
      </c>
      <c r="AG23" s="495">
        <f ca="1">ROUND(IF(DESONERACAO="sim",REFERENCIA.Desonerado,REFERENCIA.NaoDesonerado),2)</f>
        <v>0</v>
      </c>
      <c r="AH23" s="496">
        <f t="shared" ca="1" si="31"/>
        <v>0.20710000000000001</v>
      </c>
      <c r="AJ23" s="498">
        <v>100</v>
      </c>
      <c r="AL23" s="524"/>
      <c r="AM23" s="378">
        <f t="shared" ca="1" si="0"/>
        <v>0</v>
      </c>
      <c r="AN23" s="563">
        <f t="shared" ca="1" si="32"/>
        <v>0</v>
      </c>
    </row>
    <row r="24" spans="1:40" ht="25.5" x14ac:dyDescent="0.2">
      <c r="A24" t="str">
        <f t="shared" si="18"/>
        <v>S</v>
      </c>
      <c r="B24">
        <f t="shared" ca="1" si="19"/>
        <v>2</v>
      </c>
      <c r="C24" t="str">
        <f t="shared" ca="1" si="20"/>
        <v>S</v>
      </c>
      <c r="D24">
        <f t="shared" ca="1" si="21"/>
        <v>0</v>
      </c>
      <c r="E24">
        <f ca="1">IF($C24=1,OFFSET(E24,-1,0)+MAX(1,COUNTIF(QCI!$A$13:$A$24,OFFSET(ORÇAMENTO!E24,-1,0))),OFFSET(E24,-1,0))</f>
        <v>1</v>
      </c>
      <c r="F24">
        <f t="shared" ca="1" si="22"/>
        <v>2</v>
      </c>
      <c r="G24">
        <f t="shared" ca="1" si="23"/>
        <v>0</v>
      </c>
      <c r="H24">
        <f t="shared" ca="1" si="24"/>
        <v>0</v>
      </c>
      <c r="I24">
        <f t="shared" ca="1" si="25"/>
        <v>0</v>
      </c>
      <c r="J24">
        <f t="shared" ca="1" si="9"/>
        <v>0</v>
      </c>
      <c r="K24">
        <f ca="1">IF(OR($C24="S",$C24=0),0,MATCH(OFFSET($D24,0,$C24)+IF($C24&lt;&gt;1,1,COUNTIF(QCI!$A$13:$A$24,ORÇAMENTO!E24)),OFFSET($D24,1,$C24,ROW($C$120)-ROW($C24)),0))</f>
        <v>0</v>
      </c>
      <c r="L24" s="113" t="str">
        <f t="shared" ca="1" si="26"/>
        <v/>
      </c>
      <c r="M24" s="114" t="s">
        <v>199</v>
      </c>
      <c r="N24" s="115" t="str">
        <f t="shared" ca="1" si="27"/>
        <v>Serviço</v>
      </c>
      <c r="O24" s="116" t="str">
        <f t="shared" ca="1" si="28"/>
        <v>-</v>
      </c>
      <c r="P24" s="117" t="s">
        <v>457</v>
      </c>
      <c r="Q24" s="118" t="s">
        <v>547</v>
      </c>
      <c r="R24" s="119" t="str">
        <f ca="1">IF($C24="S",REFERENCIA.Descricao,"(digite a descrição aqui)")</f>
        <v>(abra o arquivo 'Referência 10-2024.xlsm)</v>
      </c>
      <c r="S24" s="120" t="str">
        <f ca="1">REFERENCIA.Unidade</f>
        <v>-</v>
      </c>
      <c r="T24" s="121">
        <f ca="1">OFFSET(CÁLCULO!H$15,ROW($T24)-ROW(T$15),0)</f>
        <v>38</v>
      </c>
      <c r="U24" s="122">
        <f t="shared" ca="1" si="17"/>
        <v>0</v>
      </c>
      <c r="V24" s="123" t="s">
        <v>156</v>
      </c>
      <c r="W24" s="121">
        <f ca="1">IF($C24="S",ROUND(IF(TIPOORCAMENTO="Proposto",ORÇAMENTO.CustoUnitario*(1+$AH24),ORÇAMENTO.PrecoUnitarioLicitado),15-13*$AF$10),0)</f>
        <v>0</v>
      </c>
      <c r="X24" s="124">
        <f ca="1">IF($C24="S",IF(Import.TipoArredondamento&lt;&gt;"TransfereGOV",VTOTAL1,SUM(OFFSET(CÁLCULO!$AA$15,ROW($X24)-ROW($X$15),1):OFFSET(CÁLCULO!$AL$15,ROW($X24)-ROW($X$15),-1))),IF($C24=0,0,ROUND(SomaAgrup,15-13*$AF$11)))</f>
        <v>0</v>
      </c>
      <c r="Y24" s="125" t="s">
        <v>245</v>
      </c>
      <c r="Z24" t="str">
        <f t="shared" ca="1" si="29"/>
        <v/>
      </c>
      <c r="AA24" s="126">
        <f ca="1">IF($C24="S",IF($Z24="CP",$X24,IF($Z24="RA",(($X24)*QCI!$AA$3),0)),SomaAgrup)</f>
        <v>0</v>
      </c>
      <c r="AB24" s="127">
        <f t="shared" ca="1" si="30"/>
        <v>0</v>
      </c>
      <c r="AC24" s="128" t="str">
        <f ca="1">IF($N24="","",IF(ORÇAMENTO.Descricao="","DESCRIÇÃO",IF(AND($C24="S",ORÇAMENTO.Unidade=""),"UNIDADE",IF($X24&lt;0,"VALOR NEGATIVO",IF(OR(AND(TIPOORCAMENTO="Proposto",$AG24&lt;&gt;"",$AG24&gt;0,ORÇAMENTO.CustoUnitario&gt;$AG24),AND(TIPOORCAMENTO="LICITADO",ORÇAMENTO.PrecoUnitarioLicitado&gt;$AN24)),"ACIMA REF.","")))))</f>
        <v/>
      </c>
      <c r="AD24" t="str">
        <f ca="1">IF(C24&lt;=CRONO.NivelExibicao,MAX($AD$15:OFFSET(AD24,-1,0))+IF($C24&lt;&gt;1,1,MAX(1,COUNTIF(QCI!$A$13:$A$24,OFFSET($E24,-1,0)))),"")</f>
        <v/>
      </c>
      <c r="AE24" s="7" t="str">
        <f ca="1">IF(AND($C24="S",ORÇAMENTO.CodBarra&lt;&gt;""),IF(ORÇAMENTO.Fonte="",ORÇAMENTO.CodBarra,CONCATENATE(ORÇAMENTO.Fonte," ",ORÇAMENTO.CodBarra)))</f>
        <v>Composição COMP-03</v>
      </c>
      <c r="AF24" s="13" t="str">
        <f ca="1">IF(ISERROR(INDIRECT(ORÇAMENTO.BancoRef)),"(abra o arquivo 'Referência "&amp;Excel_BuiltIn_Database&amp;".xlsm)",IF(OR($C24&lt;&gt;"S",ORÇAMENTO.CodBarra=""),"(Sem Código)",IF(ISERROR(MATCH($AE24,INDIRECT(ORÇAMENTO.BancoRef),0)),"(Código não identificado nas referências)",MATCH($AE24,INDIRECT(ORÇAMENTO.BancoRef),0))))</f>
        <v>(abra o arquivo 'Referência 10-2024.xlsm)</v>
      </c>
      <c r="AG24" s="495">
        <f ca="1">ROUND(IF(DESONERACAO="sim",REFERENCIA.Desonerado,REFERENCIA.NaoDesonerado),2)</f>
        <v>0</v>
      </c>
      <c r="AH24" s="496">
        <f t="shared" ca="1" si="31"/>
        <v>0.20710000000000001</v>
      </c>
      <c r="AJ24" s="498">
        <v>38</v>
      </c>
      <c r="AL24" s="524"/>
      <c r="AM24" s="378">
        <f t="shared" ca="1" si="0"/>
        <v>0</v>
      </c>
      <c r="AN24" s="563">
        <f t="shared" ca="1" si="32"/>
        <v>0</v>
      </c>
    </row>
    <row r="25" spans="1:40" ht="25.5" x14ac:dyDescent="0.2">
      <c r="A25" t="str">
        <f t="shared" si="18"/>
        <v>S</v>
      </c>
      <c r="B25">
        <f t="shared" ca="1" si="19"/>
        <v>2</v>
      </c>
      <c r="C25" t="str">
        <f t="shared" ca="1" si="20"/>
        <v>S</v>
      </c>
      <c r="D25">
        <f t="shared" ca="1" si="21"/>
        <v>0</v>
      </c>
      <c r="E25">
        <f ca="1">IF($C25=1,OFFSET(E25,-1,0)+MAX(1,COUNTIF(QCI!$A$13:$A$24,OFFSET(ORÇAMENTO!E25,-1,0))),OFFSET(E25,-1,0))</f>
        <v>1</v>
      </c>
      <c r="F25">
        <f t="shared" ca="1" si="22"/>
        <v>2</v>
      </c>
      <c r="G25">
        <f t="shared" ca="1" si="23"/>
        <v>0</v>
      </c>
      <c r="H25">
        <f t="shared" ca="1" si="24"/>
        <v>0</v>
      </c>
      <c r="I25">
        <f t="shared" ca="1" si="25"/>
        <v>0</v>
      </c>
      <c r="J25">
        <f t="shared" ca="1" si="9"/>
        <v>0</v>
      </c>
      <c r="K25">
        <f ca="1">IF(OR($C25="S",$C25=0),0,MATCH(OFFSET($D25,0,$C25)+IF($C25&lt;&gt;1,1,COUNTIF(QCI!$A$13:$A$24,ORÇAMENTO!E25)),OFFSET($D25,1,$C25,ROW($C$120)-ROW($C25)),0))</f>
        <v>0</v>
      </c>
      <c r="L25" s="113" t="str">
        <f t="shared" ca="1" si="26"/>
        <v/>
      </c>
      <c r="M25" s="114" t="s">
        <v>199</v>
      </c>
      <c r="N25" s="115" t="str">
        <f t="shared" ca="1" si="27"/>
        <v>Serviço</v>
      </c>
      <c r="O25" s="116" t="str">
        <f t="shared" ca="1" si="28"/>
        <v>-</v>
      </c>
      <c r="P25" s="117" t="s">
        <v>456</v>
      </c>
      <c r="Q25" s="118" t="s">
        <v>463</v>
      </c>
      <c r="R25" s="119" t="str">
        <f ca="1">IF($C25="S",REFERENCIA.Descricao,"(digite a descrição aqui)")</f>
        <v>(abra o arquivo 'Referência 10-2024.xlsm)</v>
      </c>
      <c r="S25" s="120" t="str">
        <f ca="1">REFERENCIA.Unidade</f>
        <v>-</v>
      </c>
      <c r="T25" s="121">
        <f ca="1">OFFSET(CÁLCULO!H$15,ROW($T25)-ROW(T$15),0)</f>
        <v>78</v>
      </c>
      <c r="U25" s="122">
        <f t="shared" ca="1" si="17"/>
        <v>0</v>
      </c>
      <c r="V25" s="123" t="s">
        <v>156</v>
      </c>
      <c r="W25" s="121">
        <f ca="1">IF($C25="S",ROUND(IF(TIPOORCAMENTO="Proposto",ORÇAMENTO.CustoUnitario*(1+$AH25),ORÇAMENTO.PrecoUnitarioLicitado),15-13*$AF$10),0)</f>
        <v>0</v>
      </c>
      <c r="X25" s="124">
        <f ca="1">IF($C25="S",IF(Import.TipoArredondamento&lt;&gt;"TransfereGOV",VTOTAL1,SUM(OFFSET(CÁLCULO!$AA$15,ROW($X25)-ROW($X$15),1):OFFSET(CÁLCULO!$AL$15,ROW($X25)-ROW($X$15),-1))),IF($C25=0,0,ROUND(SomaAgrup,15-13*$AF$11)))</f>
        <v>0</v>
      </c>
      <c r="Y25" s="125" t="s">
        <v>245</v>
      </c>
      <c r="Z25" t="str">
        <f t="shared" ca="1" si="29"/>
        <v/>
      </c>
      <c r="AA25" s="126">
        <f ca="1">IF($C25="S",IF($Z25="CP",$X25,IF($Z25="RA",(($X25)*QCI!$AA$3),0)),SomaAgrup)</f>
        <v>0</v>
      </c>
      <c r="AB25" s="127">
        <f t="shared" ca="1" si="30"/>
        <v>0</v>
      </c>
      <c r="AC25" s="128" t="str">
        <f ca="1">IF($N25="","",IF(ORÇAMENTO.Descricao="","DESCRIÇÃO",IF(AND($C25="S",ORÇAMENTO.Unidade=""),"UNIDADE",IF($X25&lt;0,"VALOR NEGATIVO",IF(OR(AND(TIPOORCAMENTO="Proposto",$AG25&lt;&gt;"",$AG25&gt;0,ORÇAMENTO.CustoUnitario&gt;$AG25),AND(TIPOORCAMENTO="LICITADO",ORÇAMENTO.PrecoUnitarioLicitado&gt;$AN25)),"ACIMA REF.","")))))</f>
        <v/>
      </c>
      <c r="AD25" t="str">
        <f ca="1">IF(C25&lt;=CRONO.NivelExibicao,MAX($AD$15:OFFSET(AD25,-1,0))+IF($C25&lt;&gt;1,1,MAX(1,COUNTIF(QCI!$A$13:$A$24,OFFSET($E25,-1,0)))),"")</f>
        <v/>
      </c>
      <c r="AE25" s="7" t="str">
        <f ca="1">IF(AND($C25="S",ORÇAMENTO.CodBarra&lt;&gt;""),IF(ORÇAMENTO.Fonte="",ORÇAMENTO.CodBarra,CONCATENATE(ORÇAMENTO.Fonte," ",ORÇAMENTO.CodBarra)))</f>
        <v>SINAPI-I 6081</v>
      </c>
      <c r="AF25" s="13" t="str">
        <f ca="1">IF(ISERROR(INDIRECT(ORÇAMENTO.BancoRef)),"(abra o arquivo 'Referência "&amp;Excel_BuiltIn_Database&amp;".xlsm)",IF(OR($C25&lt;&gt;"S",ORÇAMENTO.CodBarra=""),"(Sem Código)",IF(ISERROR(MATCH($AE25,INDIRECT(ORÇAMENTO.BancoRef),0)),"(Código não identificado nas referências)",MATCH($AE25,INDIRECT(ORÇAMENTO.BancoRef),0))))</f>
        <v>(abra o arquivo 'Referência 10-2024.xlsm)</v>
      </c>
      <c r="AG25" s="495">
        <f ca="1">ROUND(IF(DESONERACAO="sim",REFERENCIA.Desonerado,REFERENCIA.NaoDesonerado),2)</f>
        <v>0</v>
      </c>
      <c r="AH25" s="496">
        <f t="shared" ca="1" si="31"/>
        <v>0.20710000000000001</v>
      </c>
      <c r="AJ25" s="498">
        <v>78</v>
      </c>
      <c r="AL25" s="524"/>
      <c r="AM25" s="378">
        <f t="shared" ca="1" si="0"/>
        <v>0</v>
      </c>
      <c r="AN25" s="563">
        <f t="shared" ca="1" si="32"/>
        <v>0</v>
      </c>
    </row>
    <row r="26" spans="1:40" ht="51" x14ac:dyDescent="0.2">
      <c r="A26" t="str">
        <f t="shared" si="18"/>
        <v>S</v>
      </c>
      <c r="B26">
        <f t="shared" ca="1" si="19"/>
        <v>2</v>
      </c>
      <c r="C26" t="str">
        <f t="shared" ca="1" si="20"/>
        <v>S</v>
      </c>
      <c r="D26">
        <f t="shared" ca="1" si="21"/>
        <v>0</v>
      </c>
      <c r="E26">
        <f ca="1">IF($C26=1,OFFSET(E26,-1,0)+MAX(1,COUNTIF(QCI!$A$13:$A$24,OFFSET(ORÇAMENTO!E26,-1,0))),OFFSET(E26,-1,0))</f>
        <v>1</v>
      </c>
      <c r="F26">
        <f t="shared" ca="1" si="22"/>
        <v>2</v>
      </c>
      <c r="G26">
        <f t="shared" ca="1" si="23"/>
        <v>0</v>
      </c>
      <c r="H26">
        <f t="shared" ca="1" si="24"/>
        <v>0</v>
      </c>
      <c r="I26">
        <f t="shared" ca="1" si="25"/>
        <v>0</v>
      </c>
      <c r="J26">
        <f t="shared" ca="1" si="9"/>
        <v>0</v>
      </c>
      <c r="K26">
        <f ca="1">IF(OR($C26="S",$C26=0),0,MATCH(OFFSET($D26,0,$C26)+IF($C26&lt;&gt;1,1,COUNTIF(QCI!$A$13:$A$24,ORÇAMENTO!E26)),OFFSET($D26,1,$C26,ROW($C$120)-ROW($C26)),0))</f>
        <v>0</v>
      </c>
      <c r="L26" s="113" t="str">
        <f t="shared" ca="1" si="26"/>
        <v/>
      </c>
      <c r="M26" s="114" t="s">
        <v>199</v>
      </c>
      <c r="N26" s="115" t="str">
        <f t="shared" ca="1" si="27"/>
        <v>Serviço</v>
      </c>
      <c r="O26" s="116" t="str">
        <f t="shared" ca="1" si="28"/>
        <v>-</v>
      </c>
      <c r="P26" s="117" t="s">
        <v>247</v>
      </c>
      <c r="Q26" s="118" t="s">
        <v>464</v>
      </c>
      <c r="R26" s="119" t="str">
        <f ca="1">IF($C26="S",REFERENCIA.Descricao,"(digite a descrição aqui)")</f>
        <v>(abra o arquivo 'Referência 10-2024.xlsm)</v>
      </c>
      <c r="S26" s="120" t="str">
        <f ca="1">REFERENCIA.Unidade</f>
        <v>-</v>
      </c>
      <c r="T26" s="121">
        <f ca="1">OFFSET(CÁLCULO!H$15,ROW($T26)-ROW(T$15),0)</f>
        <v>78</v>
      </c>
      <c r="U26" s="122">
        <f t="shared" ca="1" si="17"/>
        <v>0</v>
      </c>
      <c r="V26" s="123" t="s">
        <v>156</v>
      </c>
      <c r="W26" s="121">
        <f ca="1">IF($C26="S",ROUND(IF(TIPOORCAMENTO="Proposto",ORÇAMENTO.CustoUnitario*(1+$AH26),ORÇAMENTO.PrecoUnitarioLicitado),15-13*$AF$10),0)</f>
        <v>0</v>
      </c>
      <c r="X26" s="124">
        <f ca="1">IF($C26="S",IF(Import.TipoArredondamento&lt;&gt;"TransfereGOV",VTOTAL1,SUM(OFFSET(CÁLCULO!$AA$15,ROW($X26)-ROW($X$15),1):OFFSET(CÁLCULO!$AL$15,ROW($X26)-ROW($X$15),-1))),IF($C26=0,0,ROUND(SomaAgrup,15-13*$AF$11)))</f>
        <v>0</v>
      </c>
      <c r="Y26" s="125" t="s">
        <v>245</v>
      </c>
      <c r="Z26" t="str">
        <f t="shared" ca="1" si="29"/>
        <v/>
      </c>
      <c r="AA26" s="126">
        <f ca="1">IF($C26="S",IF($Z26="CP",$X26,IF($Z26="RA",(($X26)*QCI!$AA$3),0)),SomaAgrup)</f>
        <v>0</v>
      </c>
      <c r="AB26" s="127">
        <f t="shared" ca="1" si="30"/>
        <v>0</v>
      </c>
      <c r="AC26" s="128" t="str">
        <f ca="1">IF($N26="","",IF(ORÇAMENTO.Descricao="","DESCRIÇÃO",IF(AND($C26="S",ORÇAMENTO.Unidade=""),"UNIDADE",IF($X26&lt;0,"VALOR NEGATIVO",IF(OR(AND(TIPOORCAMENTO="Proposto",$AG26&lt;&gt;"",$AG26&gt;0,ORÇAMENTO.CustoUnitario&gt;$AG26),AND(TIPOORCAMENTO="LICITADO",ORÇAMENTO.PrecoUnitarioLicitado&gt;$AN26)),"ACIMA REF.","")))))</f>
        <v/>
      </c>
      <c r="AD26" t="str">
        <f ca="1">IF(C26&lt;=CRONO.NivelExibicao,MAX($AD$15:OFFSET(AD26,-1,0))+IF($C26&lt;&gt;1,1,MAX(1,COUNTIF(QCI!$A$13:$A$24,OFFSET($E26,-1,0)))),"")</f>
        <v/>
      </c>
      <c r="AE26" s="7" t="str">
        <f ca="1">IF(AND($C26="S",ORÇAMENTO.CodBarra&lt;&gt;""),IF(ORÇAMENTO.Fonte="",ORÇAMENTO.CodBarra,CONCATENATE(ORÇAMENTO.Fonte," ",ORÇAMENTO.CodBarra)))</f>
        <v>SINAPI 100978</v>
      </c>
      <c r="AF26" s="13" t="str">
        <f ca="1">IF(ISERROR(INDIRECT(ORÇAMENTO.BancoRef)),"(abra o arquivo 'Referência "&amp;Excel_BuiltIn_Database&amp;".xlsm)",IF(OR($C26&lt;&gt;"S",ORÇAMENTO.CodBarra=""),"(Sem Código)",IF(ISERROR(MATCH($AE26,INDIRECT(ORÇAMENTO.BancoRef),0)),"(Código não identificado nas referências)",MATCH($AE26,INDIRECT(ORÇAMENTO.BancoRef),0))))</f>
        <v>(abra o arquivo 'Referência 10-2024.xlsm)</v>
      </c>
      <c r="AG26" s="495">
        <f ca="1">ROUND(IF(DESONERACAO="sim",REFERENCIA.Desonerado,REFERENCIA.NaoDesonerado),2)</f>
        <v>0</v>
      </c>
      <c r="AH26" s="496">
        <f t="shared" ca="1" si="31"/>
        <v>0.20710000000000001</v>
      </c>
      <c r="AJ26" s="498">
        <v>78</v>
      </c>
      <c r="AL26" s="524"/>
      <c r="AM26" s="378">
        <f t="shared" ca="1" si="0"/>
        <v>0</v>
      </c>
      <c r="AN26" s="563">
        <f t="shared" ca="1" si="32"/>
        <v>0</v>
      </c>
    </row>
    <row r="27" spans="1:40" ht="51" x14ac:dyDescent="0.2">
      <c r="A27" t="str">
        <f t="shared" si="18"/>
        <v>S</v>
      </c>
      <c r="B27">
        <f t="shared" ca="1" si="19"/>
        <v>2</v>
      </c>
      <c r="C27" t="str">
        <f t="shared" ca="1" si="20"/>
        <v>S</v>
      </c>
      <c r="D27">
        <f t="shared" ca="1" si="21"/>
        <v>0</v>
      </c>
      <c r="E27">
        <f ca="1">IF($C27=1,OFFSET(E27,-1,0)+MAX(1,COUNTIF(QCI!$A$13:$A$24,OFFSET(ORÇAMENTO!E27,-1,0))),OFFSET(E27,-1,0))</f>
        <v>1</v>
      </c>
      <c r="F27">
        <f t="shared" ca="1" si="22"/>
        <v>2</v>
      </c>
      <c r="G27">
        <f t="shared" ca="1" si="23"/>
        <v>0</v>
      </c>
      <c r="H27">
        <f t="shared" ca="1" si="24"/>
        <v>0</v>
      </c>
      <c r="I27">
        <f t="shared" ca="1" si="25"/>
        <v>0</v>
      </c>
      <c r="J27">
        <f t="shared" ca="1" si="9"/>
        <v>0</v>
      </c>
      <c r="K27">
        <f ca="1">IF(OR($C27="S",$C27=0),0,MATCH(OFFSET($D27,0,$C27)+IF($C27&lt;&gt;1,1,COUNTIF(QCI!$A$13:$A$24,ORÇAMENTO!E27)),OFFSET($D27,1,$C27,ROW($C$120)-ROW($C27)),0))</f>
        <v>0</v>
      </c>
      <c r="L27" s="113" t="str">
        <f t="shared" ca="1" si="26"/>
        <v/>
      </c>
      <c r="M27" s="114" t="s">
        <v>199</v>
      </c>
      <c r="N27" s="115" t="str">
        <f t="shared" ca="1" si="27"/>
        <v>Serviço</v>
      </c>
      <c r="O27" s="116" t="str">
        <f t="shared" ca="1" si="28"/>
        <v>-</v>
      </c>
      <c r="P27" s="117" t="s">
        <v>247</v>
      </c>
      <c r="Q27" s="118" t="s">
        <v>465</v>
      </c>
      <c r="R27" s="119" t="str">
        <f ca="1">IF($C27="S",REFERENCIA.Descricao,"(digite a descrição aqui)")</f>
        <v>(abra o arquivo 'Referência 10-2024.xlsm)</v>
      </c>
      <c r="S27" s="120" t="str">
        <f ca="1">REFERENCIA.Unidade</f>
        <v>-</v>
      </c>
      <c r="T27" s="121">
        <f ca="1">OFFSET(CÁLCULO!H$15,ROW($T27)-ROW(T$15),0)</f>
        <v>78</v>
      </c>
      <c r="U27" s="122">
        <f t="shared" ca="1" si="17"/>
        <v>0</v>
      </c>
      <c r="V27" s="123" t="s">
        <v>156</v>
      </c>
      <c r="W27" s="121">
        <f ca="1">IF($C27="S",ROUND(IF(TIPOORCAMENTO="Proposto",ORÇAMENTO.CustoUnitario*(1+$AH27),ORÇAMENTO.PrecoUnitarioLicitado),15-13*$AF$10),0)</f>
        <v>0</v>
      </c>
      <c r="X27" s="124">
        <f ca="1">IF($C27="S",IF(Import.TipoArredondamento&lt;&gt;"TransfereGOV",VTOTAL1,SUM(OFFSET(CÁLCULO!$AA$15,ROW($X27)-ROW($X$15),1):OFFSET(CÁLCULO!$AL$15,ROW($X27)-ROW($X$15),-1))),IF($C27=0,0,ROUND(SomaAgrup,15-13*$AF$11)))</f>
        <v>0</v>
      </c>
      <c r="Y27" s="125" t="s">
        <v>245</v>
      </c>
      <c r="Z27" t="str">
        <f t="shared" ca="1" si="29"/>
        <v/>
      </c>
      <c r="AA27" s="126">
        <f ca="1">IF($C27="S",IF($Z27="CP",$X27,IF($Z27="RA",(($X27)*QCI!$AA$3),0)),SomaAgrup)</f>
        <v>0</v>
      </c>
      <c r="AB27" s="127">
        <f t="shared" ca="1" si="30"/>
        <v>0</v>
      </c>
      <c r="AC27" s="128" t="str">
        <f ca="1">IF($N27="","",IF(ORÇAMENTO.Descricao="","DESCRIÇÃO",IF(AND($C27="S",ORÇAMENTO.Unidade=""),"UNIDADE",IF($X27&lt;0,"VALOR NEGATIVO",IF(OR(AND(TIPOORCAMENTO="Proposto",$AG27&lt;&gt;"",$AG27&gt;0,ORÇAMENTO.CustoUnitario&gt;$AG27),AND(TIPOORCAMENTO="LICITADO",ORÇAMENTO.PrecoUnitarioLicitado&gt;$AN27)),"ACIMA REF.","")))))</f>
        <v/>
      </c>
      <c r="AD27" t="str">
        <f ca="1">IF(C27&lt;=CRONO.NivelExibicao,MAX($AD$15:OFFSET(AD27,-1,0))+IF($C27&lt;&gt;1,1,MAX(1,COUNTIF(QCI!$A$13:$A$24,OFFSET($E27,-1,0)))),"")</f>
        <v/>
      </c>
      <c r="AE27" s="7" t="str">
        <f ca="1">IF(AND($C27="S",ORÇAMENTO.CodBarra&lt;&gt;""),IF(ORÇAMENTO.Fonte="",ORÇAMENTO.CodBarra,CONCATENATE(ORÇAMENTO.Fonte," ",ORÇAMENTO.CodBarra)))</f>
        <v>SINAPI 96385</v>
      </c>
      <c r="AF27" s="13" t="str">
        <f ca="1">IF(ISERROR(INDIRECT(ORÇAMENTO.BancoRef)),"(abra o arquivo 'Referência "&amp;Excel_BuiltIn_Database&amp;".xlsm)",IF(OR($C27&lt;&gt;"S",ORÇAMENTO.CodBarra=""),"(Sem Código)",IF(ISERROR(MATCH($AE27,INDIRECT(ORÇAMENTO.BancoRef),0)),"(Código não identificado nas referências)",MATCH($AE27,INDIRECT(ORÇAMENTO.BancoRef),0))))</f>
        <v>(abra o arquivo 'Referência 10-2024.xlsm)</v>
      </c>
      <c r="AG27" s="495">
        <f ca="1">ROUND(IF(DESONERACAO="sim",REFERENCIA.Desonerado,REFERENCIA.NaoDesonerado),2)</f>
        <v>0</v>
      </c>
      <c r="AH27" s="496">
        <f t="shared" ca="1" si="31"/>
        <v>0.20710000000000001</v>
      </c>
      <c r="AJ27" s="498">
        <v>78</v>
      </c>
      <c r="AL27" s="524"/>
      <c r="AM27" s="378">
        <f t="shared" ca="1" si="0"/>
        <v>0</v>
      </c>
      <c r="AN27" s="563">
        <f t="shared" ca="1" si="32"/>
        <v>0</v>
      </c>
    </row>
    <row r="28" spans="1:40" x14ac:dyDescent="0.2">
      <c r="A28">
        <f t="shared" si="1"/>
        <v>2</v>
      </c>
      <c r="B28">
        <f t="shared" ca="1" si="2"/>
        <v>2</v>
      </c>
      <c r="C28">
        <f t="shared" ca="1" si="3"/>
        <v>2</v>
      </c>
      <c r="D28">
        <f t="shared" ca="1" si="4"/>
        <v>14</v>
      </c>
      <c r="E28">
        <f ca="1">IF($C28=1,OFFSET(E28,-1,0)+MAX(1,COUNTIF(QCI!$A$13:$A$24,OFFSET(ORÇAMENTO!E28,-1,0))),OFFSET(E28,-1,0))</f>
        <v>1</v>
      </c>
      <c r="F28">
        <f t="shared" ca="1" si="5"/>
        <v>3</v>
      </c>
      <c r="G28">
        <f t="shared" ca="1" si="6"/>
        <v>0</v>
      </c>
      <c r="H28">
        <f t="shared" ca="1" si="7"/>
        <v>0</v>
      </c>
      <c r="I28">
        <f t="shared" ca="1" si="8"/>
        <v>0</v>
      </c>
      <c r="J28">
        <f t="shared" ca="1" si="9"/>
        <v>92</v>
      </c>
      <c r="K28">
        <f ca="1">IF(OR($C28="S",$C28=0),0,MATCH(OFFSET($D28,0,$C28)+IF($C28&lt;&gt;1,1,COUNTIF(QCI!$A$13:$A$24,ORÇAMENTO!E28)),OFFSET($D28,1,$C28,ROW($C$120)-ROW($C28)),0))</f>
        <v>14</v>
      </c>
      <c r="L28" s="113" t="str">
        <f t="shared" ca="1" si="10"/>
        <v>F</v>
      </c>
      <c r="M28" s="114" t="s">
        <v>196</v>
      </c>
      <c r="N28" s="115" t="str">
        <f t="shared" ca="1" si="11"/>
        <v>Nível 2</v>
      </c>
      <c r="O28" s="116" t="str">
        <f t="shared" ca="1" si="12"/>
        <v>1.3.</v>
      </c>
      <c r="P28" s="117" t="s">
        <v>247</v>
      </c>
      <c r="Q28" s="118"/>
      <c r="R28" s="119" t="s">
        <v>466</v>
      </c>
      <c r="S28" s="120" t="str">
        <f ca="1">REFERENCIA.Unidade</f>
        <v>-</v>
      </c>
      <c r="T28" s="121">
        <f ca="1">OFFSET(CÁLCULO!H$15,ROW($T28)-ROW(T$15),0)</f>
        <v>0</v>
      </c>
      <c r="U28" s="122">
        <f t="shared" ref="U28:U94" ca="1" si="33">AG28</f>
        <v>0</v>
      </c>
      <c r="V28" s="123" t="s">
        <v>156</v>
      </c>
      <c r="W28" s="121">
        <f ca="1">IF($C28="S",ROUND(IF(TIPOORCAMENTO="Proposto",ORÇAMENTO.CustoUnitario*(1+$AH28),ORÇAMENTO.PrecoUnitarioLicitado),15-13*$AF$10),0)</f>
        <v>0</v>
      </c>
      <c r="X28" s="124">
        <f ca="1">IF($C28="S",IF(Import.TipoArredondamento&lt;&gt;"TransfereGOV",VTOTAL1,SUM(OFFSET(CÁLCULO!$AA$15,ROW($X28)-ROW($X$15),1):OFFSET(CÁLCULO!$AL$15,ROW($X28)-ROW($X$15),-1))),IF($C28=0,0,ROUND(SomaAgrup,15-13*$AF$11)))</f>
        <v>0</v>
      </c>
      <c r="Y28" s="125" t="s">
        <v>245</v>
      </c>
      <c r="Z28" t="str">
        <f t="shared" ca="1" si="13"/>
        <v/>
      </c>
      <c r="AA28" s="126">
        <f ca="1">IF($C28="S",IF($Z28="CP",$X28,IF($Z28="RA",(($X28)*QCI!$AA$3),0)),SomaAgrup)</f>
        <v>0</v>
      </c>
      <c r="AB28" s="127">
        <f t="shared" ca="1" si="14"/>
        <v>0</v>
      </c>
      <c r="AC28" s="128" t="str">
        <f ca="1">IF($N28="","",IF(ORÇAMENTO.Descricao="","DESCRIÇÃO",IF(AND($C28="S",ORÇAMENTO.Unidade=""),"UNIDADE",IF($X28&lt;0,"VALOR NEGATIVO",IF(OR(AND(TIPOORCAMENTO="Proposto",$AG28&lt;&gt;"",$AG28&gt;0,ORÇAMENTO.CustoUnitario&gt;$AG28),AND(TIPOORCAMENTO="LICITADO",ORÇAMENTO.PrecoUnitarioLicitado&gt;$AN28)),"ACIMA REF.","")))))</f>
        <v/>
      </c>
      <c r="AD28">
        <f ca="1">IF(C28&lt;=CRONO.NivelExibicao,MAX($AD$15:OFFSET(AD28,-1,0))+IF($C28&lt;&gt;1,1,MAX(1,COUNTIF(QCI!$A$13:$A$24,OFFSET($E28,-1,0)))),"")</f>
        <v>4</v>
      </c>
      <c r="AE28" s="7" t="b">
        <f ca="1">IF(AND($C28="S",ORÇAMENTO.CodBarra&lt;&gt;""),IF(ORÇAMENTO.Fonte="",ORÇAMENTO.CodBarra,CONCATENATE(ORÇAMENTO.Fonte," ",ORÇAMENTO.CodBarra)))</f>
        <v>0</v>
      </c>
      <c r="AF28" s="13" t="str">
        <f ca="1">IF(ISERROR(INDIRECT(ORÇAMENTO.BancoRef)),"(abra o arquivo 'Referência "&amp;Excel_BuiltIn_Database&amp;".xlsm)",IF(OR($C28&lt;&gt;"S",ORÇAMENTO.CodBarra=""),"(Sem Código)",IF(ISERROR(MATCH($AE28,INDIRECT(ORÇAMENTO.BancoRef),0)),"(Código não identificado nas referências)",MATCH($AE28,INDIRECT(ORÇAMENTO.BancoRef),0))))</f>
        <v>(abra o arquivo 'Referência 10-2024.xlsm)</v>
      </c>
      <c r="AG28" s="495">
        <f ca="1">ROUND(IF(DESONERACAO="sim",REFERENCIA.Desonerado,REFERENCIA.NaoDesonerado),2)</f>
        <v>0</v>
      </c>
      <c r="AH28" s="496">
        <f t="shared" ca="1" si="15"/>
        <v>0.20710000000000001</v>
      </c>
      <c r="AJ28" s="498"/>
      <c r="AL28" s="524"/>
      <c r="AM28" s="378">
        <f t="shared" ca="1" si="0"/>
        <v>0</v>
      </c>
      <c r="AN28" s="563">
        <f t="shared" ca="1" si="16"/>
        <v>0</v>
      </c>
    </row>
    <row r="29" spans="1:40" ht="38.25" customHeight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3</v>
      </c>
      <c r="G29">
        <f t="shared" ca="1" si="6"/>
        <v>0</v>
      </c>
      <c r="H29">
        <f t="shared" ca="1" si="7"/>
        <v>0</v>
      </c>
      <c r="I29">
        <f t="shared" ca="1" si="8"/>
        <v>0</v>
      </c>
      <c r="J29">
        <f t="shared" ca="1" si="9"/>
        <v>0</v>
      </c>
      <c r="K29">
        <f ca="1">IF(OR($C29="S",$C29=0),0,MATCH(OFFSET($D29,0,$C29)+IF($C29&lt;&gt;1,1,COUNTIF(QCI!$A$13:$A$24,ORÇAMENTO!E29)),OFFSET($D29,1,$C29,ROW($C$120)-ROW($C29)),0))</f>
        <v>0</v>
      </c>
      <c r="L29" s="113" t="str">
        <f t="shared" ca="1" si="10"/>
        <v/>
      </c>
      <c r="M29" s="114" t="s">
        <v>199</v>
      </c>
      <c r="N29" s="115" t="str">
        <f t="shared" ca="1" si="11"/>
        <v>Serviço</v>
      </c>
      <c r="O29" s="116" t="str">
        <f t="shared" ca="1" si="12"/>
        <v>-</v>
      </c>
      <c r="P29" s="117" t="s">
        <v>247</v>
      </c>
      <c r="Q29" s="118" t="s">
        <v>468</v>
      </c>
      <c r="R29" s="119" t="str">
        <f ca="1">IF($C29="S",REFERENCIA.Descricao,"(digite a descrição aqui)")</f>
        <v>(abra o arquivo 'Referência 10-2024.xlsm)</v>
      </c>
      <c r="S29" s="120" t="str">
        <f ca="1">REFERENCIA.Unidade</f>
        <v>-</v>
      </c>
      <c r="T29" s="121">
        <f ca="1">OFFSET(CÁLCULO!H$15,ROW($T29)-ROW(T$15),0)</f>
        <v>12.8</v>
      </c>
      <c r="U29" s="122">
        <f t="shared" ca="1" si="33"/>
        <v>0</v>
      </c>
      <c r="V29" s="123" t="s">
        <v>156</v>
      </c>
      <c r="W29" s="121">
        <f ca="1">IF($C29="S",ROUND(IF(TIPOORCAMENTO="Proposto",ORÇAMENTO.CustoUnitario*(1+$AH29),ORÇAMENTO.PrecoUnitarioLicitado),15-13*$AF$10),0)</f>
        <v>0</v>
      </c>
      <c r="X29" s="124">
        <f ca="1">IF($C29="S",IF(Import.TipoArredondamento&lt;&gt;"TransfereGOV",VTOTAL1,SUM(OFFSET(CÁLCULO!$AA$15,ROW($X29)-ROW($X$15),1):OFFSET(CÁLCULO!$AL$15,ROW($X29)-ROW($X$15),-1))),IF($C29=0,0,ROUND(SomaAgrup,15-13*$AF$11)))</f>
        <v>0</v>
      </c>
      <c r="Y29" s="125" t="s">
        <v>245</v>
      </c>
      <c r="Z29" t="str">
        <f t="shared" ca="1" si="13"/>
        <v/>
      </c>
      <c r="AA29" s="126">
        <f ca="1">IF($C29="S",IF($Z29="CP",$X29,IF($Z29="RA",(($X29)*QCI!$AA$3),0)),SomaAgrup)</f>
        <v>0</v>
      </c>
      <c r="AB29" s="127">
        <f t="shared" ca="1" si="14"/>
        <v>0</v>
      </c>
      <c r="AC29" s="128" t="str">
        <f ca="1">IF($N29="","",IF(ORÇAMENTO.Descricao="","DESCRIÇÃO",IF(AND($C29="S",ORÇAMENTO.Unidade=""),"UNIDADE",IF($X29&lt;0,"VALOR NEGATIVO",IF(OR(AND(TIPOORCAMENTO="Proposto",$AG29&lt;&gt;"",$AG29&gt;0,ORÇAMENTO.CustoUnitario&gt;$AG29),AND(TIPOORCAMENTO="LICITADO",ORÇAMENTO.PrecoUnitarioLicitado&gt;$AN29)),"ACIMA REF.","")))))</f>
        <v/>
      </c>
      <c r="AD29" t="str">
        <f ca="1">IF(C29&lt;=CRONO.NivelExibicao,MAX($AD$15:OFFSET(AD29,-1,0))+IF($C29&lt;&gt;1,1,MAX(1,COUNTIF(QCI!$A$13:$A$24,OFFSET($E29,-1,0)))),"")</f>
        <v/>
      </c>
      <c r="AE29" s="7" t="str">
        <f ca="1">IF(AND($C29="S",ORÇAMENTO.CodBarra&lt;&gt;""),IF(ORÇAMENTO.Fonte="",ORÇAMENTO.CodBarra,CONCATENATE(ORÇAMENTO.Fonte," ",ORÇAMENTO.CodBarra)))</f>
        <v>SINAPI 96523</v>
      </c>
      <c r="AF29" s="13" t="str">
        <f ca="1">IF(ISERROR(INDIRECT(ORÇAMENTO.BancoRef)),"(abra o arquivo 'Referência "&amp;Excel_BuiltIn_Database&amp;".xlsm)",IF(OR($C29&lt;&gt;"S",ORÇAMENTO.CodBarra=""),"(Sem Código)",IF(ISERROR(MATCH($AE29,INDIRECT(ORÇAMENTO.BancoRef),0)),"(Código não identificado nas referências)",MATCH($AE29,INDIRECT(ORÇAMENTO.BancoRef),0))))</f>
        <v>(abra o arquivo 'Referência 10-2024.xlsm)</v>
      </c>
      <c r="AG29" s="495">
        <f ca="1">ROUND(IF(DESONERACAO="sim",REFERENCIA.Desonerado,REFERENCIA.NaoDesonerado),2)</f>
        <v>0</v>
      </c>
      <c r="AH29" s="496">
        <f t="shared" ca="1" si="15"/>
        <v>0.20710000000000001</v>
      </c>
      <c r="AJ29" s="498">
        <v>12.8</v>
      </c>
      <c r="AL29" s="524"/>
      <c r="AM29" s="378">
        <f t="shared" ca="1" si="0"/>
        <v>0</v>
      </c>
      <c r="AN29" s="563">
        <f t="shared" ca="1" si="16"/>
        <v>0</v>
      </c>
    </row>
    <row r="30" spans="1:40" ht="38.2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0</v>
      </c>
      <c r="J30">
        <f t="shared" ca="1" si="9"/>
        <v>0</v>
      </c>
      <c r="K30">
        <f ca="1">IF(OR($C30="S",$C30=0),0,MATCH(OFFSET($D30,0,$C30)+IF($C30&lt;&gt;1,1,COUNTIF(QCI!$A$13:$A$24,ORÇAMENTO!E30)),OFFSET($D30,1,$C30,ROW($C$120)-ROW($C30)),0))</f>
        <v>0</v>
      </c>
      <c r="L30" s="113" t="str">
        <f t="shared" ca="1" si="10"/>
        <v/>
      </c>
      <c r="M30" s="114" t="s">
        <v>199</v>
      </c>
      <c r="N30" s="115" t="str">
        <f t="shared" ca="1" si="11"/>
        <v>Serviço</v>
      </c>
      <c r="O30" s="116" t="str">
        <f t="shared" ca="1" si="12"/>
        <v>-</v>
      </c>
      <c r="P30" s="117" t="s">
        <v>247</v>
      </c>
      <c r="Q30" s="118" t="s">
        <v>480</v>
      </c>
      <c r="R30" s="119" t="str">
        <f ca="1">IF($C30="S",REFERENCIA.Descricao,"(digite a descrição aqui)")</f>
        <v>(abra o arquivo 'Referência 10-2024.xlsm)</v>
      </c>
      <c r="S30" s="120" t="str">
        <f ca="1">REFERENCIA.Unidade</f>
        <v>-</v>
      </c>
      <c r="T30" s="121">
        <f ca="1">OFFSET(CÁLCULO!H$15,ROW($T30)-ROW(T$15),0)</f>
        <v>1.92</v>
      </c>
      <c r="U30" s="122">
        <f t="shared" ca="1" si="33"/>
        <v>0</v>
      </c>
      <c r="V30" s="123" t="s">
        <v>156</v>
      </c>
      <c r="W30" s="121">
        <f ca="1">IF($C30="S",ROUND(IF(TIPOORCAMENTO="Proposto",ORÇAMENTO.CustoUnitario*(1+$AH30),ORÇAMENTO.PrecoUnitarioLicitado),15-13*$AF$10),0)</f>
        <v>0</v>
      </c>
      <c r="X30" s="124">
        <f ca="1">IF($C30="S",IF(Import.TipoArredondamento&lt;&gt;"TransfereGOV",VTOTAL1,SUM(OFFSET(CÁLCULO!$AA$15,ROW($X30)-ROW($X$15),1):OFFSET(CÁLCULO!$AL$15,ROW($X30)-ROW($X$15),-1))),IF($C30=0,0,ROUND(SomaAgrup,15-13*$AF$11)))</f>
        <v>0</v>
      </c>
      <c r="Y30" s="125" t="s">
        <v>245</v>
      </c>
      <c r="Z30" t="str">
        <f t="shared" ca="1" si="13"/>
        <v/>
      </c>
      <c r="AA30" s="126">
        <f ca="1">IF($C30="S",IF($Z30="CP",$X30,IF($Z30="RA",(($X30)*QCI!$AA$3),0)),SomaAgrup)</f>
        <v>0</v>
      </c>
      <c r="AB30" s="127">
        <f t="shared" ca="1" si="14"/>
        <v>0</v>
      </c>
      <c r="AC30" s="128" t="str">
        <f ca="1">IF($N30="","",IF(ORÇAMENTO.Descricao="","DESCRIÇÃO",IF(AND($C30="S",ORÇAMENTO.Unidade=""),"UNIDADE",IF($X30&lt;0,"VALOR NEGATIVO",IF(OR(AND(TIPOORCAMENTO="Proposto",$AG30&lt;&gt;"",$AG30&gt;0,ORÇAMENTO.CustoUnitario&gt;$AG30),AND(TIPOORCAMENTO="LICITADO",ORÇAMENTO.PrecoUnitarioLicitado&gt;$AN30)),"ACIMA REF.","")))))</f>
        <v/>
      </c>
      <c r="AD30" t="str">
        <f ca="1">IF(C30&lt;=CRONO.NivelExibicao,MAX($AD$15:OFFSET(AD30,-1,0))+IF($C30&lt;&gt;1,1,MAX(1,COUNTIF(QCI!$A$13:$A$24,OFFSET($E30,-1,0)))),"")</f>
        <v/>
      </c>
      <c r="AE30" s="7" t="str">
        <f ca="1">IF(AND($C30="S",ORÇAMENTO.CodBarra&lt;&gt;""),IF(ORÇAMENTO.Fonte="",ORÇAMENTO.CodBarra,CONCATENATE(ORÇAMENTO.Fonte," ",ORÇAMENTO.CodBarra)))</f>
        <v>SINAPI 96527</v>
      </c>
      <c r="AF30" s="13" t="str">
        <f ca="1">IF(ISERROR(INDIRECT(ORÇAMENTO.BancoRef)),"(abra o arquivo 'Referência "&amp;Excel_BuiltIn_Database&amp;".xlsm)",IF(OR($C30&lt;&gt;"S",ORÇAMENTO.CodBarra=""),"(Sem Código)",IF(ISERROR(MATCH($AE30,INDIRECT(ORÇAMENTO.BancoRef),0)),"(Código não identificado nas referências)",MATCH($AE30,INDIRECT(ORÇAMENTO.BancoRef),0))))</f>
        <v>(abra o arquivo 'Referência 10-2024.xlsm)</v>
      </c>
      <c r="AG30" s="495">
        <f ca="1">ROUND(IF(DESONERACAO="sim",REFERENCIA.Desonerado,REFERENCIA.NaoDesonerado),2)</f>
        <v>0</v>
      </c>
      <c r="AH30" s="496">
        <f t="shared" ca="1" si="15"/>
        <v>0.20710000000000001</v>
      </c>
      <c r="AJ30" s="498">
        <v>1.92</v>
      </c>
      <c r="AL30" s="524"/>
      <c r="AM30" s="378">
        <f t="shared" ca="1" si="0"/>
        <v>0</v>
      </c>
      <c r="AN30" s="563">
        <f t="shared" ca="1" si="16"/>
        <v>0</v>
      </c>
    </row>
    <row r="31" spans="1:40" ht="25.5" customHeight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3</v>
      </c>
      <c r="G31">
        <f t="shared" ca="1" si="6"/>
        <v>0</v>
      </c>
      <c r="H31">
        <f t="shared" ca="1" si="7"/>
        <v>0</v>
      </c>
      <c r="I31">
        <f t="shared" ca="1" si="8"/>
        <v>0</v>
      </c>
      <c r="J31">
        <f t="shared" ca="1" si="9"/>
        <v>0</v>
      </c>
      <c r="K31">
        <f ca="1">IF(OR($C31="S",$C31=0),0,MATCH(OFFSET($D31,0,$C31)+IF($C31&lt;&gt;1,1,COUNTIF(QCI!$A$13:$A$24,ORÇAMENTO!E31)),OFFSET($D31,1,$C31,ROW($C$120)-ROW($C31)),0))</f>
        <v>0</v>
      </c>
      <c r="L31" s="113" t="str">
        <f t="shared" ca="1" si="10"/>
        <v/>
      </c>
      <c r="M31" s="114" t="s">
        <v>199</v>
      </c>
      <c r="N31" s="115" t="str">
        <f t="shared" ca="1" si="11"/>
        <v>Serviço</v>
      </c>
      <c r="O31" s="116" t="str">
        <f t="shared" ca="1" si="12"/>
        <v>-</v>
      </c>
      <c r="P31" s="117" t="s">
        <v>247</v>
      </c>
      <c r="Q31" s="118" t="s">
        <v>481</v>
      </c>
      <c r="R31" s="119" t="str">
        <f ca="1">IF($C31="S",REFERENCIA.Descricao,"(digite a descrição aqui)")</f>
        <v>(abra o arquivo 'Referência 10-2024.xlsm)</v>
      </c>
      <c r="S31" s="120" t="str">
        <f ca="1">REFERENCIA.Unidade</f>
        <v>-</v>
      </c>
      <c r="T31" s="121">
        <f ca="1">OFFSET(CÁLCULO!H$15,ROW($T31)-ROW(T$15),0)</f>
        <v>8</v>
      </c>
      <c r="U31" s="122">
        <f t="shared" ca="1" si="33"/>
        <v>0</v>
      </c>
      <c r="V31" s="123" t="s">
        <v>156</v>
      </c>
      <c r="W31" s="121">
        <f ca="1">IF($C31="S",ROUND(IF(TIPOORCAMENTO="Proposto",ORÇAMENTO.CustoUnitario*(1+$AH31),ORÇAMENTO.PrecoUnitarioLicitado),15-13*$AF$10),0)</f>
        <v>0</v>
      </c>
      <c r="X31" s="124">
        <f ca="1">IF($C31="S",IF(Import.TipoArredondamento&lt;&gt;"TransfereGOV",VTOTAL1,SUM(OFFSET(CÁLCULO!$AA$15,ROW($X31)-ROW($X$15),1):OFFSET(CÁLCULO!$AL$15,ROW($X31)-ROW($X$15),-1))),IF($C31=0,0,ROUND(SomaAgrup,15-13*$AF$11)))</f>
        <v>0</v>
      </c>
      <c r="Y31" s="125" t="s">
        <v>245</v>
      </c>
      <c r="Z31" t="str">
        <f t="shared" ca="1" si="13"/>
        <v/>
      </c>
      <c r="AA31" s="126">
        <f ca="1">IF($C31="S",IF($Z31="CP",$X31,IF($Z31="RA",(($X31)*QCI!$AA$3),0)),SomaAgrup)</f>
        <v>0</v>
      </c>
      <c r="AB31" s="127">
        <f t="shared" ca="1" si="14"/>
        <v>0</v>
      </c>
      <c r="AC31" s="128" t="str">
        <f ca="1">IF($N31="","",IF(ORÇAMENTO.Descricao="","DESCRIÇÃO",IF(AND($C31="S",ORÇAMENTO.Unidade=""),"UNIDADE",IF($X31&lt;0,"VALOR NEGATIVO",IF(OR(AND(TIPOORCAMENTO="Proposto",$AG31&lt;&gt;"",$AG31&gt;0,ORÇAMENTO.CustoUnitario&gt;$AG31),AND(TIPOORCAMENTO="LICITADO",ORÇAMENTO.PrecoUnitarioLicitado&gt;$AN31)),"ACIMA REF.","")))))</f>
        <v/>
      </c>
      <c r="AD31" t="str">
        <f ca="1">IF(C31&lt;=CRONO.NivelExibicao,MAX($AD$15:OFFSET(AD31,-1,0))+IF($C31&lt;&gt;1,1,MAX(1,COUNTIF(QCI!$A$13:$A$24,OFFSET($E31,-1,0)))),"")</f>
        <v/>
      </c>
      <c r="AE31" s="7" t="str">
        <f ca="1">IF(AND($C31="S",ORÇAMENTO.CodBarra&lt;&gt;""),IF(ORÇAMENTO.Fonte="",ORÇAMENTO.CodBarra,CONCATENATE(ORÇAMENTO.Fonte," ",ORÇAMENTO.CodBarra)))</f>
        <v>SINAPI 97084</v>
      </c>
      <c r="AF31" s="13" t="str">
        <f ca="1">IF(ISERROR(INDIRECT(ORÇAMENTO.BancoRef)),"(abra o arquivo 'Referência "&amp;Excel_BuiltIn_Database&amp;".xlsm)",IF(OR($C31&lt;&gt;"S",ORÇAMENTO.CodBarra=""),"(Sem Código)",IF(ISERROR(MATCH($AE31,INDIRECT(ORÇAMENTO.BancoRef),0)),"(Código não identificado nas referências)",MATCH($AE31,INDIRECT(ORÇAMENTO.BancoRef),0))))</f>
        <v>(abra o arquivo 'Referência 10-2024.xlsm)</v>
      </c>
      <c r="AG31" s="495">
        <f ca="1">ROUND(IF(DESONERACAO="sim",REFERENCIA.Desonerado,REFERENCIA.NaoDesonerado),2)</f>
        <v>0</v>
      </c>
      <c r="AH31" s="496">
        <f t="shared" ca="1" si="15"/>
        <v>0.20710000000000001</v>
      </c>
      <c r="AJ31" s="498">
        <v>8</v>
      </c>
      <c r="AL31" s="524"/>
      <c r="AM31" s="378">
        <f t="shared" ca="1" si="0"/>
        <v>0</v>
      </c>
      <c r="AN31" s="563">
        <f t="shared" ca="1" si="16"/>
        <v>0</v>
      </c>
    </row>
    <row r="32" spans="1:40" ht="38.2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0</v>
      </c>
      <c r="J32">
        <f t="shared" ca="1" si="9"/>
        <v>0</v>
      </c>
      <c r="K32">
        <f ca="1">IF(OR($C32="S",$C32=0),0,MATCH(OFFSET($D32,0,$C32)+IF($C32&lt;&gt;1,1,COUNTIF(QCI!$A$13:$A$24,ORÇAMENTO!E32)),OFFSET($D32,1,$C32,ROW($C$120)-ROW($C32)),0))</f>
        <v>0</v>
      </c>
      <c r="L32" s="113" t="str">
        <f t="shared" ca="1" si="10"/>
        <v/>
      </c>
      <c r="M32" s="114" t="s">
        <v>199</v>
      </c>
      <c r="N32" s="115" t="str">
        <f t="shared" ca="1" si="11"/>
        <v>Serviço</v>
      </c>
      <c r="O32" s="116" t="str">
        <f t="shared" ca="1" si="12"/>
        <v>-</v>
      </c>
      <c r="P32" s="117" t="s">
        <v>247</v>
      </c>
      <c r="Q32" s="118" t="s">
        <v>482</v>
      </c>
      <c r="R32" s="119" t="str">
        <f ca="1">IF($C32="S",REFERENCIA.Descricao,"(digite a descrição aqui)")</f>
        <v>(abra o arquivo 'Referência 10-2024.xlsm)</v>
      </c>
      <c r="S32" s="120" t="str">
        <f ca="1">REFERENCIA.Unidade</f>
        <v>-</v>
      </c>
      <c r="T32" s="121">
        <f ca="1">OFFSET(CÁLCULO!H$15,ROW($T32)-ROW(T$15),0)</f>
        <v>97.77</v>
      </c>
      <c r="U32" s="122">
        <f t="shared" ca="1" si="33"/>
        <v>0</v>
      </c>
      <c r="V32" s="123" t="s">
        <v>156</v>
      </c>
      <c r="W32" s="121">
        <f ca="1">IF($C32="S",ROUND(IF(TIPOORCAMENTO="Proposto",ORÇAMENTO.CustoUnitario*(1+$AH32),ORÇAMENTO.PrecoUnitarioLicitado),15-13*$AF$10),0)</f>
        <v>0</v>
      </c>
      <c r="X32" s="124">
        <f ca="1">IF($C32="S",IF(Import.TipoArredondamento&lt;&gt;"TransfereGOV",VTOTAL1,SUM(OFFSET(CÁLCULO!$AA$15,ROW($X32)-ROW($X$15),1):OFFSET(CÁLCULO!$AL$15,ROW($X32)-ROW($X$15),-1))),IF($C32=0,0,ROUND(SomaAgrup,15-13*$AF$11)))</f>
        <v>0</v>
      </c>
      <c r="Y32" s="125" t="s">
        <v>245</v>
      </c>
      <c r="Z32" t="str">
        <f t="shared" ca="1" si="13"/>
        <v/>
      </c>
      <c r="AA32" s="126">
        <f ca="1">IF($C32="S",IF($Z32="CP",$X32,IF($Z32="RA",(($X32)*QCI!$AA$3),0)),SomaAgrup)</f>
        <v>0</v>
      </c>
      <c r="AB32" s="127">
        <f t="shared" ca="1" si="14"/>
        <v>0</v>
      </c>
      <c r="AC32" s="128" t="str">
        <f ca="1">IF($N32="","",IF(ORÇAMENTO.Descricao="","DESCRIÇÃO",IF(AND($C32="S",ORÇAMENTO.Unidade=""),"UNIDADE",IF($X32&lt;0,"VALOR NEGATIVO",IF(OR(AND(TIPOORCAMENTO="Proposto",$AG32&lt;&gt;"",$AG32&gt;0,ORÇAMENTO.CustoUnitario&gt;$AG32),AND(TIPOORCAMENTO="LICITADO",ORÇAMENTO.PrecoUnitarioLicitado&gt;$AN32)),"ACIMA REF.","")))))</f>
        <v/>
      </c>
      <c r="AD32" t="str">
        <f ca="1">IF(C32&lt;=CRONO.NivelExibicao,MAX($AD$15:OFFSET(AD32,-1,0))+IF($C32&lt;&gt;1,1,MAX(1,COUNTIF(QCI!$A$13:$A$24,OFFSET($E32,-1,0)))),"")</f>
        <v/>
      </c>
      <c r="AE32" s="7" t="str">
        <f ca="1">IF(AND($C32="S",ORÇAMENTO.CodBarra&lt;&gt;""),IF(ORÇAMENTO.Fonte="",ORÇAMENTO.CodBarra,CONCATENATE(ORÇAMENTO.Fonte," ",ORÇAMENTO.CodBarra)))</f>
        <v>SINAPI 92761</v>
      </c>
      <c r="AF32" s="13" t="str">
        <f ca="1">IF(ISERROR(INDIRECT(ORÇAMENTO.BancoRef)),"(abra o arquivo 'Referência "&amp;Excel_BuiltIn_Database&amp;".xlsm)",IF(OR($C32&lt;&gt;"S",ORÇAMENTO.CodBarra=""),"(Sem Código)",IF(ISERROR(MATCH($AE32,INDIRECT(ORÇAMENTO.BancoRef),0)),"(Código não identificado nas referências)",MATCH($AE32,INDIRECT(ORÇAMENTO.BancoRef),0))))</f>
        <v>(abra o arquivo 'Referência 10-2024.xlsm)</v>
      </c>
      <c r="AG32" s="495">
        <f ca="1">ROUND(IF(DESONERACAO="sim",REFERENCIA.Desonerado,REFERENCIA.NaoDesonerado),2)</f>
        <v>0</v>
      </c>
      <c r="AH32" s="496">
        <f t="shared" ca="1" si="15"/>
        <v>0.20710000000000001</v>
      </c>
      <c r="AJ32" s="498">
        <v>97.77</v>
      </c>
      <c r="AL32" s="524"/>
      <c r="AM32" s="378">
        <f t="shared" ca="1" si="0"/>
        <v>0</v>
      </c>
      <c r="AN32" s="563">
        <f t="shared" ca="1" si="16"/>
        <v>0</v>
      </c>
    </row>
    <row r="33" spans="1:40" ht="38.25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0</v>
      </c>
      <c r="J33">
        <f t="shared" ca="1" si="9"/>
        <v>0</v>
      </c>
      <c r="K33">
        <f ca="1">IF(OR($C33="S",$C33=0),0,MATCH(OFFSET($D33,0,$C33)+IF($C33&lt;&gt;1,1,COUNTIF(QCI!$A$13:$A$24,ORÇAMENTO!E33)),OFFSET($D33,1,$C33,ROW($C$120)-ROW($C33)),0))</f>
        <v>0</v>
      </c>
      <c r="L33" s="113" t="str">
        <f t="shared" ca="1" si="10"/>
        <v/>
      </c>
      <c r="M33" s="114" t="s">
        <v>199</v>
      </c>
      <c r="N33" s="115" t="str">
        <f t="shared" ca="1" si="11"/>
        <v>Serviço</v>
      </c>
      <c r="O33" s="116" t="str">
        <f t="shared" ca="1" si="12"/>
        <v>-</v>
      </c>
      <c r="P33" s="117" t="s">
        <v>247</v>
      </c>
      <c r="Q33" s="118" t="s">
        <v>483</v>
      </c>
      <c r="R33" s="119" t="str">
        <f ca="1">IF($C33="S",REFERENCIA.Descricao,"(digite a descrição aqui)")</f>
        <v>(abra o arquivo 'Referência 10-2024.xlsm)</v>
      </c>
      <c r="S33" s="120" t="str">
        <f ca="1">REFERENCIA.Unidade</f>
        <v>-</v>
      </c>
      <c r="T33" s="121">
        <f ca="1">OFFSET(CÁLCULO!H$15,ROW($T33)-ROW(T$15),0)</f>
        <v>6.4</v>
      </c>
      <c r="U33" s="122">
        <f t="shared" ca="1" si="33"/>
        <v>0</v>
      </c>
      <c r="V33" s="123" t="s">
        <v>156</v>
      </c>
      <c r="W33" s="121">
        <f ca="1">IF($C33="S",ROUND(IF(TIPOORCAMENTO="Proposto",ORÇAMENTO.CustoUnitario*(1+$AH33),ORÇAMENTO.PrecoUnitarioLicitado),15-13*$AF$10),0)</f>
        <v>0</v>
      </c>
      <c r="X33" s="124">
        <f ca="1">IF($C33="S",IF(Import.TipoArredondamento&lt;&gt;"TransfereGOV",VTOTAL1,SUM(OFFSET(CÁLCULO!$AA$15,ROW($X33)-ROW($X$15),1):OFFSET(CÁLCULO!$AL$15,ROW($X33)-ROW($X$15),-1))),IF($C33=0,0,ROUND(SomaAgrup,15-13*$AF$11)))</f>
        <v>0</v>
      </c>
      <c r="Y33" s="125" t="s">
        <v>245</v>
      </c>
      <c r="Z33" t="str">
        <f t="shared" ca="1" si="13"/>
        <v/>
      </c>
      <c r="AA33" s="126">
        <f ca="1">IF($C33="S",IF($Z33="CP",$X33,IF($Z33="RA",(($X33)*QCI!$AA$3),0)),SomaAgrup)</f>
        <v>0</v>
      </c>
      <c r="AB33" s="127">
        <f t="shared" ca="1" si="14"/>
        <v>0</v>
      </c>
      <c r="AC33" s="128" t="str">
        <f ca="1">IF($N33="","",IF(ORÇAMENTO.Descricao="","DESCRIÇÃO",IF(AND($C33="S",ORÇAMENTO.Unidade=""),"UNIDADE",IF($X33&lt;0,"VALOR NEGATIVO",IF(OR(AND(TIPOORCAMENTO="Proposto",$AG33&lt;&gt;"",$AG33&gt;0,ORÇAMENTO.CustoUnitario&gt;$AG33),AND(TIPOORCAMENTO="LICITADO",ORÇAMENTO.PrecoUnitarioLicitado&gt;$AN33)),"ACIMA REF.","")))))</f>
        <v/>
      </c>
      <c r="AD33" t="str">
        <f ca="1">IF(C33&lt;=CRONO.NivelExibicao,MAX($AD$15:OFFSET(AD33,-1,0))+IF($C33&lt;&gt;1,1,MAX(1,COUNTIF(QCI!$A$13:$A$24,OFFSET($E33,-1,0)))),"")</f>
        <v/>
      </c>
      <c r="AE33" s="7" t="str">
        <f ca="1">IF(AND($C33="S",ORÇAMENTO.CodBarra&lt;&gt;""),IF(ORÇAMENTO.Fonte="",ORÇAMENTO.CodBarra,CONCATENATE(ORÇAMENTO.Fonte," ",ORÇAMENTO.CodBarra)))</f>
        <v>SINAPI 96529</v>
      </c>
      <c r="AF33" s="13" t="str">
        <f ca="1">IF(ISERROR(INDIRECT(ORÇAMENTO.BancoRef)),"(abra o arquivo 'Referência "&amp;Excel_BuiltIn_Database&amp;".xlsm)",IF(OR($C33&lt;&gt;"S",ORÇAMENTO.CodBarra=""),"(Sem Código)",IF(ISERROR(MATCH($AE33,INDIRECT(ORÇAMENTO.BancoRef),0)),"(Código não identificado nas referências)",MATCH($AE33,INDIRECT(ORÇAMENTO.BancoRef),0))))</f>
        <v>(abra o arquivo 'Referência 10-2024.xlsm)</v>
      </c>
      <c r="AG33" s="495">
        <f ca="1">ROUND(IF(DESONERACAO="sim",REFERENCIA.Desonerado,REFERENCIA.NaoDesonerado),2)</f>
        <v>0</v>
      </c>
      <c r="AH33" s="496">
        <f t="shared" ca="1" si="15"/>
        <v>0.20710000000000001</v>
      </c>
      <c r="AJ33" s="498">
        <v>6.4</v>
      </c>
      <c r="AL33" s="524"/>
      <c r="AM33" s="378">
        <f t="shared" ca="1" si="0"/>
        <v>0</v>
      </c>
      <c r="AN33" s="563">
        <f t="shared" ca="1" si="16"/>
        <v>0</v>
      </c>
    </row>
    <row r="34" spans="1:40" ht="25.5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0</v>
      </c>
      <c r="K34">
        <f ca="1">IF(OR($C34="S",$C34=0),0,MATCH(OFFSET($D34,0,$C34)+IF($C34&lt;&gt;1,1,COUNTIF(QCI!$A$13:$A$24,ORÇAMENTO!E34)),OFFSET($D34,1,$C34,ROW($C$120)-ROW($C34)),0))</f>
        <v>0</v>
      </c>
      <c r="L34" s="113" t="str">
        <f t="shared" ca="1" si="10"/>
        <v/>
      </c>
      <c r="M34" s="114" t="s">
        <v>199</v>
      </c>
      <c r="N34" s="115" t="str">
        <f t="shared" ca="1" si="11"/>
        <v>Serviço</v>
      </c>
      <c r="O34" s="116" t="str">
        <f t="shared" ca="1" si="12"/>
        <v>-</v>
      </c>
      <c r="P34" s="117" t="s">
        <v>247</v>
      </c>
      <c r="Q34" s="118" t="s">
        <v>470</v>
      </c>
      <c r="R34" s="119" t="str">
        <f ca="1">IF($C34="S",REFERENCIA.Descricao,"(digite a descrição aqui)")</f>
        <v>(abra o arquivo 'Referência 10-2024.xlsm)</v>
      </c>
      <c r="S34" s="120" t="str">
        <f ca="1">REFERENCIA.Unidade</f>
        <v>-</v>
      </c>
      <c r="T34" s="121">
        <f ca="1">OFFSET(CÁLCULO!H$15,ROW($T34)-ROW(T$15),0)</f>
        <v>3.74</v>
      </c>
      <c r="U34" s="122">
        <f t="shared" ca="1" si="33"/>
        <v>0</v>
      </c>
      <c r="V34" s="123" t="s">
        <v>156</v>
      </c>
      <c r="W34" s="121">
        <f ca="1">IF($C34="S",ROUND(IF(TIPOORCAMENTO="Proposto",ORÇAMENTO.CustoUnitario*(1+$AH34),ORÇAMENTO.PrecoUnitarioLicitado),15-13*$AF$10),0)</f>
        <v>0</v>
      </c>
      <c r="X34" s="124">
        <f ca="1">IF($C34="S",IF(Import.TipoArredondamento&lt;&gt;"TransfereGOV",VTOTAL1,SUM(OFFSET(CÁLCULO!$AA$15,ROW($X34)-ROW($X$15),1):OFFSET(CÁLCULO!$AL$15,ROW($X34)-ROW($X$15),-1))),IF($C34=0,0,ROUND(SomaAgrup,15-13*$AF$11)))</f>
        <v>0</v>
      </c>
      <c r="Y34" s="125" t="s">
        <v>245</v>
      </c>
      <c r="Z34" t="str">
        <f t="shared" ca="1" si="13"/>
        <v/>
      </c>
      <c r="AA34" s="126">
        <f ca="1">IF($C34="S",IF($Z34="CP",$X34,IF($Z34="RA",(($X34)*QCI!$AA$3),0)),SomaAgrup)</f>
        <v>0</v>
      </c>
      <c r="AB34" s="127">
        <f t="shared" ca="1" si="14"/>
        <v>0</v>
      </c>
      <c r="AC34" s="128" t="str">
        <f ca="1">IF($N34="","",IF(ORÇAMENTO.Descricao="","DESCRIÇÃO",IF(AND($C34="S",ORÇAMENTO.Unidade=""),"UNIDADE",IF($X34&lt;0,"VALOR NEGATIVO",IF(OR(AND(TIPOORCAMENTO="Proposto",$AG34&lt;&gt;"",$AG34&gt;0,ORÇAMENTO.CustoUnitario&gt;$AG34),AND(TIPOORCAMENTO="LICITADO",ORÇAMENTO.PrecoUnitarioLicitado&gt;$AN34)),"ACIMA REF.","")))))</f>
        <v/>
      </c>
      <c r="AD34" t="str">
        <f ca="1">IF(C34&lt;=CRONO.NivelExibicao,MAX($AD$15:OFFSET(AD34,-1,0))+IF($C34&lt;&gt;1,1,MAX(1,COUNTIF(QCI!$A$13:$A$24,OFFSET($E34,-1,0)))),"")</f>
        <v/>
      </c>
      <c r="AE34" s="7" t="str">
        <f ca="1">IF(AND($C34="S",ORÇAMENTO.CodBarra&lt;&gt;""),IF(ORÇAMENTO.Fonte="",ORÇAMENTO.CodBarra,CONCATENATE(ORÇAMENTO.Fonte," ",ORÇAMENTO.CodBarra)))</f>
        <v>SINAPI 96558</v>
      </c>
      <c r="AF34" s="13" t="str">
        <f ca="1">IF(ISERROR(INDIRECT(ORÇAMENTO.BancoRef)),"(abra o arquivo 'Referência "&amp;Excel_BuiltIn_Database&amp;".xlsm)",IF(OR($C34&lt;&gt;"S",ORÇAMENTO.CodBarra=""),"(Sem Código)",IF(ISERROR(MATCH($AE34,INDIRECT(ORÇAMENTO.BancoRef),0)),"(Código não identificado nas referências)",MATCH($AE34,INDIRECT(ORÇAMENTO.BancoRef),0))))</f>
        <v>(abra o arquivo 'Referência 10-2024.xlsm)</v>
      </c>
      <c r="AG34" s="495">
        <f ca="1">ROUND(IF(DESONERACAO="sim",REFERENCIA.Desonerado,REFERENCIA.NaoDesonerado),2)</f>
        <v>0</v>
      </c>
      <c r="AH34" s="496">
        <f t="shared" ca="1" si="15"/>
        <v>0.20710000000000001</v>
      </c>
      <c r="AJ34" s="498">
        <v>3.74</v>
      </c>
      <c r="AL34" s="524"/>
      <c r="AM34" s="378">
        <f t="shared" ca="1" si="0"/>
        <v>0</v>
      </c>
      <c r="AN34" s="563">
        <f t="shared" ca="1" si="16"/>
        <v>0</v>
      </c>
    </row>
    <row r="35" spans="1:40" ht="25.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0</v>
      </c>
      <c r="J35">
        <f t="shared" ca="1" si="9"/>
        <v>0</v>
      </c>
      <c r="K35">
        <f ca="1">IF(OR($C35="S",$C35=0),0,MATCH(OFFSET($D35,0,$C35)+IF($C35&lt;&gt;1,1,COUNTIF(QCI!$A$13:$A$24,ORÇAMENTO!E35)),OFFSET($D35,1,$C35,ROW($C$120)-ROW($C35)),0))</f>
        <v>0</v>
      </c>
      <c r="L35" s="113" t="str">
        <f t="shared" ca="1" si="10"/>
        <v/>
      </c>
      <c r="M35" s="114" t="s">
        <v>199</v>
      </c>
      <c r="N35" s="115" t="str">
        <f t="shared" ca="1" si="11"/>
        <v>Serviço</v>
      </c>
      <c r="O35" s="116" t="str">
        <f t="shared" ca="1" si="12"/>
        <v>-</v>
      </c>
      <c r="P35" s="117" t="s">
        <v>247</v>
      </c>
      <c r="Q35" s="118" t="s">
        <v>484</v>
      </c>
      <c r="R35" s="119" t="str">
        <f ca="1">IF($C35="S",REFERENCIA.Descricao,"(digite a descrição aqui)")</f>
        <v>(abra o arquivo 'Referência 10-2024.xlsm)</v>
      </c>
      <c r="S35" s="120" t="str">
        <f ca="1">REFERENCIA.Unidade</f>
        <v>-</v>
      </c>
      <c r="T35" s="121">
        <f ca="1">OFFSET(CÁLCULO!H$15,ROW($T35)-ROW(T$15),0)</f>
        <v>5.12</v>
      </c>
      <c r="U35" s="122">
        <f t="shared" ca="1" si="33"/>
        <v>0</v>
      </c>
      <c r="V35" s="123" t="s">
        <v>156</v>
      </c>
      <c r="W35" s="121">
        <f ca="1">IF($C35="S",ROUND(IF(TIPOORCAMENTO="Proposto",ORÇAMENTO.CustoUnitario*(1+$AH35),ORÇAMENTO.PrecoUnitarioLicitado),15-13*$AF$10),0)</f>
        <v>0</v>
      </c>
      <c r="X35" s="124">
        <f ca="1">IF($C35="S",IF(Import.TipoArredondamento&lt;&gt;"TransfereGOV",VTOTAL1,SUM(OFFSET(CÁLCULO!$AA$15,ROW($X35)-ROW($X$15),1):OFFSET(CÁLCULO!$AL$15,ROW($X35)-ROW($X$15),-1))),IF($C35=0,0,ROUND(SomaAgrup,15-13*$AF$11)))</f>
        <v>0</v>
      </c>
      <c r="Y35" s="125" t="s">
        <v>245</v>
      </c>
      <c r="Z35" t="str">
        <f t="shared" ca="1" si="13"/>
        <v/>
      </c>
      <c r="AA35" s="126">
        <f ca="1">IF($C35="S",IF($Z35="CP",$X35,IF($Z35="RA",(($X35)*QCI!$AA$3),0)),SomaAgrup)</f>
        <v>0</v>
      </c>
      <c r="AB35" s="127">
        <f t="shared" ca="1" si="14"/>
        <v>0</v>
      </c>
      <c r="AC35" s="128" t="str">
        <f ca="1">IF($N35="","",IF(ORÇAMENTO.Descricao="","DESCRIÇÃO",IF(AND($C35="S",ORÇAMENTO.Unidade=""),"UNIDADE",IF($X35&lt;0,"VALOR NEGATIVO",IF(OR(AND(TIPOORCAMENTO="Proposto",$AG35&lt;&gt;"",$AG35&gt;0,ORÇAMENTO.CustoUnitario&gt;$AG35),AND(TIPOORCAMENTO="LICITADO",ORÇAMENTO.PrecoUnitarioLicitado&gt;$AN35)),"ACIMA REF.","")))))</f>
        <v/>
      </c>
      <c r="AD35" t="str">
        <f ca="1">IF(C35&lt;=CRONO.NivelExibicao,MAX($AD$15:OFFSET(AD35,-1,0))+IF($C35&lt;&gt;1,1,MAX(1,COUNTIF(QCI!$A$13:$A$24,OFFSET($E35,-1,0)))),"")</f>
        <v/>
      </c>
      <c r="AE35" s="7" t="str">
        <f ca="1">IF(AND($C35="S",ORÇAMENTO.CodBarra&lt;&gt;""),IF(ORÇAMENTO.Fonte="",ORÇAMENTO.CodBarra,CONCATENATE(ORÇAMENTO.Fonte," ",ORÇAMENTO.CodBarra)))</f>
        <v>SINAPI 95241</v>
      </c>
      <c r="AF35" s="13" t="str">
        <f ca="1">IF(ISERROR(INDIRECT(ORÇAMENTO.BancoRef)),"(abra o arquivo 'Referência "&amp;Excel_BuiltIn_Database&amp;".xlsm)",IF(OR($C35&lt;&gt;"S",ORÇAMENTO.CodBarra=""),"(Sem Código)",IF(ISERROR(MATCH($AE35,INDIRECT(ORÇAMENTO.BancoRef),0)),"(Código não identificado nas referências)",MATCH($AE35,INDIRECT(ORÇAMENTO.BancoRef),0))))</f>
        <v>(abra o arquivo 'Referência 10-2024.xlsm)</v>
      </c>
      <c r="AG35" s="495">
        <f ca="1">ROUND(IF(DESONERACAO="sim",REFERENCIA.Desonerado,REFERENCIA.NaoDesonerado),2)</f>
        <v>0</v>
      </c>
      <c r="AH35" s="496">
        <f t="shared" ca="1" si="15"/>
        <v>0.20710000000000001</v>
      </c>
      <c r="AJ35" s="498">
        <v>5.12</v>
      </c>
      <c r="AL35" s="524"/>
      <c r="AM35" s="378">
        <f t="shared" ca="1" si="0"/>
        <v>0</v>
      </c>
      <c r="AN35" s="563">
        <f t="shared" ca="1" si="16"/>
        <v>0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0</v>
      </c>
      <c r="J36">
        <f t="shared" ca="1" si="9"/>
        <v>0</v>
      </c>
      <c r="K36">
        <f ca="1">IF(OR($C36="S",$C36=0),0,MATCH(OFFSET($D36,0,$C36)+IF($C36&lt;&gt;1,1,COUNTIF(QCI!$A$13:$A$24,ORÇAMENTO!E36)),OFFSET($D36,1,$C36,ROW($C$120)-ROW($C36)),0))</f>
        <v>0</v>
      </c>
      <c r="L36" s="113" t="str">
        <f t="shared" ca="1" si="10"/>
        <v/>
      </c>
      <c r="M36" s="114" t="s">
        <v>199</v>
      </c>
      <c r="N36" s="115" t="str">
        <f t="shared" ca="1" si="11"/>
        <v>Serviço</v>
      </c>
      <c r="O36" s="116" t="str">
        <f t="shared" ca="1" si="12"/>
        <v>-</v>
      </c>
      <c r="P36" s="117" t="s">
        <v>247</v>
      </c>
      <c r="Q36" s="118" t="s">
        <v>469</v>
      </c>
      <c r="R36" s="119" t="str">
        <f ca="1">IF($C36="S",REFERENCIA.Descricao,"(digite a descrição aqui)")</f>
        <v>(abra o arquivo 'Referência 10-2024.xlsm)</v>
      </c>
      <c r="S36" s="120" t="str">
        <f ca="1">REFERENCIA.Unidade</f>
        <v>-</v>
      </c>
      <c r="T36" s="121">
        <f ca="1">OFFSET(CÁLCULO!H$15,ROW($T36)-ROW(T$15),0)</f>
        <v>41.34</v>
      </c>
      <c r="U36" s="122">
        <f t="shared" ca="1" si="33"/>
        <v>0</v>
      </c>
      <c r="V36" s="123" t="s">
        <v>156</v>
      </c>
      <c r="W36" s="121">
        <f ca="1">IF($C36="S",ROUND(IF(TIPOORCAMENTO="Proposto",ORÇAMENTO.CustoUnitario*(1+$AH36),ORÇAMENTO.PrecoUnitarioLicitado),15-13*$AF$10),0)</f>
        <v>0</v>
      </c>
      <c r="X36" s="124">
        <f ca="1">IF($C36="S",IF(Import.TipoArredondamento&lt;&gt;"TransfereGOV",VTOTAL1,SUM(OFFSET(CÁLCULO!$AA$15,ROW($X36)-ROW($X$15),1):OFFSET(CÁLCULO!$AL$15,ROW($X36)-ROW($X$15),-1))),IF($C36=0,0,ROUND(SomaAgrup,15-13*$AF$11)))</f>
        <v>0</v>
      </c>
      <c r="Y36" s="125" t="s">
        <v>245</v>
      </c>
      <c r="Z36" t="str">
        <f t="shared" ca="1" si="13"/>
        <v/>
      </c>
      <c r="AA36" s="126">
        <f ca="1">IF($C36="S",IF($Z36="CP",$X36,IF($Z36="RA",(($X36)*QCI!$AA$3),0)),SomaAgrup)</f>
        <v>0</v>
      </c>
      <c r="AB36" s="127">
        <f t="shared" ca="1" si="14"/>
        <v>0</v>
      </c>
      <c r="AC36" s="128" t="str">
        <f ca="1">IF($N36="","",IF(ORÇAMENTO.Descricao="","DESCRIÇÃO",IF(AND($C36="S",ORÇAMENTO.Unidade=""),"UNIDADE",IF($X36&lt;0,"VALOR NEGATIVO",IF(OR(AND(TIPOORCAMENTO="Proposto",$AG36&lt;&gt;"",$AG36&gt;0,ORÇAMENTO.CustoUnitario&gt;$AG36),AND(TIPOORCAMENTO="LICITADO",ORÇAMENTO.PrecoUnitarioLicitado&gt;$AN36)),"ACIMA REF.","")))))</f>
        <v/>
      </c>
      <c r="AD36" t="str">
        <f ca="1">IF(C36&lt;=CRONO.NivelExibicao,MAX($AD$15:OFFSET(AD36,-1,0))+IF($C36&lt;&gt;1,1,MAX(1,COUNTIF(QCI!$A$13:$A$24,OFFSET($E36,-1,0)))),"")</f>
        <v/>
      </c>
      <c r="AE36" s="7" t="str">
        <f ca="1">IF(AND($C36="S",ORÇAMENTO.CodBarra&lt;&gt;""),IF(ORÇAMENTO.Fonte="",ORÇAMENTO.CodBarra,CONCATENATE(ORÇAMENTO.Fonte," ",ORÇAMENTO.CodBarra)))</f>
        <v>SINAPI 98557</v>
      </c>
      <c r="AF36" s="13" t="str">
        <f ca="1">IF(ISERROR(INDIRECT(ORÇAMENTO.BancoRef)),"(abra o arquivo 'Referência "&amp;Excel_BuiltIn_Database&amp;".xlsm)",IF(OR($C36&lt;&gt;"S",ORÇAMENTO.CodBarra=""),"(Sem Código)",IF(ISERROR(MATCH($AE36,INDIRECT(ORÇAMENTO.BancoRef),0)),"(Código não identificado nas referências)",MATCH($AE36,INDIRECT(ORÇAMENTO.BancoRef),0))))</f>
        <v>(abra o arquivo 'Referência 10-2024.xlsm)</v>
      </c>
      <c r="AG36" s="495">
        <f ca="1">ROUND(IF(DESONERACAO="sim",REFERENCIA.Desonerado,REFERENCIA.NaoDesonerado),2)</f>
        <v>0</v>
      </c>
      <c r="AH36" s="496">
        <f t="shared" ca="1" si="15"/>
        <v>0.20710000000000001</v>
      </c>
      <c r="AJ36" s="498">
        <v>41.34</v>
      </c>
      <c r="AL36" s="524"/>
      <c r="AM36" s="378">
        <f t="shared" ca="1" si="0"/>
        <v>0</v>
      </c>
      <c r="AN36" s="563">
        <f t="shared" ca="1" si="16"/>
        <v>0</v>
      </c>
    </row>
    <row r="37" spans="1:40" ht="38.2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0</v>
      </c>
      <c r="J37">
        <f t="shared" ca="1" si="9"/>
        <v>0</v>
      </c>
      <c r="K37">
        <f ca="1">IF(OR($C37="S",$C37=0),0,MATCH(OFFSET($D37,0,$C37)+IF($C37&lt;&gt;1,1,COUNTIF(QCI!$A$13:$A$24,ORÇAMENTO!E37)),OFFSET($D37,1,$C37,ROW($C$120)-ROW($C37)),0))</f>
        <v>0</v>
      </c>
      <c r="L37" s="113" t="str">
        <f t="shared" ca="1" si="10"/>
        <v/>
      </c>
      <c r="M37" s="114" t="s">
        <v>199</v>
      </c>
      <c r="N37" s="115" t="str">
        <f t="shared" ca="1" si="11"/>
        <v>Serviço</v>
      </c>
      <c r="O37" s="116" t="str">
        <f t="shared" ca="1" si="12"/>
        <v>-</v>
      </c>
      <c r="P37" s="117" t="s">
        <v>247</v>
      </c>
      <c r="Q37" s="118" t="s">
        <v>485</v>
      </c>
      <c r="R37" s="119" t="str">
        <f ca="1">IF($C37="S",REFERENCIA.Descricao,"(digite a descrição aqui)")</f>
        <v>(abra o arquivo 'Referência 10-2024.xlsm)</v>
      </c>
      <c r="S37" s="120" t="str">
        <f ca="1">REFERENCIA.Unidade</f>
        <v>-</v>
      </c>
      <c r="T37" s="121">
        <f ca="1">OFFSET(CÁLCULO!H$15,ROW($T37)-ROW(T$15),0)</f>
        <v>29.82</v>
      </c>
      <c r="U37" s="122">
        <f t="shared" ca="1" si="33"/>
        <v>0</v>
      </c>
      <c r="V37" s="123" t="s">
        <v>156</v>
      </c>
      <c r="W37" s="121">
        <f ca="1">IF($C37="S",ROUND(IF(TIPOORCAMENTO="Proposto",ORÇAMENTO.CustoUnitario*(1+$AH37),ORÇAMENTO.PrecoUnitarioLicitado),15-13*$AF$10),0)</f>
        <v>0</v>
      </c>
      <c r="X37" s="124">
        <f ca="1">IF($C37="S",IF(Import.TipoArredondamento&lt;&gt;"TransfereGOV",VTOTAL1,SUM(OFFSET(CÁLCULO!$AA$15,ROW($X37)-ROW($X$15),1):OFFSET(CÁLCULO!$AL$15,ROW($X37)-ROW($X$15),-1))),IF($C37=0,0,ROUND(SomaAgrup,15-13*$AF$11)))</f>
        <v>0</v>
      </c>
      <c r="Y37" s="125" t="s">
        <v>245</v>
      </c>
      <c r="Z37" t="str">
        <f t="shared" ca="1" si="13"/>
        <v/>
      </c>
      <c r="AA37" s="126">
        <f ca="1">IF($C37="S",IF($Z37="CP",$X37,IF($Z37="RA",(($X37)*QCI!$AA$3),0)),SomaAgrup)</f>
        <v>0</v>
      </c>
      <c r="AB37" s="127">
        <f t="shared" ca="1" si="14"/>
        <v>0</v>
      </c>
      <c r="AC37" s="128" t="str">
        <f ca="1">IF($N37="","",IF(ORÇAMENTO.Descricao="","DESCRIÇÃO",IF(AND($C37="S",ORÇAMENTO.Unidade=""),"UNIDADE",IF($X37&lt;0,"VALOR NEGATIVO",IF(OR(AND(TIPOORCAMENTO="Proposto",$AG37&lt;&gt;"",$AG37&gt;0,ORÇAMENTO.CustoUnitario&gt;$AG37),AND(TIPOORCAMENTO="LICITADO",ORÇAMENTO.PrecoUnitarioLicitado&gt;$AN37)),"ACIMA REF.","")))))</f>
        <v/>
      </c>
      <c r="AD37" t="str">
        <f ca="1">IF(C37&lt;=CRONO.NivelExibicao,MAX($AD$15:OFFSET(AD37,-1,0))+IF($C37&lt;&gt;1,1,MAX(1,COUNTIF(QCI!$A$13:$A$24,OFFSET($E37,-1,0)))),"")</f>
        <v/>
      </c>
      <c r="AE37" s="7" t="str">
        <f ca="1">IF(AND($C37="S",ORÇAMENTO.CodBarra&lt;&gt;""),IF(ORÇAMENTO.Fonte="",ORÇAMENTO.CodBarra,CONCATENATE(ORÇAMENTO.Fonte," ",ORÇAMENTO.CodBarra)))</f>
        <v>SINAPI 96530</v>
      </c>
      <c r="AF37" s="13" t="str">
        <f ca="1">IF(ISERROR(INDIRECT(ORÇAMENTO.BancoRef)),"(abra o arquivo 'Referência "&amp;Excel_BuiltIn_Database&amp;".xlsm)",IF(OR($C37&lt;&gt;"S",ORÇAMENTO.CodBarra=""),"(Sem Código)",IF(ISERROR(MATCH($AE37,INDIRECT(ORÇAMENTO.BancoRef),0)),"(Código não identificado nas referências)",MATCH($AE37,INDIRECT(ORÇAMENTO.BancoRef),0))))</f>
        <v>(abra o arquivo 'Referência 10-2024.xlsm)</v>
      </c>
      <c r="AG37" s="495">
        <f ca="1">ROUND(IF(DESONERACAO="sim",REFERENCIA.Desonerado,REFERENCIA.NaoDesonerado),2)</f>
        <v>0</v>
      </c>
      <c r="AH37" s="496">
        <f t="shared" ca="1" si="15"/>
        <v>0.20710000000000001</v>
      </c>
      <c r="AJ37" s="498">
        <v>29.82</v>
      </c>
      <c r="AL37" s="524"/>
      <c r="AM37" s="378">
        <f t="shared" ca="1" si="0"/>
        <v>0</v>
      </c>
      <c r="AN37" s="563">
        <f t="shared" ca="1" si="16"/>
        <v>0</v>
      </c>
    </row>
    <row r="38" spans="1:40" ht="38.2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0</v>
      </c>
      <c r="J38">
        <f t="shared" ca="1" si="9"/>
        <v>0</v>
      </c>
      <c r="K38">
        <f ca="1">IF(OR($C38="S",$C38=0),0,MATCH(OFFSET($D38,0,$C38)+IF($C38&lt;&gt;1,1,COUNTIF(QCI!$A$13:$A$24,ORÇAMENTO!E38)),OFFSET($D38,1,$C38,ROW($C$120)-ROW($C38)),0))</f>
        <v>0</v>
      </c>
      <c r="L38" s="113" t="str">
        <f t="shared" ca="1" si="10"/>
        <v/>
      </c>
      <c r="M38" s="114" t="s">
        <v>199</v>
      </c>
      <c r="N38" s="115" t="str">
        <f t="shared" ca="1" si="11"/>
        <v>Serviço</v>
      </c>
      <c r="O38" s="116" t="str">
        <f t="shared" ca="1" si="12"/>
        <v>-</v>
      </c>
      <c r="P38" s="117" t="s">
        <v>247</v>
      </c>
      <c r="Q38" s="118" t="s">
        <v>486</v>
      </c>
      <c r="R38" s="119" t="str">
        <f ca="1">IF($C38="S",REFERENCIA.Descricao,"(digite a descrição aqui)")</f>
        <v>(abra o arquivo 'Referência 10-2024.xlsm)</v>
      </c>
      <c r="S38" s="120" t="str">
        <f ca="1">REFERENCIA.Unidade</f>
        <v>-</v>
      </c>
      <c r="T38" s="121">
        <f ca="1">OFFSET(CÁLCULO!H$15,ROW($T38)-ROW(T$15),0)</f>
        <v>45.76</v>
      </c>
      <c r="U38" s="122">
        <f t="shared" ca="1" si="33"/>
        <v>0</v>
      </c>
      <c r="V38" s="123" t="s">
        <v>156</v>
      </c>
      <c r="W38" s="121">
        <f ca="1">IF($C38="S",ROUND(IF(TIPOORCAMENTO="Proposto",ORÇAMENTO.CustoUnitario*(1+$AH38),ORÇAMENTO.PrecoUnitarioLicitado),15-13*$AF$10),0)</f>
        <v>0</v>
      </c>
      <c r="X38" s="124">
        <f ca="1">IF($C38="S",IF(Import.TipoArredondamento&lt;&gt;"TransfereGOV",VTOTAL1,SUM(OFFSET(CÁLCULO!$AA$15,ROW($X38)-ROW($X$15),1):OFFSET(CÁLCULO!$AL$15,ROW($X38)-ROW($X$15),-1))),IF($C38=0,0,ROUND(SomaAgrup,15-13*$AF$11)))</f>
        <v>0</v>
      </c>
      <c r="Y38" s="125" t="s">
        <v>245</v>
      </c>
      <c r="Z38" t="str">
        <f t="shared" ca="1" si="13"/>
        <v/>
      </c>
      <c r="AA38" s="126">
        <f ca="1">IF($C38="S",IF($Z38="CP",$X38,IF($Z38="RA",(($X38)*QCI!$AA$3),0)),SomaAgrup)</f>
        <v>0</v>
      </c>
      <c r="AB38" s="127">
        <f t="shared" ca="1" si="14"/>
        <v>0</v>
      </c>
      <c r="AC38" s="128" t="str">
        <f ca="1">IF($N38="","",IF(ORÇAMENTO.Descricao="","DESCRIÇÃO",IF(AND($C38="S",ORÇAMENTO.Unidade=""),"UNIDADE",IF($X38&lt;0,"VALOR NEGATIVO",IF(OR(AND(TIPOORCAMENTO="Proposto",$AG38&lt;&gt;"",$AG38&gt;0,ORÇAMENTO.CustoUnitario&gt;$AG38),AND(TIPOORCAMENTO="LICITADO",ORÇAMENTO.PrecoUnitarioLicitado&gt;$AN38)),"ACIMA REF.","")))))</f>
        <v/>
      </c>
      <c r="AD38" t="str">
        <f ca="1">IF(C38&lt;=CRONO.NivelExibicao,MAX($AD$15:OFFSET(AD38,-1,0))+IF($C38&lt;&gt;1,1,MAX(1,COUNTIF(QCI!$A$13:$A$24,OFFSET($E38,-1,0)))),"")</f>
        <v/>
      </c>
      <c r="AE38" s="7" t="str">
        <f ca="1">IF(AND($C38="S",ORÇAMENTO.CodBarra&lt;&gt;""),IF(ORÇAMENTO.Fonte="",ORÇAMENTO.CodBarra,CONCATENATE(ORÇAMENTO.Fonte," ",ORÇAMENTO.CodBarra)))</f>
        <v>SINAPI 92759</v>
      </c>
      <c r="AF38" s="13" t="str">
        <f ca="1">IF(ISERROR(INDIRECT(ORÇAMENTO.BancoRef)),"(abra o arquivo 'Referência "&amp;Excel_BuiltIn_Database&amp;".xlsm)",IF(OR($C38&lt;&gt;"S",ORÇAMENTO.CodBarra=""),"(Sem Código)",IF(ISERROR(MATCH($AE38,INDIRECT(ORÇAMENTO.BancoRef),0)),"(Código não identificado nas referências)",MATCH($AE38,INDIRECT(ORÇAMENTO.BancoRef),0))))</f>
        <v>(abra o arquivo 'Referência 10-2024.xlsm)</v>
      </c>
      <c r="AG38" s="495">
        <f ca="1">ROUND(IF(DESONERACAO="sim",REFERENCIA.Desonerado,REFERENCIA.NaoDesonerado),2)</f>
        <v>0</v>
      </c>
      <c r="AH38" s="496">
        <f t="shared" ca="1" si="15"/>
        <v>0.20710000000000001</v>
      </c>
      <c r="AJ38" s="498">
        <v>45.76</v>
      </c>
      <c r="AL38" s="524"/>
      <c r="AM38" s="378">
        <f t="shared" ca="1" si="0"/>
        <v>0</v>
      </c>
      <c r="AN38" s="563">
        <f t="shared" ca="1" si="16"/>
        <v>0</v>
      </c>
    </row>
    <row r="39" spans="1:40" ht="25.5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0</v>
      </c>
      <c r="J39">
        <f t="shared" ca="1" si="9"/>
        <v>0</v>
      </c>
      <c r="K39">
        <f ca="1">IF(OR($C39="S",$C39=0),0,MATCH(OFFSET($D39,0,$C39)+IF($C39&lt;&gt;1,1,COUNTIF(QCI!$A$13:$A$24,ORÇAMENTO!E39)),OFFSET($D39,1,$C39,ROW($C$120)-ROW($C39)),0))</f>
        <v>0</v>
      </c>
      <c r="L39" s="113" t="str">
        <f t="shared" ca="1" si="10"/>
        <v/>
      </c>
      <c r="M39" s="114" t="s">
        <v>199</v>
      </c>
      <c r="N39" s="115" t="str">
        <f t="shared" ca="1" si="11"/>
        <v>Serviço</v>
      </c>
      <c r="O39" s="116" t="str">
        <f t="shared" ca="1" si="12"/>
        <v>-</v>
      </c>
      <c r="P39" s="117" t="s">
        <v>247</v>
      </c>
      <c r="Q39" s="118" t="s">
        <v>487</v>
      </c>
      <c r="R39" s="119" t="str">
        <f ca="1">IF($C39="S",REFERENCIA.Descricao,"(digite a descrição aqui)")</f>
        <v>(abra o arquivo 'Referência 10-2024.xlsm)</v>
      </c>
      <c r="S39" s="120" t="str">
        <f ca="1">REFERENCIA.Unidade</f>
        <v>-</v>
      </c>
      <c r="T39" s="121">
        <f ca="1">OFFSET(CÁLCULO!H$15,ROW($T39)-ROW(T$15),0)</f>
        <v>10.8</v>
      </c>
      <c r="U39" s="122">
        <f t="shared" ca="1" si="33"/>
        <v>0</v>
      </c>
      <c r="V39" s="123" t="s">
        <v>156</v>
      </c>
      <c r="W39" s="121">
        <f ca="1">IF($C39="S",ROUND(IF(TIPOORCAMENTO="Proposto",ORÇAMENTO.CustoUnitario*(1+$AH39),ORÇAMENTO.PrecoUnitarioLicitado),15-13*$AF$10),0)</f>
        <v>0</v>
      </c>
      <c r="X39" s="124">
        <f ca="1">IF($C39="S",IF(Import.TipoArredondamento&lt;&gt;"TransfereGOV",VTOTAL1,SUM(OFFSET(CÁLCULO!$AA$15,ROW($X39)-ROW($X$15),1):OFFSET(CÁLCULO!$AL$15,ROW($X39)-ROW($X$15),-1))),IF($C39=0,0,ROUND(SomaAgrup,15-13*$AF$11)))</f>
        <v>0</v>
      </c>
      <c r="Y39" s="125" t="s">
        <v>245</v>
      </c>
      <c r="Z39" t="str">
        <f t="shared" ca="1" si="13"/>
        <v/>
      </c>
      <c r="AA39" s="126">
        <f ca="1">IF($C39="S",IF($Z39="CP",$X39,IF($Z39="RA",(($X39)*QCI!$AA$3),0)),SomaAgrup)</f>
        <v>0</v>
      </c>
      <c r="AB39" s="127">
        <f t="shared" ca="1" si="14"/>
        <v>0</v>
      </c>
      <c r="AC39" s="128" t="str">
        <f ca="1">IF($N39="","",IF(ORÇAMENTO.Descricao="","DESCRIÇÃO",IF(AND($C39="S",ORÇAMENTO.Unidade=""),"UNIDADE",IF($X39&lt;0,"VALOR NEGATIVO",IF(OR(AND(TIPOORCAMENTO="Proposto",$AG39&lt;&gt;"",$AG39&gt;0,ORÇAMENTO.CustoUnitario&gt;$AG39),AND(TIPOORCAMENTO="LICITADO",ORÇAMENTO.PrecoUnitarioLicitado&gt;$AN39)),"ACIMA REF.","")))))</f>
        <v/>
      </c>
      <c r="AD39" t="str">
        <f ca="1">IF(C39&lt;=CRONO.NivelExibicao,MAX($AD$15:OFFSET(AD39,-1,0))+IF($C39&lt;&gt;1,1,MAX(1,COUNTIF(QCI!$A$13:$A$24,OFFSET($E39,-1,0)))),"")</f>
        <v/>
      </c>
      <c r="AE39" s="7" t="str">
        <f ca="1">IF(AND($C39="S",ORÇAMENTO.CodBarra&lt;&gt;""),IF(ORÇAMENTO.Fonte="",ORÇAMENTO.CodBarra,CONCATENATE(ORÇAMENTO.Fonte," ",ORÇAMENTO.CodBarra)))</f>
        <v>SINAPI 92269</v>
      </c>
      <c r="AF39" s="13" t="str">
        <f ca="1">IF(ISERROR(INDIRECT(ORÇAMENTO.BancoRef)),"(abra o arquivo 'Referência "&amp;Excel_BuiltIn_Database&amp;".xlsm)",IF(OR($C39&lt;&gt;"S",ORÇAMENTO.CodBarra=""),"(Sem Código)",IF(ISERROR(MATCH($AE39,INDIRECT(ORÇAMENTO.BancoRef),0)),"(Código não identificado nas referências)",MATCH($AE39,INDIRECT(ORÇAMENTO.BancoRef),0))))</f>
        <v>(abra o arquivo 'Referência 10-2024.xlsm)</v>
      </c>
      <c r="AG39" s="495">
        <f ca="1">ROUND(IF(DESONERACAO="sim",REFERENCIA.Desonerado,REFERENCIA.NaoDesonerado),2)</f>
        <v>0</v>
      </c>
      <c r="AH39" s="496">
        <f t="shared" ca="1" si="15"/>
        <v>0.20710000000000001</v>
      </c>
      <c r="AJ39" s="498">
        <v>10.8</v>
      </c>
      <c r="AL39" s="524"/>
      <c r="AM39" s="378">
        <f t="shared" ca="1" si="0"/>
        <v>0</v>
      </c>
      <c r="AN39" s="563">
        <f t="shared" ca="1" si="16"/>
        <v>0</v>
      </c>
    </row>
    <row r="40" spans="1:40" ht="12.75" customHeight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0</v>
      </c>
      <c r="J40">
        <f t="shared" ca="1" si="9"/>
        <v>0</v>
      </c>
      <c r="K40">
        <f ca="1">IF(OR($C40="S",$C40=0),0,MATCH(OFFSET($D40,0,$C40)+IF($C40&lt;&gt;1,1,COUNTIF(QCI!$A$13:$A$24,ORÇAMENTO!E40)),OFFSET($D40,1,$C40,ROW($C$120)-ROW($C40)),0))</f>
        <v>0</v>
      </c>
      <c r="L40" s="113" t="str">
        <f t="shared" ca="1" si="10"/>
        <v/>
      </c>
      <c r="M40" s="114" t="s">
        <v>199</v>
      </c>
      <c r="N40" s="115" t="str">
        <f t="shared" ca="1" si="11"/>
        <v>Serviço</v>
      </c>
      <c r="O40" s="116" t="str">
        <f t="shared" ca="1" si="12"/>
        <v>-</v>
      </c>
      <c r="P40" s="117" t="s">
        <v>247</v>
      </c>
      <c r="Q40" s="118" t="s">
        <v>488</v>
      </c>
      <c r="R40" s="119" t="str">
        <f ca="1">IF($C40="S",REFERENCIA.Descricao,"(digite a descrição aqui)")</f>
        <v>(abra o arquivo 'Referência 10-2024.xlsm)</v>
      </c>
      <c r="S40" s="120" t="str">
        <f ca="1">REFERENCIA.Unidade</f>
        <v>-</v>
      </c>
      <c r="T40" s="121">
        <f ca="1">OFFSET(CÁLCULO!H$15,ROW($T40)-ROW(T$15),0)</f>
        <v>78.37</v>
      </c>
      <c r="U40" s="122">
        <f t="shared" ca="1" si="33"/>
        <v>0</v>
      </c>
      <c r="V40" s="123" t="s">
        <v>156</v>
      </c>
      <c r="W40" s="121">
        <f ca="1">IF($C40="S",ROUND(IF(TIPOORCAMENTO="Proposto",ORÇAMENTO.CustoUnitario*(1+$AH40),ORÇAMENTO.PrecoUnitarioLicitado),15-13*$AF$10),0)</f>
        <v>0</v>
      </c>
      <c r="X40" s="124">
        <f ca="1">IF($C40="S",IF(Import.TipoArredondamento&lt;&gt;"TransfereGOV",VTOTAL1,SUM(OFFSET(CÁLCULO!$AA$15,ROW($X40)-ROW($X$15),1):OFFSET(CÁLCULO!$AL$15,ROW($X40)-ROW($X$15),-1))),IF($C40=0,0,ROUND(SomaAgrup,15-13*$AF$11)))</f>
        <v>0</v>
      </c>
      <c r="Y40" s="125" t="s">
        <v>245</v>
      </c>
      <c r="Z40" t="str">
        <f t="shared" ca="1" si="13"/>
        <v/>
      </c>
      <c r="AA40" s="126">
        <f ca="1">IF($C40="S",IF($Z40="CP",$X40,IF($Z40="RA",(($X40)*QCI!$AA$3),0)),SomaAgrup)</f>
        <v>0</v>
      </c>
      <c r="AB40" s="127">
        <f t="shared" ca="1" si="14"/>
        <v>0</v>
      </c>
      <c r="AC40" s="128" t="str">
        <f ca="1">IF($N40="","",IF(ORÇAMENTO.Descricao="","DESCRIÇÃO",IF(AND($C40="S",ORÇAMENTO.Unidade=""),"UNIDADE",IF($X40&lt;0,"VALOR NEGATIVO",IF(OR(AND(TIPOORCAMENTO="Proposto",$AG40&lt;&gt;"",$AG40&gt;0,ORÇAMENTO.CustoUnitario&gt;$AG40),AND(TIPOORCAMENTO="LICITADO",ORÇAMENTO.PrecoUnitarioLicitado&gt;$AN40)),"ACIMA REF.","")))))</f>
        <v/>
      </c>
      <c r="AD40" t="str">
        <f ca="1">IF(C40&lt;=CRONO.NivelExibicao,MAX($AD$15:OFFSET(AD40,-1,0))+IF($C40&lt;&gt;1,1,MAX(1,COUNTIF(QCI!$A$13:$A$24,OFFSET($E40,-1,0)))),"")</f>
        <v/>
      </c>
      <c r="AE40" s="7" t="str">
        <f ca="1">IF(AND($C40="S",ORÇAMENTO.CodBarra&lt;&gt;""),IF(ORÇAMENTO.Fonte="",ORÇAMENTO.CodBarra,CONCATENATE(ORÇAMENTO.Fonte," ",ORÇAMENTO.CodBarra)))</f>
        <v>SINAPI 92919</v>
      </c>
      <c r="AF40" s="13" t="str">
        <f ca="1">IF(ISERROR(INDIRECT(ORÇAMENTO.BancoRef)),"(abra o arquivo 'Referência "&amp;Excel_BuiltIn_Database&amp;".xlsm)",IF(OR($C40&lt;&gt;"S",ORÇAMENTO.CodBarra=""),"(Sem Código)",IF(ISERROR(MATCH($AE40,INDIRECT(ORÇAMENTO.BancoRef),0)),"(Código não identificado nas referências)",MATCH($AE40,INDIRECT(ORÇAMENTO.BancoRef),0))))</f>
        <v>(abra o arquivo 'Referência 10-2024.xlsm)</v>
      </c>
      <c r="AG40" s="495">
        <f ca="1">ROUND(IF(DESONERACAO="sim",REFERENCIA.Desonerado,REFERENCIA.NaoDesonerado),2)</f>
        <v>0</v>
      </c>
      <c r="AH40" s="496">
        <f t="shared" ca="1" si="15"/>
        <v>0.20710000000000001</v>
      </c>
      <c r="AJ40" s="498">
        <v>78.37</v>
      </c>
      <c r="AL40" s="524"/>
      <c r="AM40" s="378">
        <f t="shared" ca="1" si="0"/>
        <v>0</v>
      </c>
      <c r="AN40" s="563">
        <f t="shared" ca="1" si="16"/>
        <v>0</v>
      </c>
    </row>
    <row r="41" spans="1:40" ht="38.2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0</v>
      </c>
      <c r="J41">
        <f t="shared" ca="1" si="9"/>
        <v>0</v>
      </c>
      <c r="K41">
        <f ca="1">IF(OR($C41="S",$C41=0),0,MATCH(OFFSET($D41,0,$C41)+IF($C41&lt;&gt;1,1,COUNTIF(QCI!$A$13:$A$24,ORÇAMENTO!E41)),OFFSET($D41,1,$C41,ROW($C$120)-ROW($C41)),0))</f>
        <v>0</v>
      </c>
      <c r="L41" s="113" t="str">
        <f t="shared" ca="1" si="10"/>
        <v/>
      </c>
      <c r="M41" s="114" t="s">
        <v>199</v>
      </c>
      <c r="N41" s="115" t="str">
        <f t="shared" ca="1" si="11"/>
        <v>Serviço</v>
      </c>
      <c r="O41" s="116" t="str">
        <f t="shared" ca="1" si="12"/>
        <v>-</v>
      </c>
      <c r="P41" s="117" t="s">
        <v>247</v>
      </c>
      <c r="Q41" s="118" t="s">
        <v>553</v>
      </c>
      <c r="R41" s="119" t="str">
        <f ca="1">IF($C41="S",REFERENCIA.Descricao,"(digite a descrição aqui)")</f>
        <v>(abra o arquivo 'Referência 10-2024.xlsm)</v>
      </c>
      <c r="S41" s="120" t="str">
        <f ca="1">REFERENCIA.Unidade</f>
        <v>-</v>
      </c>
      <c r="T41" s="121">
        <f ca="1">OFFSET(CÁLCULO!H$15,ROW($T41)-ROW(T$15),0)</f>
        <v>40</v>
      </c>
      <c r="U41" s="122">
        <f t="shared" ca="1" si="33"/>
        <v>0</v>
      </c>
      <c r="V41" s="123" t="s">
        <v>156</v>
      </c>
      <c r="W41" s="121">
        <f ca="1">IF($C41="S",ROUND(IF(TIPOORCAMENTO="Proposto",ORÇAMENTO.CustoUnitario*(1+$AH41),ORÇAMENTO.PrecoUnitarioLicitado),15-13*$AF$10),0)</f>
        <v>0</v>
      </c>
      <c r="X41" s="124">
        <f ca="1">IF($C41="S",IF(Import.TipoArredondamento&lt;&gt;"TransfereGOV",VTOTAL1,SUM(OFFSET(CÁLCULO!$AA$15,ROW($X41)-ROW($X$15),1):OFFSET(CÁLCULO!$AL$15,ROW($X41)-ROW($X$15),-1))),IF($C41=0,0,ROUND(SomaAgrup,15-13*$AF$11)))</f>
        <v>0</v>
      </c>
      <c r="Y41" s="125" t="s">
        <v>245</v>
      </c>
      <c r="Z41" t="str">
        <f t="shared" ca="1" si="13"/>
        <v/>
      </c>
      <c r="AA41" s="126">
        <f ca="1">IF($C41="S",IF($Z41="CP",$X41,IF($Z41="RA",(($X41)*QCI!$AA$3),0)),SomaAgrup)</f>
        <v>0</v>
      </c>
      <c r="AB41" s="127">
        <f t="shared" ca="1" si="14"/>
        <v>0</v>
      </c>
      <c r="AC41" s="128" t="str">
        <f ca="1">IF($N41="","",IF(ORÇAMENTO.Descricao="","DESCRIÇÃO",IF(AND($C41="S",ORÇAMENTO.Unidade=""),"UNIDADE",IF($X41&lt;0,"VALOR NEGATIVO",IF(OR(AND(TIPOORCAMENTO="Proposto",$AG41&lt;&gt;"",$AG41&gt;0,ORÇAMENTO.CustoUnitario&gt;$AG41),AND(TIPOORCAMENTO="LICITADO",ORÇAMENTO.PrecoUnitarioLicitado&gt;$AN41)),"ACIMA REF.","")))))</f>
        <v/>
      </c>
      <c r="AD41" t="str">
        <f ca="1">IF(C41&lt;=CRONO.NivelExibicao,MAX($AD$15:OFFSET(AD41,-1,0))+IF($C41&lt;&gt;1,1,MAX(1,COUNTIF(QCI!$A$13:$A$24,OFFSET($E41,-1,0)))),"")</f>
        <v/>
      </c>
      <c r="AE41" s="7" t="str">
        <f ca="1">IF(AND($C41="S",ORÇAMENTO.CodBarra&lt;&gt;""),IF(ORÇAMENTO.Fonte="",ORÇAMENTO.CodBarra,CONCATENATE(ORÇAMENTO.Fonte," ",ORÇAMENTO.CodBarra)))</f>
        <v>SINAPI 101173</v>
      </c>
      <c r="AF41" s="13" t="str">
        <f ca="1">IF(ISERROR(INDIRECT(ORÇAMENTO.BancoRef)),"(abra o arquivo 'Referência "&amp;Excel_BuiltIn_Database&amp;".xlsm)",IF(OR($C41&lt;&gt;"S",ORÇAMENTO.CodBarra=""),"(Sem Código)",IF(ISERROR(MATCH($AE41,INDIRECT(ORÇAMENTO.BancoRef),0)),"(Código não identificado nas referências)",MATCH($AE41,INDIRECT(ORÇAMENTO.BancoRef),0))))</f>
        <v>(abra o arquivo 'Referência 10-2024.xlsm)</v>
      </c>
      <c r="AG41" s="495">
        <f ca="1">ROUND(IF(DESONERACAO="sim",REFERENCIA.Desonerado,REFERENCIA.NaoDesonerado),2)</f>
        <v>0</v>
      </c>
      <c r="AH41" s="496">
        <f t="shared" ca="1" si="15"/>
        <v>0.20710000000000001</v>
      </c>
      <c r="AJ41" s="498">
        <f>5*8</f>
        <v>40</v>
      </c>
      <c r="AL41" s="524"/>
      <c r="AM41" s="378">
        <f t="shared" ca="1" si="0"/>
        <v>0</v>
      </c>
      <c r="AN41" s="563">
        <f t="shared" ca="1" si="16"/>
        <v>0</v>
      </c>
    </row>
    <row r="42" spans="1:40" x14ac:dyDescent="0.2">
      <c r="A42">
        <f t="shared" si="1"/>
        <v>2</v>
      </c>
      <c r="B42">
        <f t="shared" ca="1" si="2"/>
        <v>2</v>
      </c>
      <c r="C42">
        <f t="shared" ca="1" si="3"/>
        <v>2</v>
      </c>
      <c r="D42">
        <f t="shared" ca="1" si="4"/>
        <v>8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78</v>
      </c>
      <c r="K42">
        <f ca="1">IF(OR($C42="S",$C42=0),0,MATCH(OFFSET($D42,0,$C42)+IF($C42&lt;&gt;1,1,COUNTIF(QCI!$A$13:$A$24,ORÇAMENTO!E42)),OFFSET($D42,1,$C42,ROW($C$120)-ROW($C42)),0))</f>
        <v>8</v>
      </c>
      <c r="L42" s="113" t="str">
        <f t="shared" ca="1" si="10"/>
        <v>F</v>
      </c>
      <c r="M42" s="114" t="s">
        <v>196</v>
      </c>
      <c r="N42" s="115" t="str">
        <f t="shared" ca="1" si="11"/>
        <v>Nível 2</v>
      </c>
      <c r="O42" s="116" t="str">
        <f t="shared" ca="1" si="12"/>
        <v>1.4.</v>
      </c>
      <c r="P42" s="117" t="s">
        <v>247</v>
      </c>
      <c r="Q42" s="118"/>
      <c r="R42" s="119" t="s">
        <v>467</v>
      </c>
      <c r="S42" s="120" t="str">
        <f ca="1">REFERENCIA.Unidade</f>
        <v>-</v>
      </c>
      <c r="T42" s="121">
        <f ca="1">OFFSET(CÁLCULO!H$15,ROW($T42)-ROW(T$15),0)</f>
        <v>0</v>
      </c>
      <c r="U42" s="122"/>
      <c r="V42" s="123" t="s">
        <v>156</v>
      </c>
      <c r="W42" s="121">
        <f ca="1">IF($C42="S",ROUND(IF(TIPOORCAMENTO="Proposto",ORÇAMENTO.CustoUnitario*(1+$AH42),ORÇAMENTO.PrecoUnitarioLicitado),15-13*$AF$10),0)</f>
        <v>0</v>
      </c>
      <c r="X42" s="124">
        <f ca="1">IF($C42="S",IF(Import.TipoArredondamento&lt;&gt;"TransfereGOV",VTOTAL1,SUM(OFFSET(CÁLCULO!$AA$15,ROW($X42)-ROW($X$15),1):OFFSET(CÁLCULO!$AL$15,ROW($X42)-ROW($X$15),-1))),IF($C42=0,0,ROUND(SomaAgrup,15-13*$AF$11)))</f>
        <v>0</v>
      </c>
      <c r="Y42" s="125" t="s">
        <v>245</v>
      </c>
      <c r="Z42" t="str">
        <f t="shared" ca="1" si="13"/>
        <v/>
      </c>
      <c r="AA42" s="126">
        <f ca="1">IF($C42="S",IF($Z42="CP",$X42,IF($Z42="RA",(($X42)*QCI!$AA$3),0)),SomaAgrup)</f>
        <v>0</v>
      </c>
      <c r="AB42" s="127">
        <f t="shared" ca="1" si="14"/>
        <v>0</v>
      </c>
      <c r="AC42" s="128" t="str">
        <f ca="1">IF($N42="","",IF(ORÇAMENTO.Descricao="","DESCRIÇÃO",IF(AND($C42="S",ORÇAMENTO.Unidade=""),"UNIDADE",IF($X42&lt;0,"VALOR NEGATIVO",IF(OR(AND(TIPOORCAMENTO="Proposto",$AG42&lt;&gt;"",$AG42&gt;0,ORÇAMENTO.CustoUnitario&gt;$AG42),AND(TIPOORCAMENTO="LICITADO",ORÇAMENTO.PrecoUnitarioLicitado&gt;$AN42)),"ACIMA REF.","")))))</f>
        <v/>
      </c>
      <c r="AD42">
        <f ca="1">IF(C42&lt;=CRONO.NivelExibicao,MAX($AD$15:OFFSET(AD42,-1,0))+IF($C42&lt;&gt;1,1,MAX(1,COUNTIF(QCI!$A$13:$A$24,OFFSET($E42,-1,0)))),"")</f>
        <v>5</v>
      </c>
      <c r="AE42" s="7" t="b">
        <f ca="1">IF(AND($C42="S",ORÇAMENTO.CodBarra&lt;&gt;""),IF(ORÇAMENTO.Fonte="",ORÇAMENTO.CodBarra,CONCATENATE(ORÇAMENTO.Fonte," ",ORÇAMENTO.CodBarra)))</f>
        <v>0</v>
      </c>
      <c r="AF42" s="13" t="str">
        <f ca="1">IF(ISERROR(INDIRECT(ORÇAMENTO.BancoRef)),"(abra o arquivo 'Referência "&amp;Excel_BuiltIn_Database&amp;".xlsm)",IF(OR($C42&lt;&gt;"S",ORÇAMENTO.CodBarra=""),"(Sem Código)",IF(ISERROR(MATCH($AE42,INDIRECT(ORÇAMENTO.BancoRef),0)),"(Código não identificado nas referências)",MATCH($AE42,INDIRECT(ORÇAMENTO.BancoRef),0))))</f>
        <v>(abra o arquivo 'Referência 10-2024.xlsm)</v>
      </c>
      <c r="AG42" s="495">
        <f ca="1">ROUND(IF(DESONERACAO="sim",REFERENCIA.Desonerado,REFERENCIA.NaoDesonerado),2)</f>
        <v>0</v>
      </c>
      <c r="AH42" s="496">
        <f t="shared" ca="1" si="15"/>
        <v>0.20710000000000001</v>
      </c>
      <c r="AJ42" s="498"/>
      <c r="AL42" s="524"/>
      <c r="AM42" s="378">
        <f t="shared" ca="1" si="0"/>
        <v>0</v>
      </c>
      <c r="AN42" s="563">
        <f t="shared" ca="1" si="16"/>
        <v>0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0</v>
      </c>
      <c r="J43">
        <f t="shared" ca="1" si="9"/>
        <v>0</v>
      </c>
      <c r="K43">
        <f ca="1">IF(OR($C43="S",$C43=0),0,MATCH(OFFSET($D43,0,$C43)+IF($C43&lt;&gt;1,1,COUNTIF(QCI!$A$13:$A$24,ORÇAMENTO!E43)),OFFSET($D43,1,$C43,ROW($C$120)-ROW($C43)),0))</f>
        <v>0</v>
      </c>
      <c r="L43" s="113" t="str">
        <f t="shared" ca="1" si="10"/>
        <v/>
      </c>
      <c r="M43" s="114" t="s">
        <v>199</v>
      </c>
      <c r="N43" s="115" t="str">
        <f t="shared" ca="1" si="11"/>
        <v>Serviço</v>
      </c>
      <c r="O43" s="116" t="str">
        <f t="shared" ca="1" si="12"/>
        <v>-</v>
      </c>
      <c r="P43" s="117" t="s">
        <v>247</v>
      </c>
      <c r="Q43" s="118" t="s">
        <v>487</v>
      </c>
      <c r="R43" s="119" t="str">
        <f ca="1">IF($C43="S",REFERENCIA.Descricao,"(digite a descrição aqui)")</f>
        <v>(abra o arquivo 'Referência 10-2024.xlsm)</v>
      </c>
      <c r="S43" s="120" t="str">
        <f ca="1">REFERENCIA.Unidade</f>
        <v>-</v>
      </c>
      <c r="T43" s="121">
        <f ca="1">OFFSET(CÁLCULO!H$15,ROW($T43)-ROW(T$15),0)</f>
        <v>30.24</v>
      </c>
      <c r="U43" s="122">
        <f t="shared" ca="1" si="33"/>
        <v>0</v>
      </c>
      <c r="V43" s="123" t="s">
        <v>156</v>
      </c>
      <c r="W43" s="121">
        <f ca="1">IF($C43="S",ROUND(IF(TIPOORCAMENTO="Proposto",ORÇAMENTO.CustoUnitario*(1+$AH43),ORÇAMENTO.PrecoUnitarioLicitado),15-13*$AF$10),0)</f>
        <v>0</v>
      </c>
      <c r="X43" s="124">
        <f ca="1">IF($C43="S",IF(Import.TipoArredondamento&lt;&gt;"TransfereGOV",VTOTAL1,SUM(OFFSET(CÁLCULO!$AA$15,ROW($X43)-ROW($X$15),1):OFFSET(CÁLCULO!$AL$15,ROW($X43)-ROW($X$15),-1))),IF($C43=0,0,ROUND(SomaAgrup,15-13*$AF$11)))</f>
        <v>0</v>
      </c>
      <c r="Y43" s="125" t="s">
        <v>245</v>
      </c>
      <c r="Z43" t="str">
        <f t="shared" ca="1" si="13"/>
        <v/>
      </c>
      <c r="AA43" s="126">
        <f ca="1">IF($C43="S",IF($Z43="CP",$X43,IF($Z43="RA",(($X43)*QCI!$AA$3),0)),SomaAgrup)</f>
        <v>0</v>
      </c>
      <c r="AB43" s="127">
        <f t="shared" ca="1" si="14"/>
        <v>0</v>
      </c>
      <c r="AC43" s="128" t="str">
        <f ca="1">IF($N43="","",IF(ORÇAMENTO.Descricao="","DESCRIÇÃO",IF(AND($C43="S",ORÇAMENTO.Unidade=""),"UNIDADE",IF($X43&lt;0,"VALOR NEGATIVO",IF(OR(AND(TIPOORCAMENTO="Proposto",$AG43&lt;&gt;"",$AG43&gt;0,ORÇAMENTO.CustoUnitario&gt;$AG43),AND(TIPOORCAMENTO="LICITADO",ORÇAMENTO.PrecoUnitarioLicitado&gt;$AN43)),"ACIMA REF.","")))))</f>
        <v/>
      </c>
      <c r="AD43" t="str">
        <f ca="1">IF(C43&lt;=CRONO.NivelExibicao,MAX($AD$15:OFFSET(AD43,-1,0))+IF($C43&lt;&gt;1,1,MAX(1,COUNTIF(QCI!$A$13:$A$24,OFFSET($E43,-1,0)))),"")</f>
        <v/>
      </c>
      <c r="AE43" s="7" t="str">
        <f ca="1">IF(AND($C43="S",ORÇAMENTO.CodBarra&lt;&gt;""),IF(ORÇAMENTO.Fonte="",ORÇAMENTO.CodBarra,CONCATENATE(ORÇAMENTO.Fonte," ",ORÇAMENTO.CodBarra)))</f>
        <v>SINAPI 92269</v>
      </c>
      <c r="AF43" s="13" t="str">
        <f ca="1">IF(ISERROR(INDIRECT(ORÇAMENTO.BancoRef)),"(abra o arquivo 'Referência "&amp;Excel_BuiltIn_Database&amp;".xlsm)",IF(OR($C43&lt;&gt;"S",ORÇAMENTO.CodBarra=""),"(Sem Código)",IF(ISERROR(MATCH($AE43,INDIRECT(ORÇAMENTO.BancoRef),0)),"(Código não identificado nas referências)",MATCH($AE43,INDIRECT(ORÇAMENTO.BancoRef),0))))</f>
        <v>(abra o arquivo 'Referência 10-2024.xlsm)</v>
      </c>
      <c r="AG43" s="495">
        <f ca="1">ROUND(IF(DESONERACAO="sim",REFERENCIA.Desonerado,REFERENCIA.NaoDesonerado),2)</f>
        <v>0</v>
      </c>
      <c r="AH43" s="496">
        <f t="shared" ca="1" si="15"/>
        <v>0.20710000000000001</v>
      </c>
      <c r="AJ43" s="498">
        <v>30.24</v>
      </c>
      <c r="AL43" s="524"/>
      <c r="AM43" s="378">
        <f t="shared" ca="1" si="0"/>
        <v>0</v>
      </c>
      <c r="AN43" s="563">
        <f t="shared" ca="1" si="16"/>
        <v>0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0</v>
      </c>
      <c r="J44">
        <f t="shared" ca="1" si="9"/>
        <v>0</v>
      </c>
      <c r="K44">
        <f ca="1">IF(OR($C44="S",$C44=0),0,MATCH(OFFSET($D44,0,$C44)+IF($C44&lt;&gt;1,1,COUNTIF(QCI!$A$13:$A$24,ORÇAMENTO!E44)),OFFSET($D44,1,$C44,ROW($C$120)-ROW($C44)),0))</f>
        <v>0</v>
      </c>
      <c r="L44" s="113" t="str">
        <f t="shared" ca="1" si="10"/>
        <v/>
      </c>
      <c r="M44" s="114" t="s">
        <v>199</v>
      </c>
      <c r="N44" s="115" t="str">
        <f t="shared" ca="1" si="11"/>
        <v>Serviço</v>
      </c>
      <c r="O44" s="116" t="str">
        <f t="shared" ca="1" si="12"/>
        <v>-</v>
      </c>
      <c r="P44" s="117" t="s">
        <v>247</v>
      </c>
      <c r="Q44" s="118" t="s">
        <v>490</v>
      </c>
      <c r="R44" s="119" t="str">
        <f ca="1">IF($C44="S",REFERENCIA.Descricao,"(digite a descrição aqui)")</f>
        <v>(abra o arquivo 'Referência 10-2024.xlsm)</v>
      </c>
      <c r="S44" s="120" t="str">
        <f ca="1">REFERENCIA.Unidade</f>
        <v>-</v>
      </c>
      <c r="T44" s="121">
        <f ca="1">OFFSET(CÁLCULO!H$15,ROW($T44)-ROW(T$15),0)</f>
        <v>29.82</v>
      </c>
      <c r="U44" s="122">
        <f t="shared" ca="1" si="33"/>
        <v>0</v>
      </c>
      <c r="V44" s="123" t="s">
        <v>156</v>
      </c>
      <c r="W44" s="121">
        <f ca="1">IF($C44="S",ROUND(IF(TIPOORCAMENTO="Proposto",ORÇAMENTO.CustoUnitario*(1+$AH44),ORÇAMENTO.PrecoUnitarioLicitado),15-13*$AF$10),0)</f>
        <v>0</v>
      </c>
      <c r="X44" s="124">
        <f ca="1">IF($C44="S",IF(Import.TipoArredondamento&lt;&gt;"TransfereGOV",VTOTAL1,SUM(OFFSET(CÁLCULO!$AA$15,ROW($X44)-ROW($X$15),1):OFFSET(CÁLCULO!$AL$15,ROW($X44)-ROW($X$15),-1))),IF($C44=0,0,ROUND(SomaAgrup,15-13*$AF$11)))</f>
        <v>0</v>
      </c>
      <c r="Y44" s="125" t="s">
        <v>245</v>
      </c>
      <c r="Z44" t="str">
        <f t="shared" ca="1" si="13"/>
        <v/>
      </c>
      <c r="AA44" s="126">
        <f ca="1">IF($C44="S",IF($Z44="CP",$X44,IF($Z44="RA",(($X44)*QCI!$AA$3),0)),SomaAgrup)</f>
        <v>0</v>
      </c>
      <c r="AB44" s="127">
        <f t="shared" ca="1" si="14"/>
        <v>0</v>
      </c>
      <c r="AC44" s="128" t="str">
        <f ca="1">IF($N44="","",IF(ORÇAMENTO.Descricao="","DESCRIÇÃO",IF(AND($C44="S",ORÇAMENTO.Unidade=""),"UNIDADE",IF($X44&lt;0,"VALOR NEGATIVO",IF(OR(AND(TIPOORCAMENTO="Proposto",$AG44&lt;&gt;"",$AG44&gt;0,ORÇAMENTO.CustoUnitario&gt;$AG44),AND(TIPOORCAMENTO="LICITADO",ORÇAMENTO.PrecoUnitarioLicitado&gt;$AN44)),"ACIMA REF.","")))))</f>
        <v/>
      </c>
      <c r="AD44" t="str">
        <f ca="1">IF(C44&lt;=CRONO.NivelExibicao,MAX($AD$15:OFFSET(AD44,-1,0))+IF($C44&lt;&gt;1,1,MAX(1,COUNTIF(QCI!$A$13:$A$24,OFFSET($E44,-1,0)))),"")</f>
        <v/>
      </c>
      <c r="AE44" s="7" t="str">
        <f ca="1">IF(AND($C44="S",ORÇAMENTO.CodBarra&lt;&gt;""),IF(ORÇAMENTO.Fonte="",ORÇAMENTO.CodBarra,CONCATENATE(ORÇAMENTO.Fonte," ",ORÇAMENTO.CodBarra)))</f>
        <v>SINAPI 92265</v>
      </c>
      <c r="AF44" s="13" t="str">
        <f ca="1">IF(ISERROR(INDIRECT(ORÇAMENTO.BancoRef)),"(abra o arquivo 'Referência "&amp;Excel_BuiltIn_Database&amp;".xlsm)",IF(OR($C44&lt;&gt;"S",ORÇAMENTO.CodBarra=""),"(Sem Código)",IF(ISERROR(MATCH($AE44,INDIRECT(ORÇAMENTO.BancoRef),0)),"(Código não identificado nas referências)",MATCH($AE44,INDIRECT(ORÇAMENTO.BancoRef),0))))</f>
        <v>(abra o arquivo 'Referência 10-2024.xlsm)</v>
      </c>
      <c r="AG44" s="495">
        <f ca="1">ROUND(IF(DESONERACAO="sim",REFERENCIA.Desonerado,REFERENCIA.NaoDesonerado),2)</f>
        <v>0</v>
      </c>
      <c r="AH44" s="496">
        <f t="shared" ca="1" si="15"/>
        <v>0.20710000000000001</v>
      </c>
      <c r="AJ44" s="498">
        <v>29.82</v>
      </c>
      <c r="AL44" s="524"/>
      <c r="AM44" s="378">
        <f t="shared" ca="1" si="0"/>
        <v>0</v>
      </c>
      <c r="AN44" s="563">
        <f t="shared" ca="1" si="16"/>
        <v>0</v>
      </c>
    </row>
    <row r="45" spans="1:40" ht="38.2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0</v>
      </c>
      <c r="J45">
        <f t="shared" ca="1" si="9"/>
        <v>0</v>
      </c>
      <c r="K45">
        <f ca="1">IF(OR($C45="S",$C45=0),0,MATCH(OFFSET($D45,0,$C45)+IF($C45&lt;&gt;1,1,COUNTIF(QCI!$A$13:$A$24,ORÇAMENTO!E45)),OFFSET($D45,1,$C45,ROW($C$120)-ROW($C45)),0))</f>
        <v>0</v>
      </c>
      <c r="L45" s="113" t="str">
        <f t="shared" ca="1" si="10"/>
        <v/>
      </c>
      <c r="M45" s="114" t="s">
        <v>199</v>
      </c>
      <c r="N45" s="115" t="str">
        <f t="shared" ca="1" si="11"/>
        <v>Serviço</v>
      </c>
      <c r="O45" s="116" t="str">
        <f t="shared" ca="1" si="12"/>
        <v>-</v>
      </c>
      <c r="P45" s="117" t="s">
        <v>247</v>
      </c>
      <c r="Q45" s="118" t="s">
        <v>488</v>
      </c>
      <c r="R45" s="119" t="str">
        <f ca="1">IF($C45="S",REFERENCIA.Descricao,"(digite a descrição aqui)")</f>
        <v>(abra o arquivo 'Referência 10-2024.xlsm)</v>
      </c>
      <c r="S45" s="120" t="str">
        <f ca="1">REFERENCIA.Unidade</f>
        <v>-</v>
      </c>
      <c r="T45" s="121">
        <f ca="1">OFFSET(CÁLCULO!H$15,ROW($T45)-ROW(T$15),0)</f>
        <v>166.73</v>
      </c>
      <c r="U45" s="122">
        <f t="shared" ca="1" si="33"/>
        <v>0</v>
      </c>
      <c r="V45" s="123" t="s">
        <v>156</v>
      </c>
      <c r="W45" s="121">
        <f ca="1">IF($C45="S",ROUND(IF(TIPOORCAMENTO="Proposto",ORÇAMENTO.CustoUnitario*(1+$AH45),ORÇAMENTO.PrecoUnitarioLicitado),15-13*$AF$10),0)</f>
        <v>0</v>
      </c>
      <c r="X45" s="124">
        <f ca="1">IF($C45="S",IF(Import.TipoArredondamento&lt;&gt;"TransfereGOV",VTOTAL1,SUM(OFFSET(CÁLCULO!$AA$15,ROW($X45)-ROW($X$15),1):OFFSET(CÁLCULO!$AL$15,ROW($X45)-ROW($X$15),-1))),IF($C45=0,0,ROUND(SomaAgrup,15-13*$AF$11)))</f>
        <v>0</v>
      </c>
      <c r="Y45" s="125" t="s">
        <v>245</v>
      </c>
      <c r="Z45" t="str">
        <f t="shared" ca="1" si="13"/>
        <v/>
      </c>
      <c r="AA45" s="126">
        <f ca="1">IF($C45="S",IF($Z45="CP",$X45,IF($Z45="RA",(($X45)*QCI!$AA$3),0)),SomaAgrup)</f>
        <v>0</v>
      </c>
      <c r="AB45" s="127">
        <f t="shared" ca="1" si="14"/>
        <v>0</v>
      </c>
      <c r="AC45" s="128" t="str">
        <f ca="1">IF($N45="","",IF(ORÇAMENTO.Descricao="","DESCRIÇÃO",IF(AND($C45="S",ORÇAMENTO.Unidade=""),"UNIDADE",IF($X45&lt;0,"VALOR NEGATIVO",IF(OR(AND(TIPOORCAMENTO="Proposto",$AG45&lt;&gt;"",$AG45&gt;0,ORÇAMENTO.CustoUnitario&gt;$AG45),AND(TIPOORCAMENTO="LICITADO",ORÇAMENTO.PrecoUnitarioLicitado&gt;$AN45)),"ACIMA REF.","")))))</f>
        <v/>
      </c>
      <c r="AD45" t="str">
        <f ca="1">IF(C45&lt;=CRONO.NivelExibicao,MAX($AD$15:OFFSET(AD45,-1,0))+IF($C45&lt;&gt;1,1,MAX(1,COUNTIF(QCI!$A$13:$A$24,OFFSET($E45,-1,0)))),"")</f>
        <v/>
      </c>
      <c r="AE45" s="7" t="str">
        <f ca="1">IF(AND($C45="S",ORÇAMENTO.CodBarra&lt;&gt;""),IF(ORÇAMENTO.Fonte="",ORÇAMENTO.CodBarra,CONCATENATE(ORÇAMENTO.Fonte," ",ORÇAMENTO.CodBarra)))</f>
        <v>SINAPI 92919</v>
      </c>
      <c r="AF45" s="13" t="str">
        <f ca="1">IF(ISERROR(INDIRECT(ORÇAMENTO.BancoRef)),"(abra o arquivo 'Referência "&amp;Excel_BuiltIn_Database&amp;".xlsm)",IF(OR($C45&lt;&gt;"S",ORÇAMENTO.CodBarra=""),"(Sem Código)",IF(ISERROR(MATCH($AE45,INDIRECT(ORÇAMENTO.BancoRef),0)),"(Código não identificado nas referências)",MATCH($AE45,INDIRECT(ORÇAMENTO.BancoRef),0))))</f>
        <v>(abra o arquivo 'Referência 10-2024.xlsm)</v>
      </c>
      <c r="AG45" s="495">
        <f ca="1">ROUND(IF(DESONERACAO="sim",REFERENCIA.Desonerado,REFERENCIA.NaoDesonerado),2)</f>
        <v>0</v>
      </c>
      <c r="AH45" s="496">
        <f t="shared" ca="1" si="15"/>
        <v>0.20710000000000001</v>
      </c>
      <c r="AJ45" s="498">
        <v>166.73</v>
      </c>
      <c r="AL45" s="524"/>
      <c r="AM45" s="378">
        <f t="shared" ca="1" si="0"/>
        <v>0</v>
      </c>
      <c r="AN45" s="563">
        <f t="shared" ca="1" si="16"/>
        <v>0</v>
      </c>
    </row>
    <row r="46" spans="1:40" ht="38.2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0</v>
      </c>
      <c r="J46">
        <f t="shared" ca="1" si="9"/>
        <v>0</v>
      </c>
      <c r="K46">
        <f ca="1">IF(OR($C46="S",$C46=0),0,MATCH(OFFSET($D46,0,$C46)+IF($C46&lt;&gt;1,1,COUNTIF(QCI!$A$13:$A$24,ORÇAMENTO!E46)),OFFSET($D46,1,$C46,ROW($C$120)-ROW($C46)),0))</f>
        <v>0</v>
      </c>
      <c r="L46" s="113" t="str">
        <f t="shared" ca="1" si="10"/>
        <v/>
      </c>
      <c r="M46" s="114" t="s">
        <v>199</v>
      </c>
      <c r="N46" s="115" t="str">
        <f t="shared" ca="1" si="11"/>
        <v>Serviço</v>
      </c>
      <c r="O46" s="116" t="str">
        <f t="shared" ca="1" si="12"/>
        <v>-</v>
      </c>
      <c r="P46" s="117" t="s">
        <v>247</v>
      </c>
      <c r="Q46" s="118" t="s">
        <v>486</v>
      </c>
      <c r="R46" s="119" t="str">
        <f ca="1">IF($C46="S",REFERENCIA.Descricao,"(digite a descrição aqui)")</f>
        <v>(abra o arquivo 'Referência 10-2024.xlsm)</v>
      </c>
      <c r="S46" s="120" t="str">
        <f ca="1">REFERENCIA.Unidade</f>
        <v>-</v>
      </c>
      <c r="T46" s="121">
        <f ca="1">OFFSET(CÁLCULO!H$15,ROW($T46)-ROW(T$15),0)</f>
        <v>64.7</v>
      </c>
      <c r="U46" s="122">
        <f t="shared" ca="1" si="33"/>
        <v>0</v>
      </c>
      <c r="V46" s="123" t="s">
        <v>156</v>
      </c>
      <c r="W46" s="121">
        <f ca="1">IF($C46="S",ROUND(IF(TIPOORCAMENTO="Proposto",ORÇAMENTO.CustoUnitario*(1+$AH46),ORÇAMENTO.PrecoUnitarioLicitado),15-13*$AF$10),0)</f>
        <v>0</v>
      </c>
      <c r="X46" s="124">
        <f ca="1">IF($C46="S",IF(Import.TipoArredondamento&lt;&gt;"TransfereGOV",VTOTAL1,SUM(OFFSET(CÁLCULO!$AA$15,ROW($X46)-ROW($X$15),1):OFFSET(CÁLCULO!$AL$15,ROW($X46)-ROW($X$15),-1))),IF($C46=0,0,ROUND(SomaAgrup,15-13*$AF$11)))</f>
        <v>0</v>
      </c>
      <c r="Y46" s="125" t="s">
        <v>245</v>
      </c>
      <c r="Z46" t="str">
        <f t="shared" ca="1" si="13"/>
        <v/>
      </c>
      <c r="AA46" s="126">
        <f ca="1">IF($C46="S",IF($Z46="CP",$X46,IF($Z46="RA",(($X46)*QCI!$AA$3),0)),SomaAgrup)</f>
        <v>0</v>
      </c>
      <c r="AB46" s="127">
        <f t="shared" ca="1" si="14"/>
        <v>0</v>
      </c>
      <c r="AC46" s="128" t="str">
        <f ca="1">IF($N46="","",IF(ORÇAMENTO.Descricao="","DESCRIÇÃO",IF(AND($C46="S",ORÇAMENTO.Unidade=""),"UNIDADE",IF($X46&lt;0,"VALOR NEGATIVO",IF(OR(AND(TIPOORCAMENTO="Proposto",$AG46&lt;&gt;"",$AG46&gt;0,ORÇAMENTO.CustoUnitario&gt;$AG46),AND(TIPOORCAMENTO="LICITADO",ORÇAMENTO.PrecoUnitarioLicitado&gt;$AN46)),"ACIMA REF.","")))))</f>
        <v/>
      </c>
      <c r="AD46" t="str">
        <f ca="1">IF(C46&lt;=CRONO.NivelExibicao,MAX($AD$15:OFFSET(AD46,-1,0))+IF($C46&lt;&gt;1,1,MAX(1,COUNTIF(QCI!$A$13:$A$24,OFFSET($E46,-1,0)))),"")</f>
        <v/>
      </c>
      <c r="AE46" s="7" t="str">
        <f ca="1">IF(AND($C46="S",ORÇAMENTO.CodBarra&lt;&gt;""),IF(ORÇAMENTO.Fonte="",ORÇAMENTO.CodBarra,CONCATENATE(ORÇAMENTO.Fonte," ",ORÇAMENTO.CodBarra)))</f>
        <v>SINAPI 92759</v>
      </c>
      <c r="AF46" s="13" t="str">
        <f ca="1">IF(ISERROR(INDIRECT(ORÇAMENTO.BancoRef)),"(abra o arquivo 'Referência "&amp;Excel_BuiltIn_Database&amp;".xlsm)",IF(OR($C46&lt;&gt;"S",ORÇAMENTO.CodBarra=""),"(Sem Código)",IF(ISERROR(MATCH($AE46,INDIRECT(ORÇAMENTO.BancoRef),0)),"(Código não identificado nas referências)",MATCH($AE46,INDIRECT(ORÇAMENTO.BancoRef),0))))</f>
        <v>(abra o arquivo 'Referência 10-2024.xlsm)</v>
      </c>
      <c r="AG46" s="495">
        <f ca="1">ROUND(IF(DESONERACAO="sim",REFERENCIA.Desonerado,REFERENCIA.NaoDesonerado),2)</f>
        <v>0</v>
      </c>
      <c r="AH46" s="496">
        <f t="shared" ca="1" si="15"/>
        <v>0.20710000000000001</v>
      </c>
      <c r="AJ46" s="498">
        <v>64.7</v>
      </c>
      <c r="AL46" s="524"/>
      <c r="AM46" s="378">
        <f t="shared" ca="1" si="0"/>
        <v>0</v>
      </c>
      <c r="AN46" s="563">
        <f t="shared" ca="1" si="16"/>
        <v>0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0</v>
      </c>
      <c r="J47">
        <f t="shared" ca="1" si="9"/>
        <v>0</v>
      </c>
      <c r="K47">
        <f ca="1">IF(OR($C47="S",$C47=0),0,MATCH(OFFSET($D47,0,$C47)+IF($C47&lt;&gt;1,1,COUNTIF(QCI!$A$13:$A$24,ORÇAMENTO!E47)),OFFSET($D47,1,$C47,ROW($C$120)-ROW($C47)),0))</f>
        <v>0</v>
      </c>
      <c r="L47" s="113" t="str">
        <f t="shared" ca="1" si="10"/>
        <v/>
      </c>
      <c r="M47" s="114" t="s">
        <v>199</v>
      </c>
      <c r="N47" s="115" t="str">
        <f t="shared" ca="1" si="11"/>
        <v>Serviço</v>
      </c>
      <c r="O47" s="116" t="str">
        <f t="shared" ca="1" si="12"/>
        <v>-</v>
      </c>
      <c r="P47" s="117" t="s">
        <v>247</v>
      </c>
      <c r="Q47" s="118" t="s">
        <v>470</v>
      </c>
      <c r="R47" s="119" t="str">
        <f ca="1">IF($C47="S",REFERENCIA.Descricao,"(digite a descrição aqui)")</f>
        <v>(abra o arquivo 'Referência 10-2024.xlsm)</v>
      </c>
      <c r="S47" s="120" t="str">
        <f ca="1">REFERENCIA.Unidade</f>
        <v>-</v>
      </c>
      <c r="T47" s="121">
        <f ca="1">OFFSET(CÁLCULO!H$15,ROW($T47)-ROW(T$15),0)</f>
        <v>3.43</v>
      </c>
      <c r="U47" s="122">
        <f t="shared" ca="1" si="33"/>
        <v>0</v>
      </c>
      <c r="V47" s="123" t="s">
        <v>156</v>
      </c>
      <c r="W47" s="121">
        <f ca="1">IF($C47="S",ROUND(IF(TIPOORCAMENTO="Proposto",ORÇAMENTO.CustoUnitario*(1+$AH47),ORÇAMENTO.PrecoUnitarioLicitado),15-13*$AF$10),0)</f>
        <v>0</v>
      </c>
      <c r="X47" s="124">
        <f ca="1">IF($C47="S",IF(Import.TipoArredondamento&lt;&gt;"TransfereGOV",VTOTAL1,SUM(OFFSET(CÁLCULO!$AA$15,ROW($X47)-ROW($X$15),1):OFFSET(CÁLCULO!$AL$15,ROW($X47)-ROW($X$15),-1))),IF($C47=0,0,ROUND(SomaAgrup,15-13*$AF$11)))</f>
        <v>0</v>
      </c>
      <c r="Y47" s="125" t="s">
        <v>245</v>
      </c>
      <c r="Z47" t="str">
        <f t="shared" ca="1" si="13"/>
        <v/>
      </c>
      <c r="AA47" s="126">
        <f ca="1">IF($C47="S",IF($Z47="CP",$X47,IF($Z47="RA",(($X47)*QCI!$AA$3),0)),SomaAgrup)</f>
        <v>0</v>
      </c>
      <c r="AB47" s="127">
        <f t="shared" ca="1" si="14"/>
        <v>0</v>
      </c>
      <c r="AC47" s="128" t="str">
        <f ca="1">IF($N47="","",IF(ORÇAMENTO.Descricao="","DESCRIÇÃO",IF(AND($C47="S",ORÇAMENTO.Unidade=""),"UNIDADE",IF($X47&lt;0,"VALOR NEGATIVO",IF(OR(AND(TIPOORCAMENTO="Proposto",$AG47&lt;&gt;"",$AG47&gt;0,ORÇAMENTO.CustoUnitario&gt;$AG47),AND(TIPOORCAMENTO="LICITADO",ORÇAMENTO.PrecoUnitarioLicitado&gt;$AN47)),"ACIMA REF.","")))))</f>
        <v/>
      </c>
      <c r="AD47" t="str">
        <f ca="1">IF(C47&lt;=CRONO.NivelExibicao,MAX($AD$15:OFFSET(AD47,-1,0))+IF($C47&lt;&gt;1,1,MAX(1,COUNTIF(QCI!$A$13:$A$24,OFFSET($E47,-1,0)))),"")</f>
        <v/>
      </c>
      <c r="AE47" s="7" t="str">
        <f ca="1">IF(AND($C47="S",ORÇAMENTO.CodBarra&lt;&gt;""),IF(ORÇAMENTO.Fonte="",ORÇAMENTO.CodBarra,CONCATENATE(ORÇAMENTO.Fonte," ",ORÇAMENTO.CodBarra)))</f>
        <v>SINAPI 96558</v>
      </c>
      <c r="AF47" s="13" t="str">
        <f ca="1">IF(ISERROR(INDIRECT(ORÇAMENTO.BancoRef)),"(abra o arquivo 'Referência "&amp;Excel_BuiltIn_Database&amp;".xlsm)",IF(OR($C47&lt;&gt;"S",ORÇAMENTO.CodBarra=""),"(Sem Código)",IF(ISERROR(MATCH($AE47,INDIRECT(ORÇAMENTO.BancoRef),0)),"(Código não identificado nas referências)",MATCH($AE47,INDIRECT(ORÇAMENTO.BancoRef),0))))</f>
        <v>(abra o arquivo 'Referência 10-2024.xlsm)</v>
      </c>
      <c r="AG47" s="495">
        <f ca="1">ROUND(IF(DESONERACAO="sim",REFERENCIA.Desonerado,REFERENCIA.NaoDesonerado),2)</f>
        <v>0</v>
      </c>
      <c r="AH47" s="496">
        <f t="shared" ca="1" si="15"/>
        <v>0.20710000000000001</v>
      </c>
      <c r="AJ47" s="498">
        <v>3.43</v>
      </c>
      <c r="AL47" s="524"/>
      <c r="AM47" s="378">
        <f t="shared" ca="1" si="0"/>
        <v>0</v>
      </c>
      <c r="AN47" s="563">
        <f t="shared" ca="1" si="16"/>
        <v>0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0</v>
      </c>
      <c r="J48">
        <f t="shared" ref="J48:J79" ca="1" si="34">IF(OR($C48="S",$C48=0),0,MATCH(0,OFFSET($D48,1,$C48,ROW($C$120)-ROW($C48)),0))</f>
        <v>0</v>
      </c>
      <c r="K48">
        <f ca="1">IF(OR($C48="S",$C48=0),0,MATCH(OFFSET($D48,0,$C48)+IF($C48&lt;&gt;1,1,COUNTIF(QCI!$A$13:$A$24,ORÇAMENTO!E48)),OFFSET($D48,1,$C48,ROW($C$120)-ROW($C48)),0))</f>
        <v>0</v>
      </c>
      <c r="L48" s="113" t="str">
        <f t="shared" ca="1" si="10"/>
        <v/>
      </c>
      <c r="M48" s="114" t="s">
        <v>199</v>
      </c>
      <c r="N48" s="115" t="str">
        <f t="shared" ca="1" si="11"/>
        <v>Serviço</v>
      </c>
      <c r="O48" s="116" t="str">
        <f t="shared" ca="1" si="12"/>
        <v>-</v>
      </c>
      <c r="P48" s="117" t="s">
        <v>247</v>
      </c>
      <c r="Q48" s="118" t="s">
        <v>489</v>
      </c>
      <c r="R48" s="119" t="str">
        <f ca="1">IF($C48="S",REFERENCIA.Descricao,"(digite a descrição aqui)")</f>
        <v>(abra o arquivo 'Referência 10-2024.xlsm)</v>
      </c>
      <c r="S48" s="120" t="str">
        <f ca="1">REFERENCIA.Unidade</f>
        <v>-</v>
      </c>
      <c r="T48" s="121">
        <f ca="1">OFFSET(CÁLCULO!H$15,ROW($T48)-ROW(T$15),0)</f>
        <v>25.37</v>
      </c>
      <c r="U48" s="122">
        <f t="shared" ca="1" si="33"/>
        <v>0</v>
      </c>
      <c r="V48" s="123" t="s">
        <v>156</v>
      </c>
      <c r="W48" s="121">
        <f ca="1">IF($C48="S",ROUND(IF(TIPOORCAMENTO="Proposto",ORÇAMENTO.CustoUnitario*(1+$AH48),ORÇAMENTO.PrecoUnitarioLicitado),15-13*$AF$10),0)</f>
        <v>0</v>
      </c>
      <c r="X48" s="124">
        <f ca="1">IF($C48="S",IF(Import.TipoArredondamento&lt;&gt;"TransfereGOV",VTOTAL1,SUM(OFFSET(CÁLCULO!$AA$15,ROW($X48)-ROW($X$15),1):OFFSET(CÁLCULO!$AL$15,ROW($X48)-ROW($X$15),-1))),IF($C48=0,0,ROUND(SomaAgrup,15-13*$AF$11)))</f>
        <v>0</v>
      </c>
      <c r="Y48" s="125" t="s">
        <v>245</v>
      </c>
      <c r="Z48" t="str">
        <f t="shared" ca="1" si="13"/>
        <v/>
      </c>
      <c r="AA48" s="126">
        <f ca="1">IF($C48="S",IF($Z48="CP",$X48,IF($Z48="RA",(($X48)*QCI!$AA$3),0)),SomaAgrup)</f>
        <v>0</v>
      </c>
      <c r="AB48" s="127">
        <f t="shared" ca="1" si="14"/>
        <v>0</v>
      </c>
      <c r="AC48" s="128" t="str">
        <f ca="1">IF($N48="","",IF(ORÇAMENTO.Descricao="","DESCRIÇÃO",IF(AND($C48="S",ORÇAMENTO.Unidade=""),"UNIDADE",IF($X48&lt;0,"VALOR NEGATIVO",IF(OR(AND(TIPOORCAMENTO="Proposto",$AG48&lt;&gt;"",$AG48&gt;0,ORÇAMENTO.CustoUnitario&gt;$AG48),AND(TIPOORCAMENTO="LICITADO",ORÇAMENTO.PrecoUnitarioLicitado&gt;$AN48)),"ACIMA REF.","")))))</f>
        <v/>
      </c>
      <c r="AD48" t="str">
        <f ca="1">IF(C48&lt;=CRONO.NivelExibicao,MAX($AD$15:OFFSET(AD48,-1,0))+IF($C48&lt;&gt;1,1,MAX(1,COUNTIF(QCI!$A$13:$A$24,OFFSET($E48,-1,0)))),"")</f>
        <v/>
      </c>
      <c r="AE48" s="7" t="str">
        <f ca="1">IF(AND($C48="S",ORÇAMENTO.CodBarra&lt;&gt;""),IF(ORÇAMENTO.Fonte="",ORÇAMENTO.CodBarra,CONCATENATE(ORÇAMENTO.Fonte," ",ORÇAMENTO.CodBarra)))</f>
        <v>SINAPI 103076</v>
      </c>
      <c r="AF48" s="13" t="str">
        <f ca="1">IF(ISERROR(INDIRECT(ORÇAMENTO.BancoRef)),"(abra o arquivo 'Referência "&amp;Excel_BuiltIn_Database&amp;".xlsm)",IF(OR($C48&lt;&gt;"S",ORÇAMENTO.CodBarra=""),"(Sem Código)",IF(ISERROR(MATCH($AE48,INDIRECT(ORÇAMENTO.BancoRef),0)),"(Código não identificado nas referências)",MATCH($AE48,INDIRECT(ORÇAMENTO.BancoRef),0))))</f>
        <v>(abra o arquivo 'Referência 10-2024.xlsm)</v>
      </c>
      <c r="AG48" s="495">
        <f ca="1">ROUND(IF(DESONERACAO="sim",REFERENCIA.Desonerado,REFERENCIA.NaoDesonerado),2)</f>
        <v>0</v>
      </c>
      <c r="AH48" s="496">
        <f t="shared" ca="1" si="15"/>
        <v>0.20710000000000001</v>
      </c>
      <c r="AJ48" s="498">
        <v>25.37</v>
      </c>
      <c r="AL48" s="524"/>
      <c r="AM48" s="378">
        <f t="shared" ca="1" si="0"/>
        <v>0</v>
      </c>
      <c r="AN48" s="563">
        <f t="shared" ca="1" si="16"/>
        <v>0</v>
      </c>
    </row>
    <row r="49" spans="1:40" ht="38.2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0</v>
      </c>
      <c r="J49">
        <f t="shared" ca="1" si="34"/>
        <v>0</v>
      </c>
      <c r="K49">
        <f ca="1">IF(OR($C49="S",$C49=0),0,MATCH(OFFSET($D49,0,$C49)+IF($C49&lt;&gt;1,1,COUNTIF(QCI!$A$13:$A$24,ORÇAMENTO!E49)),OFFSET($D49,1,$C49,ROW($C$120)-ROW($C49)),0))</f>
        <v>0</v>
      </c>
      <c r="L49" s="113" t="str">
        <f t="shared" ca="1" si="10"/>
        <v/>
      </c>
      <c r="M49" s="114" t="s">
        <v>199</v>
      </c>
      <c r="N49" s="115" t="str">
        <f t="shared" ca="1" si="11"/>
        <v>Serviço</v>
      </c>
      <c r="O49" s="116" t="str">
        <f t="shared" ca="1" si="12"/>
        <v>-</v>
      </c>
      <c r="P49" s="117" t="s">
        <v>247</v>
      </c>
      <c r="Q49" s="118" t="s">
        <v>482</v>
      </c>
      <c r="R49" s="119" t="str">
        <f ca="1">IF($C49="S",REFERENCIA.Descricao,"(digite a descrição aqui)")</f>
        <v>(abra o arquivo 'Referência 10-2024.xlsm)</v>
      </c>
      <c r="S49" s="120" t="str">
        <f ca="1">REFERENCIA.Unidade</f>
        <v>-</v>
      </c>
      <c r="T49" s="121">
        <f ca="1">OFFSET(CÁLCULO!H$15,ROW($T49)-ROW(T$15),0)</f>
        <v>54.92</v>
      </c>
      <c r="U49" s="122">
        <f t="shared" ca="1" si="33"/>
        <v>0</v>
      </c>
      <c r="V49" s="123" t="s">
        <v>156</v>
      </c>
      <c r="W49" s="121">
        <f ca="1">IF($C49="S",ROUND(IF(TIPOORCAMENTO="Proposto",ORÇAMENTO.CustoUnitario*(1+$AH49),ORÇAMENTO.PrecoUnitarioLicitado),15-13*$AF$10),0)</f>
        <v>0</v>
      </c>
      <c r="X49" s="124">
        <f ca="1">IF($C49="S",IF(Import.TipoArredondamento&lt;&gt;"TransfereGOV",VTOTAL1,SUM(OFFSET(CÁLCULO!$AA$15,ROW($X49)-ROW($X$15),1):OFFSET(CÁLCULO!$AL$15,ROW($X49)-ROW($X$15),-1))),IF($C49=0,0,ROUND(SomaAgrup,15-13*$AF$11)))</f>
        <v>0</v>
      </c>
      <c r="Y49" s="125" t="s">
        <v>245</v>
      </c>
      <c r="Z49" t="str">
        <f t="shared" ca="1" si="13"/>
        <v/>
      </c>
      <c r="AA49" s="126">
        <f ca="1">IF($C49="S",IF($Z49="CP",$X49,IF($Z49="RA",(($X49)*QCI!$AA$3),0)),SomaAgrup)</f>
        <v>0</v>
      </c>
      <c r="AB49" s="127">
        <f t="shared" ca="1" si="14"/>
        <v>0</v>
      </c>
      <c r="AC49" s="128" t="str">
        <f ca="1">IF($N49="","",IF(ORÇAMENTO.Descricao="","DESCRIÇÃO",IF(AND($C49="S",ORÇAMENTO.Unidade=""),"UNIDADE",IF($X49&lt;0,"VALOR NEGATIVO",IF(OR(AND(TIPOORCAMENTO="Proposto",$AG49&lt;&gt;"",$AG49&gt;0,ORÇAMENTO.CustoUnitario&gt;$AG49),AND(TIPOORCAMENTO="LICITADO",ORÇAMENTO.PrecoUnitarioLicitado&gt;$AN49)),"ACIMA REF.","")))))</f>
        <v/>
      </c>
      <c r="AD49" t="str">
        <f ca="1">IF(C49&lt;=CRONO.NivelExibicao,MAX($AD$15:OFFSET(AD49,-1,0))+IF($C49&lt;&gt;1,1,MAX(1,COUNTIF(QCI!$A$13:$A$24,OFFSET($E49,-1,0)))),"")</f>
        <v/>
      </c>
      <c r="AE49" s="7" t="str">
        <f ca="1">IF(AND($C49="S",ORÇAMENTO.CodBarra&lt;&gt;""),IF(ORÇAMENTO.Fonte="",ORÇAMENTO.CodBarra,CONCATENATE(ORÇAMENTO.Fonte," ",ORÇAMENTO.CodBarra)))</f>
        <v>SINAPI 92761</v>
      </c>
      <c r="AF49" s="13" t="str">
        <f ca="1">IF(ISERROR(INDIRECT(ORÇAMENTO.BancoRef)),"(abra o arquivo 'Referência "&amp;Excel_BuiltIn_Database&amp;".xlsm)",IF(OR($C49&lt;&gt;"S",ORÇAMENTO.CodBarra=""),"(Sem Código)",IF(ISERROR(MATCH($AE49,INDIRECT(ORÇAMENTO.BancoRef),0)),"(Código não identificado nas referências)",MATCH($AE49,INDIRECT(ORÇAMENTO.BancoRef),0))))</f>
        <v>(abra o arquivo 'Referência 10-2024.xlsm)</v>
      </c>
      <c r="AG49" s="495">
        <f ca="1">ROUND(IF(DESONERACAO="sim",REFERENCIA.Desonerado,REFERENCIA.NaoDesonerado),2)</f>
        <v>0</v>
      </c>
      <c r="AH49" s="496">
        <f t="shared" ca="1" si="15"/>
        <v>0.20710000000000001</v>
      </c>
      <c r="AJ49" s="498">
        <v>54.92</v>
      </c>
      <c r="AL49" s="524"/>
      <c r="AM49" s="378">
        <f t="shared" ca="1" si="0"/>
        <v>0</v>
      </c>
      <c r="AN49" s="563">
        <f t="shared" ca="1" si="16"/>
        <v>0</v>
      </c>
    </row>
    <row r="50" spans="1:40" x14ac:dyDescent="0.2">
      <c r="A50">
        <f t="shared" si="1"/>
        <v>2</v>
      </c>
      <c r="B50">
        <f t="shared" ca="1" si="2"/>
        <v>2</v>
      </c>
      <c r="C50">
        <f t="shared" ca="1" si="3"/>
        <v>2</v>
      </c>
      <c r="D50">
        <f t="shared" ca="1" si="4"/>
        <v>3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34"/>
        <v>70</v>
      </c>
      <c r="K50">
        <f ca="1">IF(OR($C50="S",$C50=0),0,MATCH(OFFSET($D50,0,$C50)+IF($C50&lt;&gt;1,1,COUNTIF(QCI!$A$13:$A$24,ORÇAMENTO!E50)),OFFSET($D50,1,$C50,ROW($C$120)-ROW($C50)),0))</f>
        <v>3</v>
      </c>
      <c r="L50" s="113" t="str">
        <f t="shared" ca="1" si="10"/>
        <v>F</v>
      </c>
      <c r="M50" s="114" t="s">
        <v>196</v>
      </c>
      <c r="N50" s="115" t="str">
        <f t="shared" ca="1" si="11"/>
        <v>Nível 2</v>
      </c>
      <c r="O50" s="116" t="str">
        <f t="shared" ca="1" si="12"/>
        <v>1.5.</v>
      </c>
      <c r="P50" s="117" t="s">
        <v>247</v>
      </c>
      <c r="Q50" s="118"/>
      <c r="R50" s="119" t="s">
        <v>554</v>
      </c>
      <c r="S50" s="120" t="str">
        <f ca="1">REFERENCIA.Unidade</f>
        <v>-</v>
      </c>
      <c r="T50" s="121">
        <f ca="1">OFFSET(CÁLCULO!H$15,ROW($T50)-ROW(T$15),0)</f>
        <v>0</v>
      </c>
      <c r="U50" s="122">
        <f t="shared" ca="1" si="33"/>
        <v>0</v>
      </c>
      <c r="V50" s="123" t="s">
        <v>156</v>
      </c>
      <c r="W50" s="121">
        <f ca="1">IF($C50="S",ROUND(IF(TIPOORCAMENTO="Proposto",ORÇAMENTO.CustoUnitario*(1+$AH50),ORÇAMENTO.PrecoUnitarioLicitado),15-13*$AF$10),0)</f>
        <v>0</v>
      </c>
      <c r="X50" s="124">
        <f ca="1">IF($C50="S",IF(Import.TipoArredondamento&lt;&gt;"TransfereGOV",VTOTAL1,SUM(OFFSET(CÁLCULO!$AA$15,ROW($X50)-ROW($X$15),1):OFFSET(CÁLCULO!$AL$15,ROW($X50)-ROW($X$15),-1))),IF($C50=0,0,ROUND(SomaAgrup,15-13*$AF$11)))</f>
        <v>0</v>
      </c>
      <c r="Y50" s="125" t="s">
        <v>245</v>
      </c>
      <c r="Z50" t="str">
        <f t="shared" ca="1" si="13"/>
        <v/>
      </c>
      <c r="AA50" s="126">
        <f ca="1">IF($C50="S",IF($Z50="CP",$X50,IF($Z50="RA",(($X50)*QCI!$AA$3),0)),SomaAgrup)</f>
        <v>0</v>
      </c>
      <c r="AB50" s="127">
        <f t="shared" ca="1" si="14"/>
        <v>0</v>
      </c>
      <c r="AC50" s="128" t="str">
        <f ca="1">IF($N50="","",IF(ORÇAMENTO.Descricao="","DESCRIÇÃO",IF(AND($C50="S",ORÇAMENTO.Unidade=""),"UNIDADE",IF($X50&lt;0,"VALOR NEGATIVO",IF(OR(AND(TIPOORCAMENTO="Proposto",$AG50&lt;&gt;"",$AG50&gt;0,ORÇAMENTO.CustoUnitario&gt;$AG50),AND(TIPOORCAMENTO="LICITADO",ORÇAMENTO.PrecoUnitarioLicitado&gt;$AN50)),"ACIMA REF.","")))))</f>
        <v/>
      </c>
      <c r="AD50">
        <f ca="1">IF(C50&lt;=CRONO.NivelExibicao,MAX($AD$15:OFFSET(AD50,-1,0))+IF($C50&lt;&gt;1,1,MAX(1,COUNTIF(QCI!$A$13:$A$24,OFFSET($E50,-1,0)))),"")</f>
        <v>6</v>
      </c>
      <c r="AE50" s="7" t="b">
        <f ca="1">IF(AND($C50="S",ORÇAMENTO.CodBarra&lt;&gt;""),IF(ORÇAMENTO.Fonte="",ORÇAMENTO.CodBarra,CONCATENATE(ORÇAMENTO.Fonte," ",ORÇAMENTO.CodBarra)))</f>
        <v>0</v>
      </c>
      <c r="AF50" s="13" t="str">
        <f ca="1">IF(ISERROR(INDIRECT(ORÇAMENTO.BancoRef)),"(abra o arquivo 'Referência "&amp;Excel_BuiltIn_Database&amp;".xlsm)",IF(OR($C50&lt;&gt;"S",ORÇAMENTO.CodBarra=""),"(Sem Código)",IF(ISERROR(MATCH($AE50,INDIRECT(ORÇAMENTO.BancoRef),0)),"(Código não identificado nas referências)",MATCH($AE50,INDIRECT(ORÇAMENTO.BancoRef),0))))</f>
        <v>(abra o arquivo 'Referência 10-2024.xlsm)</v>
      </c>
      <c r="AG50" s="495">
        <f ca="1">ROUND(IF(DESONERACAO="sim",REFERENCIA.Desonerado,REFERENCIA.NaoDesonerado),2)</f>
        <v>0</v>
      </c>
      <c r="AH50" s="496">
        <f t="shared" ca="1" si="15"/>
        <v>0.20710000000000001</v>
      </c>
      <c r="AJ50" s="498"/>
      <c r="AL50" s="524"/>
      <c r="AM50" s="378">
        <f t="shared" ca="1" si="0"/>
        <v>0</v>
      </c>
      <c r="AN50" s="563">
        <f t="shared" ca="1" si="16"/>
        <v>0</v>
      </c>
    </row>
    <row r="51" spans="1:40" ht="5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0</v>
      </c>
      <c r="J51">
        <f t="shared" ca="1" si="34"/>
        <v>0</v>
      </c>
      <c r="K51">
        <f ca="1">IF(OR($C51="S",$C51=0),0,MATCH(OFFSET($D51,0,$C51)+IF($C51&lt;&gt;1,1,COUNTIF(QCI!$A$13:$A$24,ORÇAMENTO!E51)),OFFSET($D51,1,$C51,ROW($C$120)-ROW($C51)),0))</f>
        <v>0</v>
      </c>
      <c r="L51" s="113" t="str">
        <f t="shared" ca="1" si="10"/>
        <v/>
      </c>
      <c r="M51" s="114" t="s">
        <v>199</v>
      </c>
      <c r="N51" s="115" t="str">
        <f t="shared" ca="1" si="11"/>
        <v>Serviço</v>
      </c>
      <c r="O51" s="116" t="str">
        <f t="shared" ca="1" si="12"/>
        <v>-</v>
      </c>
      <c r="P51" s="117" t="s">
        <v>247</v>
      </c>
      <c r="Q51" s="118" t="s">
        <v>471</v>
      </c>
      <c r="R51" s="119" t="str">
        <f ca="1">IF($C51="S",REFERENCIA.Descricao,"(digite a descrição aqui)")</f>
        <v>(abra o arquivo 'Referência 10-2024.xlsm)</v>
      </c>
      <c r="S51" s="120" t="str">
        <f ca="1">REFERENCIA.Unidade</f>
        <v>-</v>
      </c>
      <c r="T51" s="121">
        <f ca="1">OFFSET(CÁLCULO!H$15,ROW($T51)-ROW(T$15),0)</f>
        <v>74.930000000000007</v>
      </c>
      <c r="U51" s="122">
        <f t="shared" ca="1" si="33"/>
        <v>0</v>
      </c>
      <c r="V51" s="123" t="s">
        <v>156</v>
      </c>
      <c r="W51" s="121">
        <f ca="1">IF($C51="S",ROUND(IF(TIPOORCAMENTO="Proposto",ORÇAMENTO.CustoUnitario*(1+$AH51),ORÇAMENTO.PrecoUnitarioLicitado),15-13*$AF$10),0)</f>
        <v>0</v>
      </c>
      <c r="X51" s="124">
        <f ca="1">IF($C51="S",IF(Import.TipoArredondamento&lt;&gt;"TransfereGOV",VTOTAL1,SUM(OFFSET(CÁLCULO!$AA$15,ROW($X51)-ROW($X$15),1):OFFSET(CÁLCULO!$AL$15,ROW($X51)-ROW($X$15),-1))),IF($C51=0,0,ROUND(SomaAgrup,15-13*$AF$11)))</f>
        <v>0</v>
      </c>
      <c r="Y51" s="125" t="s">
        <v>245</v>
      </c>
      <c r="Z51" t="str">
        <f t="shared" ca="1" si="13"/>
        <v/>
      </c>
      <c r="AA51" s="126">
        <f ca="1">IF($C51="S",IF($Z51="CP",$X51,IF($Z51="RA",(($X51)*QCI!$AA$3),0)),SomaAgrup)</f>
        <v>0</v>
      </c>
      <c r="AB51" s="127">
        <f t="shared" ca="1" si="14"/>
        <v>0</v>
      </c>
      <c r="AC51" s="128" t="str">
        <f ca="1">IF($N51="","",IF(ORÇAMENTO.Descricao="","DESCRIÇÃO",IF(AND($C51="S",ORÇAMENTO.Unidade=""),"UNIDADE",IF($X51&lt;0,"VALOR NEGATIVO",IF(OR(AND(TIPOORCAMENTO="Proposto",$AG51&lt;&gt;"",$AG51&gt;0,ORÇAMENTO.CustoUnitario&gt;$AG51),AND(TIPOORCAMENTO="LICITADO",ORÇAMENTO.PrecoUnitarioLicitado&gt;$AN51)),"ACIMA REF.","")))))</f>
        <v/>
      </c>
      <c r="AD51" t="str">
        <f ca="1">IF(C51&lt;=CRONO.NivelExibicao,MAX($AD$15:OFFSET(AD51,-1,0))+IF($C51&lt;&gt;1,1,MAX(1,COUNTIF(QCI!$A$13:$A$24,OFFSET($E51,-1,0)))),"")</f>
        <v/>
      </c>
      <c r="AE51" s="7" t="str">
        <f ca="1">IF(AND($C51="S",ORÇAMENTO.CodBarra&lt;&gt;""),IF(ORÇAMENTO.Fonte="",ORÇAMENTO.CodBarra,CONCATENATE(ORÇAMENTO.Fonte," ",ORÇAMENTO.CodBarra)))</f>
        <v>SINAPI 103330</v>
      </c>
      <c r="AF51" s="13" t="str">
        <f ca="1">IF(ISERROR(INDIRECT(ORÇAMENTO.BancoRef)),"(abra o arquivo 'Referência "&amp;Excel_BuiltIn_Database&amp;".xlsm)",IF(OR($C51&lt;&gt;"S",ORÇAMENTO.CodBarra=""),"(Sem Código)",IF(ISERROR(MATCH($AE51,INDIRECT(ORÇAMENTO.BancoRef),0)),"(Código não identificado nas referências)",MATCH($AE51,INDIRECT(ORÇAMENTO.BancoRef),0))))</f>
        <v>(abra o arquivo 'Referência 10-2024.xlsm)</v>
      </c>
      <c r="AG51" s="495">
        <f ca="1">ROUND(IF(DESONERACAO="sim",REFERENCIA.Desonerado,REFERENCIA.NaoDesonerado),2)</f>
        <v>0</v>
      </c>
      <c r="AH51" s="496">
        <f t="shared" ca="1" si="15"/>
        <v>0.20710000000000001</v>
      </c>
      <c r="AJ51" s="498">
        <v>74.930000000000007</v>
      </c>
      <c r="AL51" s="524"/>
      <c r="AM51" s="378">
        <f t="shared" ca="1" si="0"/>
        <v>0</v>
      </c>
      <c r="AN51" s="563">
        <f t="shared" ca="1" si="16"/>
        <v>0</v>
      </c>
    </row>
    <row r="52" spans="1:40" ht="12.75" customHeight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t="shared" ca="1" si="34"/>
        <v>0</v>
      </c>
      <c r="K52">
        <f ca="1">IF(OR($C52="S",$C52=0),0,MATCH(OFFSET($D52,0,$C52)+IF($C52&lt;&gt;1,1,COUNTIF(QCI!$A$13:$A$24,ORÇAMENTO!E52)),OFFSET($D52,1,$C52,ROW($C$120)-ROW($C52)),0))</f>
        <v>0</v>
      </c>
      <c r="L52" s="113" t="str">
        <f t="shared" ca="1" si="10"/>
        <v/>
      </c>
      <c r="M52" s="114" t="s">
        <v>199</v>
      </c>
      <c r="N52" s="115" t="str">
        <f t="shared" ca="1" si="11"/>
        <v>Serviço</v>
      </c>
      <c r="O52" s="116" t="str">
        <f t="shared" ca="1" si="12"/>
        <v>-</v>
      </c>
      <c r="P52" s="117" t="s">
        <v>247</v>
      </c>
      <c r="Q52" s="118" t="s">
        <v>478</v>
      </c>
      <c r="R52" s="119" t="str">
        <f ca="1">IF($C52="S",REFERENCIA.Descricao,"(digite a descrição aqui)")</f>
        <v>(abra o arquivo 'Referência 10-2024.xlsm)</v>
      </c>
      <c r="S52" s="120" t="str">
        <f ca="1">REFERENCIA.Unidade</f>
        <v>-</v>
      </c>
      <c r="T52" s="121">
        <f ca="1">OFFSET(CÁLCULO!H$15,ROW($T52)-ROW(T$15),0)</f>
        <v>12.96</v>
      </c>
      <c r="U52" s="122">
        <f t="shared" ca="1" si="33"/>
        <v>0</v>
      </c>
      <c r="V52" s="123" t="s">
        <v>156</v>
      </c>
      <c r="W52" s="121">
        <f ca="1">IF($C52="S",ROUND(IF(TIPOORCAMENTO="Proposto",ORÇAMENTO.CustoUnitario*(1+$AH52),ORÇAMENTO.PrecoUnitarioLicitado),15-13*$AF$10),0)</f>
        <v>0</v>
      </c>
      <c r="X52" s="124">
        <f ca="1">IF($C52="S",IF(Import.TipoArredondamento&lt;&gt;"TransfereGOV",VTOTAL1,SUM(OFFSET(CÁLCULO!$AA$15,ROW($X52)-ROW($X$15),1):OFFSET(CÁLCULO!$AL$15,ROW($X52)-ROW($X$15),-1))),IF($C52=0,0,ROUND(SomaAgrup,15-13*$AF$11)))</f>
        <v>0</v>
      </c>
      <c r="Y52" s="125" t="s">
        <v>245</v>
      </c>
      <c r="Z52" t="str">
        <f t="shared" ca="1" si="13"/>
        <v/>
      </c>
      <c r="AA52" s="126">
        <f ca="1">IF($C52="S",IF($Z52="CP",$X52,IF($Z52="RA",(($X52)*QCI!$AA$3),0)),SomaAgrup)</f>
        <v>0</v>
      </c>
      <c r="AB52" s="127">
        <f t="shared" ca="1" si="14"/>
        <v>0</v>
      </c>
      <c r="AC52" s="128" t="str">
        <f ca="1">IF($N52="","",IF(ORÇAMENTO.Descricao="","DESCRIÇÃO",IF(AND($C52="S",ORÇAMENTO.Unidade=""),"UNIDADE",IF($X52&lt;0,"VALOR NEGATIVO",IF(OR(AND(TIPOORCAMENTO="Proposto",$AG52&lt;&gt;"",$AG52&gt;0,ORÇAMENTO.CustoUnitario&gt;$AG52),AND(TIPOORCAMENTO="LICITADO",ORÇAMENTO.PrecoUnitarioLicitado&gt;$AN52)),"ACIMA REF.","")))))</f>
        <v/>
      </c>
      <c r="AD52" t="str">
        <f ca="1">IF(C52&lt;=CRONO.NivelExibicao,MAX($AD$15:OFFSET(AD52,-1,0))+IF($C52&lt;&gt;1,1,MAX(1,COUNTIF(QCI!$A$13:$A$24,OFFSET($E52,-1,0)))),"")</f>
        <v/>
      </c>
      <c r="AE52" s="7" t="str">
        <f ca="1">IF(AND($C52="S",ORÇAMENTO.CodBarra&lt;&gt;""),IF(ORÇAMENTO.Fonte="",ORÇAMENTO.CodBarra,CONCATENATE(ORÇAMENTO.Fonte," ",ORÇAMENTO.CodBarra)))</f>
        <v>SINAPI 102257</v>
      </c>
      <c r="AF52" s="13" t="str">
        <f ca="1">IF(ISERROR(INDIRECT(ORÇAMENTO.BancoRef)),"(abra o arquivo 'Referência "&amp;Excel_BuiltIn_Database&amp;".xlsm)",IF(OR($C52&lt;&gt;"S",ORÇAMENTO.CodBarra=""),"(Sem Código)",IF(ISERROR(MATCH($AE52,INDIRECT(ORÇAMENTO.BancoRef),0)),"(Código não identificado nas referências)",MATCH($AE52,INDIRECT(ORÇAMENTO.BancoRef),0))))</f>
        <v>(abra o arquivo 'Referência 10-2024.xlsm)</v>
      </c>
      <c r="AG52" s="495">
        <f ca="1">ROUND(IF(DESONERACAO="sim",REFERENCIA.Desonerado,REFERENCIA.NaoDesonerado),2)</f>
        <v>0</v>
      </c>
      <c r="AH52" s="496">
        <f t="shared" ca="1" si="15"/>
        <v>0.20710000000000001</v>
      </c>
      <c r="AJ52" s="498">
        <v>12.96</v>
      </c>
      <c r="AL52" s="524"/>
      <c r="AM52" s="378">
        <f t="shared" ca="1" si="0"/>
        <v>0</v>
      </c>
      <c r="AN52" s="563">
        <f t="shared" ca="1" si="16"/>
        <v>0</v>
      </c>
    </row>
    <row r="53" spans="1:40" x14ac:dyDescent="0.2">
      <c r="A53">
        <f t="shared" si="1"/>
        <v>2</v>
      </c>
      <c r="B53">
        <f t="shared" ca="1" si="2"/>
        <v>2</v>
      </c>
      <c r="C53">
        <f t="shared" ca="1" si="3"/>
        <v>2</v>
      </c>
      <c r="D53">
        <f t="shared" ca="1" si="4"/>
        <v>4</v>
      </c>
      <c r="E53">
        <f ca="1">IF($C53=1,OFFSET(E53,-1,0)+MAX(1,COUNTIF(QCI!$A$13:$A$24,OFFSET(ORÇAMENTO!E53,-1,0))),OFFSET(E53,-1,0))</f>
        <v>1</v>
      </c>
      <c r="F53">
        <f t="shared" ca="1" si="5"/>
        <v>6</v>
      </c>
      <c r="G53">
        <f t="shared" ca="1" si="6"/>
        <v>0</v>
      </c>
      <c r="H53">
        <f t="shared" ca="1" si="7"/>
        <v>0</v>
      </c>
      <c r="I53">
        <f t="shared" ca="1" si="8"/>
        <v>0</v>
      </c>
      <c r="J53">
        <f t="shared" ca="1" si="34"/>
        <v>67</v>
      </c>
      <c r="K53">
        <f ca="1">IF(OR($C53="S",$C53=0),0,MATCH(OFFSET($D53,0,$C53)+IF($C53&lt;&gt;1,1,COUNTIF(QCI!$A$13:$A$24,ORÇAMENTO!E53)),OFFSET($D53,1,$C53,ROW($C$120)-ROW($C53)),0))</f>
        <v>4</v>
      </c>
      <c r="L53" s="113" t="str">
        <f t="shared" ca="1" si="10"/>
        <v>F</v>
      </c>
      <c r="M53" s="114" t="s">
        <v>196</v>
      </c>
      <c r="N53" s="115" t="str">
        <f t="shared" ca="1" si="11"/>
        <v>Nível 2</v>
      </c>
      <c r="O53" s="116" t="str">
        <f t="shared" ca="1" si="12"/>
        <v>1.6.</v>
      </c>
      <c r="P53" s="117" t="s">
        <v>247</v>
      </c>
      <c r="Q53" s="118"/>
      <c r="R53" s="119" t="s">
        <v>476</v>
      </c>
      <c r="S53" s="120" t="str">
        <f ca="1">REFERENCIA.Unidade</f>
        <v>-</v>
      </c>
      <c r="T53" s="121">
        <f ca="1">OFFSET(CÁLCULO!H$15,ROW($T53)-ROW(T$15),0)</f>
        <v>0</v>
      </c>
      <c r="U53" s="122"/>
      <c r="V53" s="123" t="s">
        <v>156</v>
      </c>
      <c r="W53" s="121">
        <f ca="1">IF($C53="S",ROUND(IF(TIPOORCAMENTO="Proposto",ORÇAMENTO.CustoUnitario*(1+$AH53),ORÇAMENTO.PrecoUnitarioLicitado),15-13*$AF$10),0)</f>
        <v>0</v>
      </c>
      <c r="X53" s="124">
        <f ca="1">IF($C53="S",IF(Import.TipoArredondamento&lt;&gt;"TransfereGOV",VTOTAL1,SUM(OFFSET(CÁLCULO!$AA$15,ROW($X53)-ROW($X$15),1):OFFSET(CÁLCULO!$AL$15,ROW($X53)-ROW($X$15),-1))),IF($C53=0,0,ROUND(SomaAgrup,15-13*$AF$11)))</f>
        <v>0</v>
      </c>
      <c r="Y53" s="125" t="s">
        <v>245</v>
      </c>
      <c r="Z53" t="str">
        <f t="shared" ca="1" si="13"/>
        <v/>
      </c>
      <c r="AA53" s="126">
        <f ca="1">IF($C53="S",IF($Z53="CP",$X53,IF($Z53="RA",(($X53)*QCI!$AA$3),0)),SomaAgrup)</f>
        <v>0</v>
      </c>
      <c r="AB53" s="127">
        <f t="shared" ca="1" si="14"/>
        <v>0</v>
      </c>
      <c r="AC53" s="128" t="str">
        <f ca="1">IF($N53="","",IF(ORÇAMENTO.Descricao="","DESCRIÇÃO",IF(AND($C53="S",ORÇAMENTO.Unidade=""),"UNIDADE",IF($X53&lt;0,"VALOR NEGATIVO",IF(OR(AND(TIPOORCAMENTO="Proposto",$AG53&lt;&gt;"",$AG53&gt;0,ORÇAMENTO.CustoUnitario&gt;$AG53),AND(TIPOORCAMENTO="LICITADO",ORÇAMENTO.PrecoUnitarioLicitado&gt;$AN53)),"ACIMA REF.","")))))</f>
        <v/>
      </c>
      <c r="AD53">
        <f ca="1">IF(C53&lt;=CRONO.NivelExibicao,MAX($AD$15:OFFSET(AD53,-1,0))+IF($C53&lt;&gt;1,1,MAX(1,COUNTIF(QCI!$A$13:$A$24,OFFSET($E53,-1,0)))),"")</f>
        <v>7</v>
      </c>
      <c r="AE53" s="7" t="b">
        <f ca="1">IF(AND($C53="S",ORÇAMENTO.CodBarra&lt;&gt;""),IF(ORÇAMENTO.Fonte="",ORÇAMENTO.CodBarra,CONCATENATE(ORÇAMENTO.Fonte," ",ORÇAMENTO.CodBarra)))</f>
        <v>0</v>
      </c>
      <c r="AF53" s="13" t="str">
        <f ca="1">IF(ISERROR(INDIRECT(ORÇAMENTO.BancoRef)),"(abra o arquivo 'Referência "&amp;Excel_BuiltIn_Database&amp;".xlsm)",IF(OR($C53&lt;&gt;"S",ORÇAMENTO.CodBarra=""),"(Sem Código)",IF(ISERROR(MATCH($AE53,INDIRECT(ORÇAMENTO.BancoRef),0)),"(Código não identificado nas referências)",MATCH($AE53,INDIRECT(ORÇAMENTO.BancoRef),0))))</f>
        <v>(abra o arquivo 'Referência 10-2024.xlsm)</v>
      </c>
      <c r="AG53" s="495">
        <f ca="1">ROUND(IF(DESONERACAO="sim",REFERENCIA.Desonerado,REFERENCIA.NaoDesonerado),2)</f>
        <v>0</v>
      </c>
      <c r="AH53" s="496">
        <f t="shared" ca="1" si="15"/>
        <v>0.20710000000000001</v>
      </c>
      <c r="AJ53" s="498"/>
      <c r="AL53" s="524"/>
      <c r="AM53" s="378">
        <f t="shared" ca="1" si="0"/>
        <v>0</v>
      </c>
      <c r="AN53" s="563">
        <f t="shared" ca="1" si="16"/>
        <v>0</v>
      </c>
    </row>
    <row r="54" spans="1:40" ht="38.25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6</v>
      </c>
      <c r="G54">
        <f t="shared" ca="1" si="6"/>
        <v>0</v>
      </c>
      <c r="H54">
        <f t="shared" ca="1" si="7"/>
        <v>0</v>
      </c>
      <c r="I54">
        <f t="shared" ca="1" si="8"/>
        <v>0</v>
      </c>
      <c r="J54">
        <f t="shared" ca="1" si="34"/>
        <v>0</v>
      </c>
      <c r="K54">
        <f ca="1">IF(OR($C54="S",$C54=0),0,MATCH(OFFSET($D54,0,$C54)+IF($C54&lt;&gt;1,1,COUNTIF(QCI!$A$13:$A$24,ORÇAMENTO!E54)),OFFSET($D54,1,$C54,ROW($C$120)-ROW($C54)),0))</f>
        <v>0</v>
      </c>
      <c r="L54" s="113" t="str">
        <f t="shared" ca="1" si="10"/>
        <v/>
      </c>
      <c r="M54" s="114" t="s">
        <v>199</v>
      </c>
      <c r="N54" s="115" t="str">
        <f t="shared" ca="1" si="11"/>
        <v>Serviço</v>
      </c>
      <c r="O54" s="116" t="str">
        <f t="shared" ca="1" si="12"/>
        <v>-</v>
      </c>
      <c r="P54" s="117" t="s">
        <v>247</v>
      </c>
      <c r="Q54" s="118" t="s">
        <v>472</v>
      </c>
      <c r="R54" s="119" t="str">
        <f ca="1">IF($C54="S",REFERENCIA.Descricao,"(digite a descrição aqui)")</f>
        <v>(abra o arquivo 'Referência 10-2024.xlsm)</v>
      </c>
      <c r="S54" s="120" t="str">
        <f ca="1">REFERENCIA.Unidade</f>
        <v>-</v>
      </c>
      <c r="T54" s="121">
        <f ca="1">OFFSET(CÁLCULO!H$15,ROW($T54)-ROW(T$15),0)</f>
        <v>12</v>
      </c>
      <c r="U54" s="122">
        <f t="shared" ca="1" si="33"/>
        <v>0</v>
      </c>
      <c r="V54" s="123" t="s">
        <v>156</v>
      </c>
      <c r="W54" s="121">
        <f ca="1">IF($C54="S",ROUND(IF(TIPOORCAMENTO="Proposto",ORÇAMENTO.CustoUnitario*(1+$AH54),ORÇAMENTO.PrecoUnitarioLicitado),15-13*$AF$10),0)</f>
        <v>0</v>
      </c>
      <c r="X54" s="124">
        <f ca="1">IF($C54="S",IF(Import.TipoArredondamento&lt;&gt;"TransfereGOV",VTOTAL1,SUM(OFFSET(CÁLCULO!$AA$15,ROW($X54)-ROW($X$15),1):OFFSET(CÁLCULO!$AL$15,ROW($X54)-ROW($X$15),-1))),IF($C54=0,0,ROUND(SomaAgrup,15-13*$AF$11)))</f>
        <v>0</v>
      </c>
      <c r="Y54" s="125" t="s">
        <v>245</v>
      </c>
      <c r="Z54" t="str">
        <f t="shared" ca="1" si="13"/>
        <v/>
      </c>
      <c r="AA54" s="126">
        <f ca="1">IF($C54="S",IF($Z54="CP",$X54,IF($Z54="RA",(($X54)*QCI!$AA$3),0)),SomaAgrup)</f>
        <v>0</v>
      </c>
      <c r="AB54" s="127">
        <f t="shared" ca="1" si="14"/>
        <v>0</v>
      </c>
      <c r="AC54" s="128" t="str">
        <f ca="1">IF($N54="","",IF(ORÇAMENTO.Descricao="","DESCRIÇÃO",IF(AND($C54="S",ORÇAMENTO.Unidade=""),"UNIDADE",IF($X54&lt;0,"VALOR NEGATIVO",IF(OR(AND(TIPOORCAMENTO="Proposto",$AG54&lt;&gt;"",$AG54&gt;0,ORÇAMENTO.CustoUnitario&gt;$AG54),AND(TIPOORCAMENTO="LICITADO",ORÇAMENTO.PrecoUnitarioLicitado&gt;$AN54)),"ACIMA REF.","")))))</f>
        <v/>
      </c>
      <c r="AD54" t="str">
        <f ca="1">IF(C54&lt;=CRONO.NivelExibicao,MAX($AD$15:OFFSET(AD54,-1,0))+IF($C54&lt;&gt;1,1,MAX(1,COUNTIF(QCI!$A$13:$A$24,OFFSET($E54,-1,0)))),"")</f>
        <v/>
      </c>
      <c r="AE54" s="7" t="str">
        <f ca="1">IF(AND($C54="S",ORÇAMENTO.CodBarra&lt;&gt;""),IF(ORÇAMENTO.Fonte="",ORÇAMENTO.CodBarra,CONCATENATE(ORÇAMENTO.Fonte," ",ORÇAMENTO.CodBarra)))</f>
        <v>SINAPI 94227</v>
      </c>
      <c r="AF54" s="13" t="str">
        <f ca="1">IF(ISERROR(INDIRECT(ORÇAMENTO.BancoRef)),"(abra o arquivo 'Referência "&amp;Excel_BuiltIn_Database&amp;".xlsm)",IF(OR($C54&lt;&gt;"S",ORÇAMENTO.CodBarra=""),"(Sem Código)",IF(ISERROR(MATCH($AE54,INDIRECT(ORÇAMENTO.BancoRef),0)),"(Código não identificado nas referências)",MATCH($AE54,INDIRECT(ORÇAMENTO.BancoRef),0))))</f>
        <v>(abra o arquivo 'Referência 10-2024.xlsm)</v>
      </c>
      <c r="AG54" s="495">
        <f ca="1">ROUND(IF(DESONERACAO="sim",REFERENCIA.Desonerado,REFERENCIA.NaoDesonerado),2)</f>
        <v>0</v>
      </c>
      <c r="AH54" s="496">
        <f t="shared" ca="1" si="15"/>
        <v>0.20710000000000001</v>
      </c>
      <c r="AJ54" s="498">
        <v>12</v>
      </c>
      <c r="AL54" s="524"/>
      <c r="AM54" s="378">
        <f t="shared" ca="1" si="0"/>
        <v>0</v>
      </c>
      <c r="AN54" s="563">
        <f t="shared" ca="1" si="16"/>
        <v>0</v>
      </c>
    </row>
    <row r="55" spans="1:40" ht="5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6</v>
      </c>
      <c r="G55">
        <f t="shared" ca="1" si="6"/>
        <v>0</v>
      </c>
      <c r="H55">
        <f t="shared" ca="1" si="7"/>
        <v>0</v>
      </c>
      <c r="I55">
        <f t="shared" ca="1" si="8"/>
        <v>0</v>
      </c>
      <c r="J55">
        <f t="shared" ca="1" si="34"/>
        <v>0</v>
      </c>
      <c r="K55">
        <f ca="1">IF(OR($C55="S",$C55=0),0,MATCH(OFFSET($D55,0,$C55)+IF($C55&lt;&gt;1,1,COUNTIF(QCI!$A$13:$A$24,ORÇAMENTO!E55)),OFFSET($D55,1,$C55,ROW($C$120)-ROW($C55)),0))</f>
        <v>0</v>
      </c>
      <c r="L55" s="113" t="str">
        <f t="shared" ca="1" si="10"/>
        <v/>
      </c>
      <c r="M55" s="114" t="s">
        <v>199</v>
      </c>
      <c r="N55" s="115" t="str">
        <f t="shared" ca="1" si="11"/>
        <v>Serviço</v>
      </c>
      <c r="O55" s="116" t="str">
        <f t="shared" ca="1" si="12"/>
        <v>-</v>
      </c>
      <c r="P55" s="117" t="s">
        <v>247</v>
      </c>
      <c r="Q55" s="118" t="s">
        <v>473</v>
      </c>
      <c r="R55" s="119" t="str">
        <f ca="1">IF($C55="S",REFERENCIA.Descricao,"(digite a descrição aqui)")</f>
        <v>(abra o arquivo 'Referência 10-2024.xlsm)</v>
      </c>
      <c r="S55" s="120" t="str">
        <f ca="1">REFERENCIA.Unidade</f>
        <v>-</v>
      </c>
      <c r="T55" s="121">
        <f ca="1">OFFSET(CÁLCULO!H$15,ROW($T55)-ROW(T$15),0)</f>
        <v>35</v>
      </c>
      <c r="U55" s="122">
        <f t="shared" ca="1" si="33"/>
        <v>0</v>
      </c>
      <c r="V55" s="123" t="s">
        <v>156</v>
      </c>
      <c r="W55" s="121">
        <f ca="1">IF($C55="S",ROUND(IF(TIPOORCAMENTO="Proposto",ORÇAMENTO.CustoUnitario*(1+$AH55),ORÇAMENTO.PrecoUnitarioLicitado),15-13*$AF$10),0)</f>
        <v>0</v>
      </c>
      <c r="X55" s="124">
        <f ca="1">IF($C55="S",IF(Import.TipoArredondamento&lt;&gt;"TransfereGOV",VTOTAL1,SUM(OFFSET(CÁLCULO!$AA$15,ROW($X55)-ROW($X$15),1):OFFSET(CÁLCULO!$AL$15,ROW($X55)-ROW($X$15),-1))),IF($C55=0,0,ROUND(SomaAgrup,15-13*$AF$11)))</f>
        <v>0</v>
      </c>
      <c r="Y55" s="125" t="s">
        <v>245</v>
      </c>
      <c r="Z55" t="str">
        <f t="shared" ca="1" si="13"/>
        <v/>
      </c>
      <c r="AA55" s="126">
        <f ca="1">IF($C55="S",IF($Z55="CP",$X55,IF($Z55="RA",(($X55)*QCI!$AA$3),0)),SomaAgrup)</f>
        <v>0</v>
      </c>
      <c r="AB55" s="127">
        <f t="shared" ca="1" si="14"/>
        <v>0</v>
      </c>
      <c r="AC55" s="128" t="str">
        <f ca="1">IF($N55="","",IF(ORÇAMENTO.Descricao="","DESCRIÇÃO",IF(AND($C55="S",ORÇAMENTO.Unidade=""),"UNIDADE",IF($X55&lt;0,"VALOR NEGATIVO",IF(OR(AND(TIPOORCAMENTO="Proposto",$AG55&lt;&gt;"",$AG55&gt;0,ORÇAMENTO.CustoUnitario&gt;$AG55),AND(TIPOORCAMENTO="LICITADO",ORÇAMENTO.PrecoUnitarioLicitado&gt;$AN55)),"ACIMA REF.","")))))</f>
        <v/>
      </c>
      <c r="AD55" t="str">
        <f ca="1">IF(C55&lt;=CRONO.NivelExibicao,MAX($AD$15:OFFSET(AD55,-1,0))+IF($C55&lt;&gt;1,1,MAX(1,COUNTIF(QCI!$A$13:$A$24,OFFSET($E55,-1,0)))),"")</f>
        <v/>
      </c>
      <c r="AE55" s="7" t="str">
        <f ca="1">IF(AND($C55="S",ORÇAMENTO.CodBarra&lt;&gt;""),IF(ORÇAMENTO.Fonte="",ORÇAMENTO.CodBarra,CONCATENATE(ORÇAMENTO.Fonte," ",ORÇAMENTO.CodBarra)))</f>
        <v>SINAPI 92540</v>
      </c>
      <c r="AF55" s="13" t="str">
        <f ca="1">IF(ISERROR(INDIRECT(ORÇAMENTO.BancoRef)),"(abra o arquivo 'Referência "&amp;Excel_BuiltIn_Database&amp;".xlsm)",IF(OR($C55&lt;&gt;"S",ORÇAMENTO.CodBarra=""),"(Sem Código)",IF(ISERROR(MATCH($AE55,INDIRECT(ORÇAMENTO.BancoRef),0)),"(Código não identificado nas referências)",MATCH($AE55,INDIRECT(ORÇAMENTO.BancoRef),0))))</f>
        <v>(abra o arquivo 'Referência 10-2024.xlsm)</v>
      </c>
      <c r="AG55" s="495">
        <f ca="1">ROUND(IF(DESONERACAO="sim",REFERENCIA.Desonerado,REFERENCIA.NaoDesonerado),2)</f>
        <v>0</v>
      </c>
      <c r="AH55" s="496">
        <f t="shared" ca="1" si="15"/>
        <v>0.20710000000000001</v>
      </c>
      <c r="AJ55" s="498">
        <f>30+5</f>
        <v>35</v>
      </c>
      <c r="AL55" s="524"/>
      <c r="AM55" s="378">
        <f t="shared" ca="1" si="0"/>
        <v>0</v>
      </c>
      <c r="AN55" s="563">
        <f t="shared" ca="1" si="16"/>
        <v>0</v>
      </c>
    </row>
    <row r="56" spans="1:40" ht="5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6</v>
      </c>
      <c r="G56">
        <f t="shared" ca="1" si="6"/>
        <v>0</v>
      </c>
      <c r="H56">
        <f t="shared" ca="1" si="7"/>
        <v>0</v>
      </c>
      <c r="I56">
        <f t="shared" ca="1" si="8"/>
        <v>0</v>
      </c>
      <c r="J56">
        <f t="shared" ca="1" si="34"/>
        <v>0</v>
      </c>
      <c r="K56">
        <f ca="1">IF(OR($C56="S",$C56=0),0,MATCH(OFFSET($D56,0,$C56)+IF($C56&lt;&gt;1,1,COUNTIF(QCI!$A$13:$A$24,ORÇAMENTO!E56)),OFFSET($D56,1,$C56,ROW($C$120)-ROW($C56)),0))</f>
        <v>0</v>
      </c>
      <c r="L56" s="113" t="str">
        <f t="shared" ca="1" si="10"/>
        <v/>
      </c>
      <c r="M56" s="114" t="s">
        <v>199</v>
      </c>
      <c r="N56" s="115" t="str">
        <f t="shared" ca="1" si="11"/>
        <v>Serviço</v>
      </c>
      <c r="O56" s="116" t="str">
        <f t="shared" ca="1" si="12"/>
        <v>-</v>
      </c>
      <c r="P56" s="117" t="s">
        <v>247</v>
      </c>
      <c r="Q56" s="118" t="s">
        <v>474</v>
      </c>
      <c r="R56" s="119" t="str">
        <f ca="1">IF($C56="S",REFERENCIA.Descricao,"(digite a descrição aqui)")</f>
        <v>(abra o arquivo 'Referência 10-2024.xlsm)</v>
      </c>
      <c r="S56" s="120" t="str">
        <f ca="1">REFERENCIA.Unidade</f>
        <v>-</v>
      </c>
      <c r="T56" s="121">
        <f ca="1">OFFSET(CÁLCULO!H$15,ROW($T56)-ROW(T$15),0)</f>
        <v>35</v>
      </c>
      <c r="U56" s="122">
        <f t="shared" ca="1" si="33"/>
        <v>0</v>
      </c>
      <c r="V56" s="123" t="s">
        <v>156</v>
      </c>
      <c r="W56" s="121">
        <f ca="1">IF($C56="S",ROUND(IF(TIPOORCAMENTO="Proposto",ORÇAMENTO.CustoUnitario*(1+$AH56),ORÇAMENTO.PrecoUnitarioLicitado),15-13*$AF$10),0)</f>
        <v>0</v>
      </c>
      <c r="X56" s="124">
        <f ca="1">IF($C56="S",IF(Import.TipoArredondamento&lt;&gt;"TransfereGOV",VTOTAL1,SUM(OFFSET(CÁLCULO!$AA$15,ROW($X56)-ROW($X$15),1):OFFSET(CÁLCULO!$AL$15,ROW($X56)-ROW($X$15),-1))),IF($C56=0,0,ROUND(SomaAgrup,15-13*$AF$11)))</f>
        <v>0</v>
      </c>
      <c r="Y56" s="125" t="s">
        <v>245</v>
      </c>
      <c r="Z56" t="str">
        <f t="shared" ca="1" si="13"/>
        <v/>
      </c>
      <c r="AA56" s="126">
        <f ca="1">IF($C56="S",IF($Z56="CP",$X56,IF($Z56="RA",(($X56)*QCI!$AA$3),0)),SomaAgrup)</f>
        <v>0</v>
      </c>
      <c r="AB56" s="127">
        <f t="shared" ca="1" si="14"/>
        <v>0</v>
      </c>
      <c r="AC56" s="128" t="str">
        <f ca="1">IF($N56="","",IF(ORÇAMENTO.Descricao="","DESCRIÇÃO",IF(AND($C56="S",ORÇAMENTO.Unidade=""),"UNIDADE",IF($X56&lt;0,"VALOR NEGATIVO",IF(OR(AND(TIPOORCAMENTO="Proposto",$AG56&lt;&gt;"",$AG56&gt;0,ORÇAMENTO.CustoUnitario&gt;$AG56),AND(TIPOORCAMENTO="LICITADO",ORÇAMENTO.PrecoUnitarioLicitado&gt;$AN56)),"ACIMA REF.","")))))</f>
        <v/>
      </c>
      <c r="AD56" t="str">
        <f ca="1">IF(C56&lt;=CRONO.NivelExibicao,MAX($AD$15:OFFSET(AD56,-1,0))+IF($C56&lt;&gt;1,1,MAX(1,COUNTIF(QCI!$A$13:$A$24,OFFSET($E56,-1,0)))),"")</f>
        <v/>
      </c>
      <c r="AE56" s="7" t="str">
        <f ca="1">IF(AND($C56="S",ORÇAMENTO.CodBarra&lt;&gt;""),IF(ORÇAMENTO.Fonte="",ORÇAMENTO.CodBarra,CONCATENATE(ORÇAMENTO.Fonte," ",ORÇAMENTO.CodBarra)))</f>
        <v>SINAPI 94210</v>
      </c>
      <c r="AF56" s="13" t="str">
        <f ca="1">IF(ISERROR(INDIRECT(ORÇAMENTO.BancoRef)),"(abra o arquivo 'Referência "&amp;Excel_BuiltIn_Database&amp;".xlsm)",IF(OR($C56&lt;&gt;"S",ORÇAMENTO.CodBarra=""),"(Sem Código)",IF(ISERROR(MATCH($AE56,INDIRECT(ORÇAMENTO.BancoRef),0)),"(Código não identificado nas referências)",MATCH($AE56,INDIRECT(ORÇAMENTO.BancoRef),0))))</f>
        <v>(abra o arquivo 'Referência 10-2024.xlsm)</v>
      </c>
      <c r="AG56" s="495">
        <f ca="1">ROUND(IF(DESONERACAO="sim",REFERENCIA.Desonerado,REFERENCIA.NaoDesonerado),2)</f>
        <v>0</v>
      </c>
      <c r="AH56" s="496">
        <f t="shared" ca="1" si="15"/>
        <v>0.20710000000000001</v>
      </c>
      <c r="AJ56" s="498">
        <f>30+5</f>
        <v>35</v>
      </c>
      <c r="AL56" s="524"/>
      <c r="AM56" s="378">
        <f t="shared" ca="1" si="0"/>
        <v>0</v>
      </c>
      <c r="AN56" s="563">
        <f t="shared" ca="1" si="16"/>
        <v>0</v>
      </c>
    </row>
    <row r="57" spans="1:40" x14ac:dyDescent="0.2">
      <c r="A57">
        <f t="shared" si="1"/>
        <v>2</v>
      </c>
      <c r="B57">
        <f t="shared" ca="1" si="2"/>
        <v>2</v>
      </c>
      <c r="C57">
        <f t="shared" ca="1" si="3"/>
        <v>2</v>
      </c>
      <c r="D57">
        <f t="shared" ca="1" si="4"/>
        <v>4</v>
      </c>
      <c r="E57">
        <f ca="1">IF($C57=1,OFFSET(E57,-1,0)+MAX(1,COUNTIF(QCI!$A$13:$A$24,OFFSET(ORÇAMENTO!E57,-1,0))),OFFSET(E57,-1,0))</f>
        <v>1</v>
      </c>
      <c r="F57">
        <f t="shared" ca="1" si="5"/>
        <v>7</v>
      </c>
      <c r="G57">
        <f t="shared" ca="1" si="6"/>
        <v>0</v>
      </c>
      <c r="H57">
        <f t="shared" ca="1" si="7"/>
        <v>0</v>
      </c>
      <c r="I57">
        <f t="shared" ca="1" si="8"/>
        <v>0</v>
      </c>
      <c r="J57">
        <f t="shared" ca="1" si="34"/>
        <v>63</v>
      </c>
      <c r="K57">
        <f ca="1">IF(OR($C57="S",$C57=0),0,MATCH(OFFSET($D57,0,$C57)+IF($C57&lt;&gt;1,1,COUNTIF(QCI!$A$13:$A$24,ORÇAMENTO!E57)),OFFSET($D57,1,$C57,ROW($C$120)-ROW($C57)),0))</f>
        <v>4</v>
      </c>
      <c r="L57" s="113" t="str">
        <f t="shared" ca="1" si="10"/>
        <v>F</v>
      </c>
      <c r="M57" s="114" t="s">
        <v>196</v>
      </c>
      <c r="N57" s="115" t="str">
        <f t="shared" ca="1" si="11"/>
        <v>Nível 2</v>
      </c>
      <c r="O57" s="116" t="str">
        <f t="shared" ca="1" si="12"/>
        <v>1.7.</v>
      </c>
      <c r="P57" s="117" t="s">
        <v>247</v>
      </c>
      <c r="Q57" s="118"/>
      <c r="R57" s="119" t="s">
        <v>494</v>
      </c>
      <c r="S57" s="120" t="str">
        <f ca="1">REFERENCIA.Unidade</f>
        <v>-</v>
      </c>
      <c r="T57" s="121">
        <f ca="1">OFFSET(CÁLCULO!H$15,ROW($T57)-ROW(T$15),0)</f>
        <v>0</v>
      </c>
      <c r="U57" s="122"/>
      <c r="V57" s="123" t="s">
        <v>156</v>
      </c>
      <c r="W57" s="121">
        <f ca="1">IF($C57="S",ROUND(IF(TIPOORCAMENTO="Proposto",ORÇAMENTO.CustoUnitario*(1+$AH57),ORÇAMENTO.PrecoUnitarioLicitado),15-13*$AF$10),0)</f>
        <v>0</v>
      </c>
      <c r="X57" s="124">
        <f ca="1">IF($C57="S",IF(Import.TipoArredondamento&lt;&gt;"TransfereGOV",VTOTAL1,SUM(OFFSET(CÁLCULO!$AA$15,ROW($X57)-ROW($X$15),1):OFFSET(CÁLCULO!$AL$15,ROW($X57)-ROW($X$15),-1))),IF($C57=0,0,ROUND(SomaAgrup,15-13*$AF$11)))</f>
        <v>0</v>
      </c>
      <c r="Y57" s="125" t="s">
        <v>245</v>
      </c>
      <c r="Z57" t="str">
        <f t="shared" ca="1" si="13"/>
        <v/>
      </c>
      <c r="AA57" s="126">
        <f ca="1">IF($C57="S",IF($Z57="CP",$X57,IF($Z57="RA",(($X57)*QCI!$AA$3),0)),SomaAgrup)</f>
        <v>0</v>
      </c>
      <c r="AB57" s="127">
        <f t="shared" ca="1" si="14"/>
        <v>0</v>
      </c>
      <c r="AC57" s="128" t="str">
        <f ca="1">IF($N57="","",IF(ORÇAMENTO.Descricao="","DESCRIÇÃO",IF(AND($C57="S",ORÇAMENTO.Unidade=""),"UNIDADE",IF($X57&lt;0,"VALOR NEGATIVO",IF(OR(AND(TIPOORCAMENTO="Proposto",$AG57&lt;&gt;"",$AG57&gt;0,ORÇAMENTO.CustoUnitario&gt;$AG57),AND(TIPOORCAMENTO="LICITADO",ORÇAMENTO.PrecoUnitarioLicitado&gt;$AN57)),"ACIMA REF.","")))))</f>
        <v/>
      </c>
      <c r="AD57">
        <f ca="1">IF(C57&lt;=CRONO.NivelExibicao,MAX($AD$15:OFFSET(AD57,-1,0))+IF($C57&lt;&gt;1,1,MAX(1,COUNTIF(QCI!$A$13:$A$24,OFFSET($E57,-1,0)))),"")</f>
        <v>8</v>
      </c>
      <c r="AE57" s="7" t="b">
        <f ca="1">IF(AND($C57="S",ORÇAMENTO.CodBarra&lt;&gt;""),IF(ORÇAMENTO.Fonte="",ORÇAMENTO.CodBarra,CONCATENATE(ORÇAMENTO.Fonte," ",ORÇAMENTO.CodBarra)))</f>
        <v>0</v>
      </c>
      <c r="AF57" s="13" t="str">
        <f ca="1">IF(ISERROR(INDIRECT(ORÇAMENTO.BancoRef)),"(abra o arquivo 'Referência "&amp;Excel_BuiltIn_Database&amp;".xlsm)",IF(OR($C57&lt;&gt;"S",ORÇAMENTO.CodBarra=""),"(Sem Código)",IF(ISERROR(MATCH($AE57,INDIRECT(ORÇAMENTO.BancoRef),0)),"(Código não identificado nas referências)",MATCH($AE57,INDIRECT(ORÇAMENTO.BancoRef),0))))</f>
        <v>(abra o arquivo 'Referência 10-2024.xlsm)</v>
      </c>
      <c r="AG57" s="495">
        <f ca="1">ROUND(IF(DESONERACAO="sim",REFERENCIA.Desonerado,REFERENCIA.NaoDesonerado),2)</f>
        <v>0</v>
      </c>
      <c r="AH57" s="496">
        <f t="shared" ca="1" si="15"/>
        <v>0.20710000000000001</v>
      </c>
      <c r="AJ57" s="498"/>
      <c r="AL57" s="524"/>
      <c r="AM57" s="378">
        <f t="shared" ca="1" si="0"/>
        <v>0</v>
      </c>
      <c r="AN57" s="563">
        <f t="shared" ca="1" si="16"/>
        <v>0</v>
      </c>
    </row>
    <row r="58" spans="1:40" ht="5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7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34"/>
        <v>0</v>
      </c>
      <c r="K58">
        <f ca="1">IF(OR($C58="S",$C58=0),0,MATCH(OFFSET($D58,0,$C58)+IF($C58&lt;&gt;1,1,COUNTIF(QCI!$A$13:$A$24,ORÇAMENTO!E58)),OFFSET($D58,1,$C58,ROW($C$120)-ROW($C58)),0))</f>
        <v>0</v>
      </c>
      <c r="L58" s="113" t="str">
        <f t="shared" ca="1" si="10"/>
        <v/>
      </c>
      <c r="M58" s="114" t="s">
        <v>199</v>
      </c>
      <c r="N58" s="115" t="str">
        <f t="shared" ca="1" si="11"/>
        <v>Serviço</v>
      </c>
      <c r="O58" s="116" t="str">
        <f t="shared" ca="1" si="12"/>
        <v>-</v>
      </c>
      <c r="P58" s="117" t="s">
        <v>247</v>
      </c>
      <c r="Q58" s="118" t="s">
        <v>492</v>
      </c>
      <c r="R58" s="119" t="str">
        <f ca="1">IF($C58="S",REFERENCIA.Descricao,"(digite a descrição aqui)")</f>
        <v>(abra o arquivo 'Referência 10-2024.xlsm)</v>
      </c>
      <c r="S58" s="120" t="str">
        <f ca="1">REFERENCIA.Unidade</f>
        <v>-</v>
      </c>
      <c r="T58" s="121">
        <f ca="1">OFFSET(CÁLCULO!H$15,ROW($T58)-ROW(T$15),0)</f>
        <v>118.44</v>
      </c>
      <c r="U58" s="122">
        <f t="shared" ca="1" si="33"/>
        <v>0</v>
      </c>
      <c r="V58" s="123" t="s">
        <v>156</v>
      </c>
      <c r="W58" s="121">
        <f ca="1">IF($C58="S",ROUND(IF(TIPOORCAMENTO="Proposto",ORÇAMENTO.CustoUnitario*(1+$AH58),ORÇAMENTO.PrecoUnitarioLicitado),15-13*$AF$10),0)</f>
        <v>0</v>
      </c>
      <c r="X58" s="124">
        <f ca="1">IF($C58="S",IF(Import.TipoArredondamento&lt;&gt;"TransfereGOV",VTOTAL1,SUM(OFFSET(CÁLCULO!$AA$15,ROW($X58)-ROW($X$15),1):OFFSET(CÁLCULO!$AL$15,ROW($X58)-ROW($X$15),-1))),IF($C58=0,0,ROUND(SomaAgrup,15-13*$AF$11)))</f>
        <v>0</v>
      </c>
      <c r="Y58" s="125" t="s">
        <v>245</v>
      </c>
      <c r="Z58" t="str">
        <f t="shared" ca="1" si="13"/>
        <v/>
      </c>
      <c r="AA58" s="126">
        <f ca="1">IF($C58="S",IF($Z58="CP",$X58,IF($Z58="RA",(($X58)*QCI!$AA$3),0)),SomaAgrup)</f>
        <v>0</v>
      </c>
      <c r="AB58" s="127">
        <f t="shared" ca="1" si="14"/>
        <v>0</v>
      </c>
      <c r="AC58" s="128" t="str">
        <f ca="1">IF($N58="","",IF(ORÇAMENTO.Descricao="","DESCRIÇÃO",IF(AND($C58="S",ORÇAMENTO.Unidade=""),"UNIDADE",IF($X58&lt;0,"VALOR NEGATIVO",IF(OR(AND(TIPOORCAMENTO="Proposto",$AG58&lt;&gt;"",$AG58&gt;0,ORÇAMENTO.CustoUnitario&gt;$AG58),AND(TIPOORCAMENTO="LICITADO",ORÇAMENTO.PrecoUnitarioLicitado&gt;$AN58)),"ACIMA REF.","")))))</f>
        <v/>
      </c>
      <c r="AD58" t="str">
        <f ca="1">IF(C58&lt;=CRONO.NivelExibicao,MAX($AD$15:OFFSET(AD58,-1,0))+IF($C58&lt;&gt;1,1,MAX(1,COUNTIF(QCI!$A$13:$A$24,OFFSET($E58,-1,0)))),"")</f>
        <v/>
      </c>
      <c r="AE58" s="7" t="str">
        <f ca="1">IF(AND($C58="S",ORÇAMENTO.CodBarra&lt;&gt;""),IF(ORÇAMENTO.Fonte="",ORÇAMENTO.CodBarra,CONCATENATE(ORÇAMENTO.Fonte," ",ORÇAMENTO.CodBarra)))</f>
        <v>SINAPI 87893</v>
      </c>
      <c r="AF58" s="13" t="str">
        <f ca="1">IF(ISERROR(INDIRECT(ORÇAMENTO.BancoRef)),"(abra o arquivo 'Referência "&amp;Excel_BuiltIn_Database&amp;".xlsm)",IF(OR($C58&lt;&gt;"S",ORÇAMENTO.CodBarra=""),"(Sem Código)",IF(ISERROR(MATCH($AE58,INDIRECT(ORÇAMENTO.BancoRef),0)),"(Código não identificado nas referências)",MATCH($AE58,INDIRECT(ORÇAMENTO.BancoRef),0))))</f>
        <v>(abra o arquivo 'Referência 10-2024.xlsm)</v>
      </c>
      <c r="AG58" s="495">
        <f ca="1">ROUND(IF(DESONERACAO="sim",REFERENCIA.Desonerado,REFERENCIA.NaoDesonerado),2)</f>
        <v>0</v>
      </c>
      <c r="AH58" s="496">
        <f t="shared" ca="1" si="15"/>
        <v>0.20710000000000001</v>
      </c>
      <c r="AJ58" s="498">
        <v>118.44</v>
      </c>
      <c r="AL58" s="524"/>
      <c r="AM58" s="378">
        <f t="shared" ca="1" si="0"/>
        <v>0</v>
      </c>
      <c r="AN58" s="563">
        <f t="shared" ca="1" si="16"/>
        <v>0</v>
      </c>
    </row>
    <row r="59" spans="1:40" ht="5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7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t="shared" ca="1" si="34"/>
        <v>0</v>
      </c>
      <c r="K59">
        <f ca="1">IF(OR($C59="S",$C59=0),0,MATCH(OFFSET($D59,0,$C59)+IF($C59&lt;&gt;1,1,COUNTIF(QCI!$A$13:$A$24,ORÇAMENTO!E59)),OFFSET($D59,1,$C59,ROW($C$120)-ROW($C59)),0))</f>
        <v>0</v>
      </c>
      <c r="L59" s="113" t="str">
        <f t="shared" ca="1" si="10"/>
        <v/>
      </c>
      <c r="M59" s="114" t="s">
        <v>199</v>
      </c>
      <c r="N59" s="115" t="str">
        <f t="shared" ca="1" si="11"/>
        <v>Serviço</v>
      </c>
      <c r="O59" s="116" t="str">
        <f t="shared" ca="1" si="12"/>
        <v>-</v>
      </c>
      <c r="P59" s="117" t="s">
        <v>247</v>
      </c>
      <c r="Q59" s="118" t="s">
        <v>493</v>
      </c>
      <c r="R59" s="119" t="str">
        <f ca="1">IF($C59="S",REFERENCIA.Descricao,"(digite a descrição aqui)")</f>
        <v>(abra o arquivo 'Referência 10-2024.xlsm)</v>
      </c>
      <c r="S59" s="120" t="str">
        <f ca="1">REFERENCIA.Unidade</f>
        <v>-</v>
      </c>
      <c r="T59" s="121">
        <f ca="1">OFFSET(CÁLCULO!H$15,ROW($T59)-ROW(T$15),0)</f>
        <v>118.44</v>
      </c>
      <c r="U59" s="122">
        <f t="shared" ca="1" si="33"/>
        <v>0</v>
      </c>
      <c r="V59" s="123" t="s">
        <v>156</v>
      </c>
      <c r="W59" s="121">
        <f ca="1">IF($C59="S",ROUND(IF(TIPOORCAMENTO="Proposto",ORÇAMENTO.CustoUnitario*(1+$AH59),ORÇAMENTO.PrecoUnitarioLicitado),15-13*$AF$10),0)</f>
        <v>0</v>
      </c>
      <c r="X59" s="124">
        <f ca="1">IF($C59="S",IF(Import.TipoArredondamento&lt;&gt;"TransfereGOV",VTOTAL1,SUM(OFFSET(CÁLCULO!$AA$15,ROW($X59)-ROW($X$15),1):OFFSET(CÁLCULO!$AL$15,ROW($X59)-ROW($X$15),-1))),IF($C59=0,0,ROUND(SomaAgrup,15-13*$AF$11)))</f>
        <v>0</v>
      </c>
      <c r="Y59" s="125" t="s">
        <v>245</v>
      </c>
      <c r="Z59" t="str">
        <f t="shared" ca="1" si="13"/>
        <v/>
      </c>
      <c r="AA59" s="126">
        <f ca="1">IF($C59="S",IF($Z59="CP",$X59,IF($Z59="RA",(($X59)*QCI!$AA$3),0)),SomaAgrup)</f>
        <v>0</v>
      </c>
      <c r="AB59" s="127">
        <f t="shared" ca="1" si="14"/>
        <v>0</v>
      </c>
      <c r="AC59" s="128" t="str">
        <f ca="1">IF($N59="","",IF(ORÇAMENTO.Descricao="","DESCRIÇÃO",IF(AND($C59="S",ORÇAMENTO.Unidade=""),"UNIDADE",IF($X59&lt;0,"VALOR NEGATIVO",IF(OR(AND(TIPOORCAMENTO="Proposto",$AG59&lt;&gt;"",$AG59&gt;0,ORÇAMENTO.CustoUnitario&gt;$AG59),AND(TIPOORCAMENTO="LICITADO",ORÇAMENTO.PrecoUnitarioLicitado&gt;$AN59)),"ACIMA REF.","")))))</f>
        <v/>
      </c>
      <c r="AD59" t="str">
        <f ca="1">IF(C59&lt;=CRONO.NivelExibicao,MAX($AD$15:OFFSET(AD59,-1,0))+IF($C59&lt;&gt;1,1,MAX(1,COUNTIF(QCI!$A$13:$A$24,OFFSET($E59,-1,0)))),"")</f>
        <v/>
      </c>
      <c r="AE59" s="7" t="str">
        <f ca="1">IF(AND($C59="S",ORÇAMENTO.CodBarra&lt;&gt;""),IF(ORÇAMENTO.Fonte="",ORÇAMENTO.CodBarra,CONCATENATE(ORÇAMENTO.Fonte," ",ORÇAMENTO.CodBarra)))</f>
        <v>SINAPI 87557</v>
      </c>
      <c r="AF59" s="13" t="str">
        <f ca="1">IF(ISERROR(INDIRECT(ORÇAMENTO.BancoRef)),"(abra o arquivo 'Referência "&amp;Excel_BuiltIn_Database&amp;".xlsm)",IF(OR($C59&lt;&gt;"S",ORÇAMENTO.CodBarra=""),"(Sem Código)",IF(ISERROR(MATCH($AE59,INDIRECT(ORÇAMENTO.BancoRef),0)),"(Código não identificado nas referências)",MATCH($AE59,INDIRECT(ORÇAMENTO.BancoRef),0))))</f>
        <v>(abra o arquivo 'Referência 10-2024.xlsm)</v>
      </c>
      <c r="AG59" s="495">
        <f ca="1">ROUND(IF(DESONERACAO="sim",REFERENCIA.Desonerado,REFERENCIA.NaoDesonerado),2)</f>
        <v>0</v>
      </c>
      <c r="AH59" s="496">
        <f t="shared" ca="1" si="15"/>
        <v>0.20710000000000001</v>
      </c>
      <c r="AJ59" s="498">
        <v>118.44</v>
      </c>
      <c r="AL59" s="524"/>
      <c r="AM59" s="378">
        <f t="shared" ca="1" si="0"/>
        <v>0</v>
      </c>
      <c r="AN59" s="563">
        <f t="shared" ca="1" si="16"/>
        <v>0</v>
      </c>
    </row>
    <row r="60" spans="1:40" ht="25.5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7</v>
      </c>
      <c r="G60">
        <f t="shared" ca="1" si="6"/>
        <v>0</v>
      </c>
      <c r="H60">
        <f t="shared" ca="1" si="7"/>
        <v>0</v>
      </c>
      <c r="I60">
        <f t="shared" ca="1" si="8"/>
        <v>0</v>
      </c>
      <c r="J60">
        <f t="shared" ca="1" si="34"/>
        <v>0</v>
      </c>
      <c r="K60">
        <f ca="1">IF(OR($C60="S",$C60=0),0,MATCH(OFFSET($D60,0,$C60)+IF($C60&lt;&gt;1,1,COUNTIF(QCI!$A$13:$A$24,ORÇAMENTO!E60)),OFFSET($D60,1,$C60,ROW($C$120)-ROW($C60)),0))</f>
        <v>0</v>
      </c>
      <c r="L60" s="113" t="str">
        <f t="shared" ca="1" si="10"/>
        <v/>
      </c>
      <c r="M60" s="114" t="s">
        <v>199</v>
      </c>
      <c r="N60" s="115" t="str">
        <f t="shared" ca="1" si="11"/>
        <v>Serviço</v>
      </c>
      <c r="O60" s="116" t="str">
        <f t="shared" ca="1" si="12"/>
        <v>-</v>
      </c>
      <c r="P60" s="117" t="s">
        <v>247</v>
      </c>
      <c r="Q60" s="118" t="s">
        <v>475</v>
      </c>
      <c r="R60" s="119" t="str">
        <f ca="1">IF($C60="S",REFERENCIA.Descricao,"(digite a descrição aqui)")</f>
        <v>(abra o arquivo 'Referência 10-2024.xlsm)</v>
      </c>
      <c r="S60" s="120" t="str">
        <f ca="1">REFERENCIA.Unidade</f>
        <v>-</v>
      </c>
      <c r="T60" s="121">
        <f ca="1">OFFSET(CÁLCULO!H$15,ROW($T60)-ROW(T$15),0)</f>
        <v>118.44</v>
      </c>
      <c r="U60" s="122">
        <f t="shared" ca="1" si="33"/>
        <v>0</v>
      </c>
      <c r="V60" s="123" t="s">
        <v>156</v>
      </c>
      <c r="W60" s="121">
        <f ca="1">IF($C60="S",ROUND(IF(TIPOORCAMENTO="Proposto",ORÇAMENTO.CustoUnitario*(1+$AH60),ORÇAMENTO.PrecoUnitarioLicitado),15-13*$AF$10),0)</f>
        <v>0</v>
      </c>
      <c r="X60" s="124">
        <f ca="1">IF($C60="S",IF(Import.TipoArredondamento&lt;&gt;"TransfereGOV",VTOTAL1,SUM(OFFSET(CÁLCULO!$AA$15,ROW($X60)-ROW($X$15),1):OFFSET(CÁLCULO!$AL$15,ROW($X60)-ROW($X$15),-1))),IF($C60=0,0,ROUND(SomaAgrup,15-13*$AF$11)))</f>
        <v>0</v>
      </c>
      <c r="Y60" s="125" t="s">
        <v>245</v>
      </c>
      <c r="Z60" t="str">
        <f t="shared" ca="1" si="13"/>
        <v/>
      </c>
      <c r="AA60" s="126">
        <f ca="1">IF($C60="S",IF($Z60="CP",$X60,IF($Z60="RA",(($X60)*QCI!$AA$3),0)),SomaAgrup)</f>
        <v>0</v>
      </c>
      <c r="AB60" s="127">
        <f t="shared" ca="1" si="14"/>
        <v>0</v>
      </c>
      <c r="AC60" s="128" t="str">
        <f ca="1">IF($N60="","",IF(ORÇAMENTO.Descricao="","DESCRIÇÃO",IF(AND($C60="S",ORÇAMENTO.Unidade=""),"UNIDADE",IF($X60&lt;0,"VALOR NEGATIVO",IF(OR(AND(TIPOORCAMENTO="Proposto",$AG60&lt;&gt;"",$AG60&gt;0,ORÇAMENTO.CustoUnitario&gt;$AG60),AND(TIPOORCAMENTO="LICITADO",ORÇAMENTO.PrecoUnitarioLicitado&gt;$AN60)),"ACIMA REF.","")))))</f>
        <v/>
      </c>
      <c r="AD60" t="str">
        <f ca="1">IF(C60&lt;=CRONO.NivelExibicao,MAX($AD$15:OFFSET(AD60,-1,0))+IF($C60&lt;&gt;1,1,MAX(1,COUNTIF(QCI!$A$13:$A$24,OFFSET($E60,-1,0)))),"")</f>
        <v/>
      </c>
      <c r="AE60" s="7" t="str">
        <f ca="1">IF(AND($C60="S",ORÇAMENTO.CodBarra&lt;&gt;""),IF(ORÇAMENTO.Fonte="",ORÇAMENTO.CodBarra,CONCATENATE(ORÇAMENTO.Fonte," ",ORÇAMENTO.CodBarra)))</f>
        <v>SINAPI 88489</v>
      </c>
      <c r="AF60" s="13" t="str">
        <f ca="1">IF(ISERROR(INDIRECT(ORÇAMENTO.BancoRef)),"(abra o arquivo 'Referência "&amp;Excel_BuiltIn_Database&amp;".xlsm)",IF(OR($C60&lt;&gt;"S",ORÇAMENTO.CodBarra=""),"(Sem Código)",IF(ISERROR(MATCH($AE60,INDIRECT(ORÇAMENTO.BancoRef),0)),"(Código não identificado nas referências)",MATCH($AE60,INDIRECT(ORÇAMENTO.BancoRef),0))))</f>
        <v>(abra o arquivo 'Referência 10-2024.xlsm)</v>
      </c>
      <c r="AG60" s="495">
        <f ca="1">ROUND(IF(DESONERACAO="sim",REFERENCIA.Desonerado,REFERENCIA.NaoDesonerado),2)</f>
        <v>0</v>
      </c>
      <c r="AH60" s="496">
        <f t="shared" ca="1" si="15"/>
        <v>0.20710000000000001</v>
      </c>
      <c r="AJ60" s="498">
        <v>118.44</v>
      </c>
      <c r="AL60" s="524"/>
      <c r="AM60" s="378">
        <f t="shared" ca="1" si="0"/>
        <v>0</v>
      </c>
      <c r="AN60" s="563">
        <f t="shared" ca="1" si="16"/>
        <v>0</v>
      </c>
    </row>
    <row r="61" spans="1:40" x14ac:dyDescent="0.2">
      <c r="A61">
        <f t="shared" si="1"/>
        <v>2</v>
      </c>
      <c r="B61">
        <f t="shared" ca="1" si="2"/>
        <v>2</v>
      </c>
      <c r="C61">
        <f t="shared" ca="1" si="3"/>
        <v>2</v>
      </c>
      <c r="D61">
        <f t="shared" ca="1" si="4"/>
        <v>5</v>
      </c>
      <c r="E61">
        <f ca="1">IF($C61=1,OFFSET(E61,-1,0)+MAX(1,COUNTIF(QCI!$A$13:$A$24,OFFSET(ORÇAMENTO!E61,-1,0))),OFFSET(E61,-1,0))</f>
        <v>1</v>
      </c>
      <c r="F61">
        <f t="shared" ca="1" si="5"/>
        <v>8</v>
      </c>
      <c r="G61">
        <f t="shared" ca="1" si="6"/>
        <v>0</v>
      </c>
      <c r="H61">
        <f t="shared" ca="1" si="7"/>
        <v>0</v>
      </c>
      <c r="I61">
        <f t="shared" ca="1" si="8"/>
        <v>0</v>
      </c>
      <c r="J61">
        <f t="shared" ca="1" si="34"/>
        <v>59</v>
      </c>
      <c r="K61">
        <f ca="1">IF(OR($C61="S",$C61=0),0,MATCH(OFFSET($D61,0,$C61)+IF($C61&lt;&gt;1,1,COUNTIF(QCI!$A$13:$A$24,ORÇAMENTO!E61)),OFFSET($D61,1,$C61,ROW($C$120)-ROW($C61)),0))</f>
        <v>5</v>
      </c>
      <c r="L61" s="113" t="str">
        <f t="shared" ca="1" si="10"/>
        <v>F</v>
      </c>
      <c r="M61" s="114" t="s">
        <v>196</v>
      </c>
      <c r="N61" s="115" t="str">
        <f t="shared" ca="1" si="11"/>
        <v>Nível 2</v>
      </c>
      <c r="O61" s="116" t="str">
        <f t="shared" ca="1" si="12"/>
        <v>1.8.</v>
      </c>
      <c r="P61" s="117" t="s">
        <v>247</v>
      </c>
      <c r="Q61" s="118"/>
      <c r="R61" s="119" t="s">
        <v>477</v>
      </c>
      <c r="S61" s="120" t="str">
        <f ca="1">REFERENCIA.Unidade</f>
        <v>-</v>
      </c>
      <c r="T61" s="121">
        <f ca="1">OFFSET(CÁLCULO!H$15,ROW($T61)-ROW(T$15),0)</f>
        <v>0</v>
      </c>
      <c r="U61" s="122"/>
      <c r="V61" s="123" t="s">
        <v>156</v>
      </c>
      <c r="W61" s="121">
        <f ca="1">IF($C61="S",ROUND(IF(TIPOORCAMENTO="Proposto",ORÇAMENTO.CustoUnitario*(1+$AH61),ORÇAMENTO.PrecoUnitarioLicitado),15-13*$AF$10),0)</f>
        <v>0</v>
      </c>
      <c r="X61" s="124">
        <f ca="1">IF($C61="S",IF(Import.TipoArredondamento&lt;&gt;"TransfereGOV",VTOTAL1,SUM(OFFSET(CÁLCULO!$AA$15,ROW($X61)-ROW($X$15),1):OFFSET(CÁLCULO!$AL$15,ROW($X61)-ROW($X$15),-1))),IF($C61=0,0,ROUND(SomaAgrup,15-13*$AF$11)))</f>
        <v>0</v>
      </c>
      <c r="Y61" s="125" t="s">
        <v>245</v>
      </c>
      <c r="Z61" t="str">
        <f t="shared" ca="1" si="13"/>
        <v/>
      </c>
      <c r="AA61" s="126">
        <f ca="1">IF($C61="S",IF($Z61="CP",$X61,IF($Z61="RA",(($X61)*QCI!$AA$3),0)),SomaAgrup)</f>
        <v>0</v>
      </c>
      <c r="AB61" s="127">
        <f t="shared" ca="1" si="14"/>
        <v>0</v>
      </c>
      <c r="AC61" s="128" t="str">
        <f ca="1">IF($N61="","",IF(ORÇAMENTO.Descricao="","DESCRIÇÃO",IF(AND($C61="S",ORÇAMENTO.Unidade=""),"UNIDADE",IF($X61&lt;0,"VALOR NEGATIVO",IF(OR(AND(TIPOORCAMENTO="Proposto",$AG61&lt;&gt;"",$AG61&gt;0,ORÇAMENTO.CustoUnitario&gt;$AG61),AND(TIPOORCAMENTO="LICITADO",ORÇAMENTO.PrecoUnitarioLicitado&gt;$AN61)),"ACIMA REF.","")))))</f>
        <v/>
      </c>
      <c r="AD61">
        <f ca="1">IF(C61&lt;=CRONO.NivelExibicao,MAX($AD$15:OFFSET(AD61,-1,0))+IF($C61&lt;&gt;1,1,MAX(1,COUNTIF(QCI!$A$13:$A$24,OFFSET($E61,-1,0)))),"")</f>
        <v>9</v>
      </c>
      <c r="AE61" s="7" t="b">
        <f ca="1">IF(AND($C61="S",ORÇAMENTO.CodBarra&lt;&gt;""),IF(ORÇAMENTO.Fonte="",ORÇAMENTO.CodBarra,CONCATENATE(ORÇAMENTO.Fonte," ",ORÇAMENTO.CodBarra)))</f>
        <v>0</v>
      </c>
      <c r="AF61" s="13" t="str">
        <f ca="1">IF(ISERROR(INDIRECT(ORÇAMENTO.BancoRef)),"(abra o arquivo 'Referência "&amp;Excel_BuiltIn_Database&amp;".xlsm)",IF(OR($C61&lt;&gt;"S",ORÇAMENTO.CodBarra=""),"(Sem Código)",IF(ISERROR(MATCH($AE61,INDIRECT(ORÇAMENTO.BancoRef),0)),"(Código não identificado nas referências)",MATCH($AE61,INDIRECT(ORÇAMENTO.BancoRef),0))))</f>
        <v>(abra o arquivo 'Referência 10-2024.xlsm)</v>
      </c>
      <c r="AG61" s="495">
        <f ca="1">ROUND(IF(DESONERACAO="sim",REFERENCIA.Desonerado,REFERENCIA.NaoDesonerado),2)</f>
        <v>0</v>
      </c>
      <c r="AH61" s="496">
        <f t="shared" ca="1" si="15"/>
        <v>0.20710000000000001</v>
      </c>
      <c r="AJ61" s="498"/>
      <c r="AL61" s="524"/>
      <c r="AM61" s="378">
        <f t="shared" ca="1" si="0"/>
        <v>0</v>
      </c>
      <c r="AN61" s="563">
        <f t="shared" ca="1" si="16"/>
        <v>0</v>
      </c>
    </row>
    <row r="62" spans="1:40" ht="38.2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8</v>
      </c>
      <c r="G62">
        <f t="shared" ca="1" si="6"/>
        <v>0</v>
      </c>
      <c r="H62">
        <f t="shared" ca="1" si="7"/>
        <v>0</v>
      </c>
      <c r="I62">
        <f t="shared" ca="1" si="8"/>
        <v>0</v>
      </c>
      <c r="J62">
        <f t="shared" ca="1" si="34"/>
        <v>0</v>
      </c>
      <c r="K62">
        <f ca="1">IF(OR($C62="S",$C62=0),0,MATCH(OFFSET($D62,0,$C62)+IF($C62&lt;&gt;1,1,COUNTIF(QCI!$A$13:$A$24,ORÇAMENTO!E62)),OFFSET($D62,1,$C62,ROW($C$120)-ROW($C62)),0))</f>
        <v>0</v>
      </c>
      <c r="L62" s="113" t="str">
        <f t="shared" ca="1" si="10"/>
        <v/>
      </c>
      <c r="M62" s="114" t="s">
        <v>199</v>
      </c>
      <c r="N62" s="115" t="str">
        <f t="shared" ca="1" si="11"/>
        <v>Serviço</v>
      </c>
      <c r="O62" s="116" t="str">
        <f t="shared" ca="1" si="12"/>
        <v>-</v>
      </c>
      <c r="P62" s="117" t="s">
        <v>247</v>
      </c>
      <c r="Q62" s="118" t="s">
        <v>495</v>
      </c>
      <c r="R62" s="119" t="str">
        <f ca="1">IF($C62="S",REFERENCIA.Descricao,"(digite a descrição aqui)")</f>
        <v>(abra o arquivo 'Referência 10-2024.xlsm)</v>
      </c>
      <c r="S62" s="120" t="str">
        <f ca="1">REFERENCIA.Unidade</f>
        <v>-</v>
      </c>
      <c r="T62" s="121">
        <f ca="1">OFFSET(CÁLCULO!H$15,ROW($T62)-ROW(T$15),0)</f>
        <v>17.100000000000001</v>
      </c>
      <c r="U62" s="122">
        <f t="shared" ca="1" si="33"/>
        <v>0</v>
      </c>
      <c r="V62" s="123" t="s">
        <v>156</v>
      </c>
      <c r="W62" s="121">
        <f ca="1">IF($C62="S",ROUND(IF(TIPOORCAMENTO="Proposto",ORÇAMENTO.CustoUnitario*(1+$AH62),ORÇAMENTO.PrecoUnitarioLicitado),15-13*$AF$10),0)</f>
        <v>0</v>
      </c>
      <c r="X62" s="124">
        <f ca="1">IF($C62="S",IF(Import.TipoArredondamento&lt;&gt;"TransfereGOV",VTOTAL1,SUM(OFFSET(CÁLCULO!$AA$15,ROW($X62)-ROW($X$15),1):OFFSET(CÁLCULO!$AL$15,ROW($X62)-ROW($X$15),-1))),IF($C62=0,0,ROUND(SomaAgrup,15-13*$AF$11)))</f>
        <v>0</v>
      </c>
      <c r="Y62" s="125" t="s">
        <v>245</v>
      </c>
      <c r="Z62" t="str">
        <f t="shared" ca="1" si="13"/>
        <v/>
      </c>
      <c r="AA62" s="126">
        <f ca="1">IF($C62="S",IF($Z62="CP",$X62,IF($Z62="RA",(($X62)*QCI!$AA$3),0)),SomaAgrup)</f>
        <v>0</v>
      </c>
      <c r="AB62" s="127">
        <f t="shared" ca="1" si="14"/>
        <v>0</v>
      </c>
      <c r="AC62" s="128" t="str">
        <f ca="1">IF($N62="","",IF(ORÇAMENTO.Descricao="","DESCRIÇÃO",IF(AND($C62="S",ORÇAMENTO.Unidade=""),"UNIDADE",IF($X62&lt;0,"VALOR NEGATIVO",IF(OR(AND(TIPOORCAMENTO="Proposto",$AG62&lt;&gt;"",$AG62&gt;0,ORÇAMENTO.CustoUnitario&gt;$AG62),AND(TIPOORCAMENTO="LICITADO",ORÇAMENTO.PrecoUnitarioLicitado&gt;$AN62)),"ACIMA REF.","")))))</f>
        <v/>
      </c>
      <c r="AD62" t="str">
        <f ca="1">IF(C62&lt;=CRONO.NivelExibicao,MAX($AD$15:OFFSET(AD62,-1,0))+IF($C62&lt;&gt;1,1,MAX(1,COUNTIF(QCI!$A$13:$A$24,OFFSET($E62,-1,0)))),"")</f>
        <v/>
      </c>
      <c r="AE62" s="7" t="str">
        <f ca="1">IF(AND($C62="S",ORÇAMENTO.CodBarra&lt;&gt;""),IF(ORÇAMENTO.Fonte="",ORÇAMENTO.CodBarra,CONCATENATE(ORÇAMENTO.Fonte," ",ORÇAMENTO.CodBarra)))</f>
        <v>SINAPI 87265</v>
      </c>
      <c r="AF62" s="13" t="str">
        <f ca="1">IF(ISERROR(INDIRECT(ORÇAMENTO.BancoRef)),"(abra o arquivo 'Referência "&amp;Excel_BuiltIn_Database&amp;".xlsm)",IF(OR($C62&lt;&gt;"S",ORÇAMENTO.CodBarra=""),"(Sem Código)",IF(ISERROR(MATCH($AE62,INDIRECT(ORÇAMENTO.BancoRef),0)),"(Código não identificado nas referências)",MATCH($AE62,INDIRECT(ORÇAMENTO.BancoRef),0))))</f>
        <v>(abra o arquivo 'Referência 10-2024.xlsm)</v>
      </c>
      <c r="AG62" s="495">
        <f ca="1">ROUND(IF(DESONERACAO="sim",REFERENCIA.Desonerado,REFERENCIA.NaoDesonerado),2)</f>
        <v>0</v>
      </c>
      <c r="AH62" s="496">
        <f t="shared" ca="1" si="15"/>
        <v>0.20710000000000001</v>
      </c>
      <c r="AJ62" s="498">
        <v>17.100000000000001</v>
      </c>
      <c r="AL62" s="524"/>
      <c r="AM62" s="378">
        <f t="shared" ca="1" si="0"/>
        <v>0</v>
      </c>
      <c r="AN62" s="563">
        <f t="shared" ca="1" si="16"/>
        <v>0</v>
      </c>
    </row>
    <row r="63" spans="1:40" ht="5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8</v>
      </c>
      <c r="G63">
        <f t="shared" ca="1" si="6"/>
        <v>0</v>
      </c>
      <c r="H63">
        <f t="shared" ca="1" si="7"/>
        <v>0</v>
      </c>
      <c r="I63">
        <f t="shared" ca="1" si="8"/>
        <v>0</v>
      </c>
      <c r="J63">
        <f t="shared" ca="1" si="34"/>
        <v>0</v>
      </c>
      <c r="K63">
        <f ca="1">IF(OR($C63="S",$C63=0),0,MATCH(OFFSET($D63,0,$C63)+IF($C63&lt;&gt;1,1,COUNTIF(QCI!$A$13:$A$24,ORÇAMENTO!E63)),OFFSET($D63,1,$C63,ROW($C$120)-ROW($C63)),0))</f>
        <v>0</v>
      </c>
      <c r="L63" s="113" t="str">
        <f t="shared" ca="1" si="10"/>
        <v/>
      </c>
      <c r="M63" s="114" t="s">
        <v>199</v>
      </c>
      <c r="N63" s="115" t="str">
        <f t="shared" ca="1" si="11"/>
        <v>Serviço</v>
      </c>
      <c r="O63" s="116" t="str">
        <f t="shared" ca="1" si="12"/>
        <v>-</v>
      </c>
      <c r="P63" s="117" t="s">
        <v>247</v>
      </c>
      <c r="Q63" s="118" t="s">
        <v>492</v>
      </c>
      <c r="R63" s="119" t="str">
        <f ca="1">IF($C63="S",REFERENCIA.Descricao,"(digite a descrição aqui)")</f>
        <v>(abra o arquivo 'Referência 10-2024.xlsm)</v>
      </c>
      <c r="S63" s="120" t="str">
        <f ca="1">REFERENCIA.Unidade</f>
        <v>-</v>
      </c>
      <c r="T63" s="121">
        <f ca="1">OFFSET(CÁLCULO!H$15,ROW($T63)-ROW(T$15),0)</f>
        <v>107.04</v>
      </c>
      <c r="U63" s="122">
        <f t="shared" ca="1" si="33"/>
        <v>0</v>
      </c>
      <c r="V63" s="123" t="s">
        <v>156</v>
      </c>
      <c r="W63" s="121">
        <f ca="1">IF($C63="S",ROUND(IF(TIPOORCAMENTO="Proposto",ORÇAMENTO.CustoUnitario*(1+$AH63),ORÇAMENTO.PrecoUnitarioLicitado),15-13*$AF$10),0)</f>
        <v>0</v>
      </c>
      <c r="X63" s="124">
        <f ca="1">IF($C63="S",IF(Import.TipoArredondamento&lt;&gt;"TransfereGOV",VTOTAL1,SUM(OFFSET(CÁLCULO!$AA$15,ROW($X63)-ROW($X$15),1):OFFSET(CÁLCULO!$AL$15,ROW($X63)-ROW($X$15),-1))),IF($C63=0,0,ROUND(SomaAgrup,15-13*$AF$11)))</f>
        <v>0</v>
      </c>
      <c r="Y63" s="125" t="s">
        <v>245</v>
      </c>
      <c r="Z63" t="str">
        <f t="shared" ca="1" si="13"/>
        <v/>
      </c>
      <c r="AA63" s="126">
        <f ca="1">IF($C63="S",IF($Z63="CP",$X63,IF($Z63="RA",(($X63)*QCI!$AA$3),0)),SomaAgrup)</f>
        <v>0</v>
      </c>
      <c r="AB63" s="127">
        <f t="shared" ca="1" si="14"/>
        <v>0</v>
      </c>
      <c r="AC63" s="128" t="str">
        <f ca="1">IF($N63="","",IF(ORÇAMENTO.Descricao="","DESCRIÇÃO",IF(AND($C63="S",ORÇAMENTO.Unidade=""),"UNIDADE",IF($X63&lt;0,"VALOR NEGATIVO",IF(OR(AND(TIPOORCAMENTO="Proposto",$AG63&lt;&gt;"",$AG63&gt;0,ORÇAMENTO.CustoUnitario&gt;$AG63),AND(TIPOORCAMENTO="LICITADO",ORÇAMENTO.PrecoUnitarioLicitado&gt;$AN63)),"ACIMA REF.","")))))</f>
        <v/>
      </c>
      <c r="AD63" t="str">
        <f ca="1">IF(C63&lt;=CRONO.NivelExibicao,MAX($AD$15:OFFSET(AD63,-1,0))+IF($C63&lt;&gt;1,1,MAX(1,COUNTIF(QCI!$A$13:$A$24,OFFSET($E63,-1,0)))),"")</f>
        <v/>
      </c>
      <c r="AE63" s="7" t="str">
        <f ca="1">IF(AND($C63="S",ORÇAMENTO.CodBarra&lt;&gt;""),IF(ORÇAMENTO.Fonte="",ORÇAMENTO.CodBarra,CONCATENATE(ORÇAMENTO.Fonte," ",ORÇAMENTO.CodBarra)))</f>
        <v>SINAPI 87893</v>
      </c>
      <c r="AF63" s="13" t="str">
        <f ca="1">IF(ISERROR(INDIRECT(ORÇAMENTO.BancoRef)),"(abra o arquivo 'Referência "&amp;Excel_BuiltIn_Database&amp;".xlsm)",IF(OR($C63&lt;&gt;"S",ORÇAMENTO.CodBarra=""),"(Sem Código)",IF(ISERROR(MATCH($AE63,INDIRECT(ORÇAMENTO.BancoRef),0)),"(Código não identificado nas referências)",MATCH($AE63,INDIRECT(ORÇAMENTO.BancoRef),0))))</f>
        <v>(abra o arquivo 'Referência 10-2024.xlsm)</v>
      </c>
      <c r="AG63" s="495">
        <f ca="1">ROUND(IF(DESONERACAO="sim",REFERENCIA.Desonerado,REFERENCIA.NaoDesonerado),2)</f>
        <v>0</v>
      </c>
      <c r="AH63" s="496">
        <f t="shared" ca="1" si="15"/>
        <v>0.20710000000000001</v>
      </c>
      <c r="AJ63" s="498">
        <v>107.04</v>
      </c>
      <c r="AL63" s="524"/>
      <c r="AM63" s="378">
        <f t="shared" ca="1" si="0"/>
        <v>0</v>
      </c>
      <c r="AN63" s="563">
        <f t="shared" ca="1" si="16"/>
        <v>0</v>
      </c>
    </row>
    <row r="64" spans="1:40" ht="5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8</v>
      </c>
      <c r="G64">
        <f t="shared" ca="1" si="6"/>
        <v>0</v>
      </c>
      <c r="H64">
        <f t="shared" ca="1" si="7"/>
        <v>0</v>
      </c>
      <c r="I64">
        <f t="shared" ca="1" si="8"/>
        <v>0</v>
      </c>
      <c r="J64">
        <f t="shared" ca="1" si="34"/>
        <v>0</v>
      </c>
      <c r="K64">
        <f ca="1">IF(OR($C64="S",$C64=0),0,MATCH(OFFSET($D64,0,$C64)+IF($C64&lt;&gt;1,1,COUNTIF(QCI!$A$13:$A$24,ORÇAMENTO!E64)),OFFSET($D64,1,$C64,ROW($C$120)-ROW($C64)),0))</f>
        <v>0</v>
      </c>
      <c r="L64" s="113" t="str">
        <f t="shared" ca="1" si="10"/>
        <v/>
      </c>
      <c r="M64" s="114" t="s">
        <v>199</v>
      </c>
      <c r="N64" s="115" t="str">
        <f t="shared" ca="1" si="11"/>
        <v>Serviço</v>
      </c>
      <c r="O64" s="116" t="str">
        <f t="shared" ca="1" si="12"/>
        <v>-</v>
      </c>
      <c r="P64" s="117" t="s">
        <v>247</v>
      </c>
      <c r="Q64" s="118" t="s">
        <v>493</v>
      </c>
      <c r="R64" s="119" t="str">
        <f ca="1">IF($C64="S",REFERENCIA.Descricao,"(digite a descrição aqui)")</f>
        <v>(abra o arquivo 'Referência 10-2024.xlsm)</v>
      </c>
      <c r="S64" s="120" t="str">
        <f ca="1">REFERENCIA.Unidade</f>
        <v>-</v>
      </c>
      <c r="T64" s="121">
        <f ca="1">OFFSET(CÁLCULO!H$15,ROW($T64)-ROW(T$15),0)</f>
        <v>107.04</v>
      </c>
      <c r="U64" s="122">
        <f t="shared" ca="1" si="33"/>
        <v>0</v>
      </c>
      <c r="V64" s="123" t="s">
        <v>156</v>
      </c>
      <c r="W64" s="121">
        <f ca="1">IF($C64="S",ROUND(IF(TIPOORCAMENTO="Proposto",ORÇAMENTO.CustoUnitario*(1+$AH64),ORÇAMENTO.PrecoUnitarioLicitado),15-13*$AF$10),0)</f>
        <v>0</v>
      </c>
      <c r="X64" s="124">
        <f ca="1">IF($C64="S",IF(Import.TipoArredondamento&lt;&gt;"TransfereGOV",VTOTAL1,SUM(OFFSET(CÁLCULO!$AA$15,ROW($X64)-ROW($X$15),1):OFFSET(CÁLCULO!$AL$15,ROW($X64)-ROW($X$15),-1))),IF($C64=0,0,ROUND(SomaAgrup,15-13*$AF$11)))</f>
        <v>0</v>
      </c>
      <c r="Y64" s="125" t="s">
        <v>245</v>
      </c>
      <c r="Z64" t="str">
        <f t="shared" ca="1" si="13"/>
        <v/>
      </c>
      <c r="AA64" s="126">
        <f ca="1">IF($C64="S",IF($Z64="CP",$X64,IF($Z64="RA",(($X64)*QCI!$AA$3),0)),SomaAgrup)</f>
        <v>0</v>
      </c>
      <c r="AB64" s="127">
        <f t="shared" ca="1" si="14"/>
        <v>0</v>
      </c>
      <c r="AC64" s="128" t="str">
        <f ca="1">IF($N64="","",IF(ORÇAMENTO.Descricao="","DESCRIÇÃO",IF(AND($C64="S",ORÇAMENTO.Unidade=""),"UNIDADE",IF($X64&lt;0,"VALOR NEGATIVO",IF(OR(AND(TIPOORCAMENTO="Proposto",$AG64&lt;&gt;"",$AG64&gt;0,ORÇAMENTO.CustoUnitario&gt;$AG64),AND(TIPOORCAMENTO="LICITADO",ORÇAMENTO.PrecoUnitarioLicitado&gt;$AN64)),"ACIMA REF.","")))))</f>
        <v/>
      </c>
      <c r="AD64" t="str">
        <f ca="1">IF(C64&lt;=CRONO.NivelExibicao,MAX($AD$15:OFFSET(AD64,-1,0))+IF($C64&lt;&gt;1,1,MAX(1,COUNTIF(QCI!$A$13:$A$24,OFFSET($E64,-1,0)))),"")</f>
        <v/>
      </c>
      <c r="AE64" s="7" t="str">
        <f ca="1">IF(AND($C64="S",ORÇAMENTO.CodBarra&lt;&gt;""),IF(ORÇAMENTO.Fonte="",ORÇAMENTO.CodBarra,CONCATENATE(ORÇAMENTO.Fonte," ",ORÇAMENTO.CodBarra)))</f>
        <v>SINAPI 87557</v>
      </c>
      <c r="AF64" s="13" t="str">
        <f ca="1">IF(ISERROR(INDIRECT(ORÇAMENTO.BancoRef)),"(abra o arquivo 'Referência "&amp;Excel_BuiltIn_Database&amp;".xlsm)",IF(OR($C64&lt;&gt;"S",ORÇAMENTO.CodBarra=""),"(Sem Código)",IF(ISERROR(MATCH($AE64,INDIRECT(ORÇAMENTO.BancoRef),0)),"(Código não identificado nas referências)",MATCH($AE64,INDIRECT(ORÇAMENTO.BancoRef),0))))</f>
        <v>(abra o arquivo 'Referência 10-2024.xlsm)</v>
      </c>
      <c r="AG64" s="495">
        <f ca="1">ROUND(IF(DESONERACAO="sim",REFERENCIA.Desonerado,REFERENCIA.NaoDesonerado),2)</f>
        <v>0</v>
      </c>
      <c r="AH64" s="496">
        <f t="shared" ca="1" si="15"/>
        <v>0.20710000000000001</v>
      </c>
      <c r="AJ64" s="498">
        <v>107.04</v>
      </c>
      <c r="AL64" s="524"/>
      <c r="AM64" s="378">
        <f t="shared" ca="1" si="0"/>
        <v>0</v>
      </c>
      <c r="AN64" s="563">
        <f t="shared" ca="1" si="16"/>
        <v>0</v>
      </c>
    </row>
    <row r="65" spans="1:40" ht="25.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8</v>
      </c>
      <c r="G65">
        <f t="shared" ca="1" si="6"/>
        <v>0</v>
      </c>
      <c r="H65">
        <f t="shared" ca="1" si="7"/>
        <v>0</v>
      </c>
      <c r="I65">
        <f t="shared" ca="1" si="8"/>
        <v>0</v>
      </c>
      <c r="J65">
        <f t="shared" ca="1" si="34"/>
        <v>0</v>
      </c>
      <c r="K65">
        <f ca="1">IF(OR($C65="S",$C65=0),0,MATCH(OFFSET($D65,0,$C65)+IF($C65&lt;&gt;1,1,COUNTIF(QCI!$A$13:$A$24,ORÇAMENTO!E65)),OFFSET($D65,1,$C65,ROW($C$120)-ROW($C65)),0))</f>
        <v>0</v>
      </c>
      <c r="L65" s="113" t="str">
        <f t="shared" ca="1" si="10"/>
        <v/>
      </c>
      <c r="M65" s="114" t="s">
        <v>199</v>
      </c>
      <c r="N65" s="115" t="str">
        <f t="shared" ca="1" si="11"/>
        <v>Serviço</v>
      </c>
      <c r="O65" s="116" t="str">
        <f t="shared" ca="1" si="12"/>
        <v>-</v>
      </c>
      <c r="P65" s="117" t="s">
        <v>247</v>
      </c>
      <c r="Q65" s="118" t="s">
        <v>475</v>
      </c>
      <c r="R65" s="119" t="str">
        <f ca="1">IF($C65="S",REFERENCIA.Descricao,"(digite a descrição aqui)")</f>
        <v>(abra o arquivo 'Referência 10-2024.xlsm)</v>
      </c>
      <c r="S65" s="120" t="str">
        <f ca="1">REFERENCIA.Unidade</f>
        <v>-</v>
      </c>
      <c r="T65" s="121">
        <f ca="1">OFFSET(CÁLCULO!H$15,ROW($T65)-ROW(T$15),0)</f>
        <v>95.04</v>
      </c>
      <c r="U65" s="122">
        <f t="shared" ca="1" si="33"/>
        <v>0</v>
      </c>
      <c r="V65" s="123" t="s">
        <v>156</v>
      </c>
      <c r="W65" s="121">
        <f ca="1">IF($C65="S",ROUND(IF(TIPOORCAMENTO="Proposto",ORÇAMENTO.CustoUnitario*(1+$AH65),ORÇAMENTO.PrecoUnitarioLicitado),15-13*$AF$10),0)</f>
        <v>0</v>
      </c>
      <c r="X65" s="124">
        <f ca="1">IF($C65="S",IF(Import.TipoArredondamento&lt;&gt;"TransfereGOV",VTOTAL1,SUM(OFFSET(CÁLCULO!$AA$15,ROW($X65)-ROW($X$15),1):OFFSET(CÁLCULO!$AL$15,ROW($X65)-ROW($X$15),-1))),IF($C65=0,0,ROUND(SomaAgrup,15-13*$AF$11)))</f>
        <v>0</v>
      </c>
      <c r="Y65" s="125" t="s">
        <v>245</v>
      </c>
      <c r="Z65" t="str">
        <f t="shared" ca="1" si="13"/>
        <v/>
      </c>
      <c r="AA65" s="126">
        <f ca="1">IF($C65="S",IF($Z65="CP",$X65,IF($Z65="RA",(($X65)*QCI!$AA$3),0)),SomaAgrup)</f>
        <v>0</v>
      </c>
      <c r="AB65" s="127">
        <f t="shared" ca="1" si="14"/>
        <v>0</v>
      </c>
      <c r="AC65" s="128" t="str">
        <f ca="1">IF($N65="","",IF(ORÇAMENTO.Descricao="","DESCRIÇÃO",IF(AND($C65="S",ORÇAMENTO.Unidade=""),"UNIDADE",IF($X65&lt;0,"VALOR NEGATIVO",IF(OR(AND(TIPOORCAMENTO="Proposto",$AG65&lt;&gt;"",$AG65&gt;0,ORÇAMENTO.CustoUnitario&gt;$AG65),AND(TIPOORCAMENTO="LICITADO",ORÇAMENTO.PrecoUnitarioLicitado&gt;$AN65)),"ACIMA REF.","")))))</f>
        <v/>
      </c>
      <c r="AD65" t="str">
        <f ca="1">IF(C65&lt;=CRONO.NivelExibicao,MAX($AD$15:OFFSET(AD65,-1,0))+IF($C65&lt;&gt;1,1,MAX(1,COUNTIF(QCI!$A$13:$A$24,OFFSET($E65,-1,0)))),"")</f>
        <v/>
      </c>
      <c r="AE65" s="7" t="str">
        <f ca="1">IF(AND($C65="S",ORÇAMENTO.CodBarra&lt;&gt;""),IF(ORÇAMENTO.Fonte="",ORÇAMENTO.CodBarra,CONCATENATE(ORÇAMENTO.Fonte," ",ORÇAMENTO.CodBarra)))</f>
        <v>SINAPI 88489</v>
      </c>
      <c r="AF65" s="13" t="str">
        <f ca="1">IF(ISERROR(INDIRECT(ORÇAMENTO.BancoRef)),"(abra o arquivo 'Referência "&amp;Excel_BuiltIn_Database&amp;".xlsm)",IF(OR($C65&lt;&gt;"S",ORÇAMENTO.CodBarra=""),"(Sem Código)",IF(ISERROR(MATCH($AE65,INDIRECT(ORÇAMENTO.BancoRef),0)),"(Código não identificado nas referências)",MATCH($AE65,INDIRECT(ORÇAMENTO.BancoRef),0))))</f>
        <v>(abra o arquivo 'Referência 10-2024.xlsm)</v>
      </c>
      <c r="AG65" s="495">
        <f ca="1">ROUND(IF(DESONERACAO="sim",REFERENCIA.Desonerado,REFERENCIA.NaoDesonerado),2)</f>
        <v>0</v>
      </c>
      <c r="AH65" s="496">
        <f t="shared" ca="1" si="15"/>
        <v>0.20710000000000001</v>
      </c>
      <c r="AJ65" s="498">
        <v>95.04</v>
      </c>
      <c r="AL65" s="524"/>
      <c r="AM65" s="378">
        <f t="shared" ca="1" si="0"/>
        <v>0</v>
      </c>
      <c r="AN65" s="563">
        <f t="shared" ca="1" si="16"/>
        <v>0</v>
      </c>
    </row>
    <row r="66" spans="1:40" x14ac:dyDescent="0.2">
      <c r="A66">
        <f t="shared" si="1"/>
        <v>2</v>
      </c>
      <c r="B66">
        <f t="shared" ca="1" si="2"/>
        <v>2</v>
      </c>
      <c r="C66">
        <f t="shared" ca="1" si="3"/>
        <v>2</v>
      </c>
      <c r="D66">
        <f t="shared" ca="1" si="4"/>
        <v>2</v>
      </c>
      <c r="E66">
        <f ca="1">IF($C66=1,OFFSET(E66,-1,0)+MAX(1,COUNTIF(QCI!$A$13:$A$24,OFFSET(ORÇAMENTO!E66,-1,0))),OFFSET(E66,-1,0))</f>
        <v>1</v>
      </c>
      <c r="F66">
        <f t="shared" ca="1" si="5"/>
        <v>9</v>
      </c>
      <c r="G66">
        <f t="shared" ca="1" si="6"/>
        <v>0</v>
      </c>
      <c r="H66">
        <f t="shared" ca="1" si="7"/>
        <v>0</v>
      </c>
      <c r="I66">
        <f t="shared" ca="1" si="8"/>
        <v>0</v>
      </c>
      <c r="J66">
        <f t="shared" ca="1" si="34"/>
        <v>54</v>
      </c>
      <c r="K66">
        <f ca="1">IF(OR($C66="S",$C66=0),0,MATCH(OFFSET($D66,0,$C66)+IF($C66&lt;&gt;1,1,COUNTIF(QCI!$A$13:$A$24,ORÇAMENTO!E66)),OFFSET($D66,1,$C66,ROW($C$120)-ROW($C66)),0))</f>
        <v>2</v>
      </c>
      <c r="L66" s="113" t="str">
        <f t="shared" ca="1" si="10"/>
        <v>F</v>
      </c>
      <c r="M66" s="114" t="s">
        <v>196</v>
      </c>
      <c r="N66" s="115" t="str">
        <f t="shared" ca="1" si="11"/>
        <v>Nível 2</v>
      </c>
      <c r="O66" s="116" t="str">
        <f t="shared" ca="1" si="12"/>
        <v>1.9.</v>
      </c>
      <c r="P66" s="117" t="s">
        <v>247</v>
      </c>
      <c r="Q66" s="118"/>
      <c r="R66" s="119" t="s">
        <v>496</v>
      </c>
      <c r="S66" s="120" t="str">
        <f ca="1">REFERENCIA.Unidade</f>
        <v>-</v>
      </c>
      <c r="T66" s="121">
        <f ca="1">OFFSET(CÁLCULO!H$15,ROW($T66)-ROW(T$15),0)</f>
        <v>0</v>
      </c>
      <c r="U66" s="122"/>
      <c r="V66" s="123" t="s">
        <v>156</v>
      </c>
      <c r="W66" s="121">
        <f ca="1">IF($C66="S",ROUND(IF(TIPOORCAMENTO="Proposto",ORÇAMENTO.CustoUnitario*(1+$AH66),ORÇAMENTO.PrecoUnitarioLicitado),15-13*$AF$10),0)</f>
        <v>0</v>
      </c>
      <c r="X66" s="124">
        <f ca="1">IF($C66="S",IF(Import.TipoArredondamento&lt;&gt;"TransfereGOV",VTOTAL1,SUM(OFFSET(CÁLCULO!$AA$15,ROW($X66)-ROW($X$15),1):OFFSET(CÁLCULO!$AL$15,ROW($X66)-ROW($X$15),-1))),IF($C66=0,0,ROUND(SomaAgrup,15-13*$AF$11)))</f>
        <v>0</v>
      </c>
      <c r="Y66" s="125" t="s">
        <v>245</v>
      </c>
      <c r="Z66" t="str">
        <f t="shared" ca="1" si="13"/>
        <v/>
      </c>
      <c r="AA66" s="126">
        <f ca="1">IF($C66="S",IF($Z66="CP",$X66,IF($Z66="RA",(($X66)*QCI!$AA$3),0)),SomaAgrup)</f>
        <v>0</v>
      </c>
      <c r="AB66" s="127">
        <f t="shared" ca="1" si="14"/>
        <v>0</v>
      </c>
      <c r="AC66" s="128" t="str">
        <f ca="1">IF($N66="","",IF(ORÇAMENTO.Descricao="","DESCRIÇÃO",IF(AND($C66="S",ORÇAMENTO.Unidade=""),"UNIDADE",IF($X66&lt;0,"VALOR NEGATIVO",IF(OR(AND(TIPOORCAMENTO="Proposto",$AG66&lt;&gt;"",$AG66&gt;0,ORÇAMENTO.CustoUnitario&gt;$AG66),AND(TIPOORCAMENTO="LICITADO",ORÇAMENTO.PrecoUnitarioLicitado&gt;$AN66)),"ACIMA REF.","")))))</f>
        <v/>
      </c>
      <c r="AD66">
        <f ca="1">IF(C66&lt;=CRONO.NivelExibicao,MAX($AD$15:OFFSET(AD66,-1,0))+IF($C66&lt;&gt;1,1,MAX(1,COUNTIF(QCI!$A$13:$A$24,OFFSET($E66,-1,0)))),"")</f>
        <v>10</v>
      </c>
      <c r="AE66" s="7" t="b">
        <f ca="1">IF(AND($C66="S",ORÇAMENTO.CodBarra&lt;&gt;""),IF(ORÇAMENTO.Fonte="",ORÇAMENTO.CodBarra,CONCATENATE(ORÇAMENTO.Fonte," ",ORÇAMENTO.CodBarra)))</f>
        <v>0</v>
      </c>
      <c r="AF66" s="13" t="str">
        <f ca="1">IF(ISERROR(INDIRECT(ORÇAMENTO.BancoRef)),"(abra o arquivo 'Referência "&amp;Excel_BuiltIn_Database&amp;".xlsm)",IF(OR($C66&lt;&gt;"S",ORÇAMENTO.CodBarra=""),"(Sem Código)",IF(ISERROR(MATCH($AE66,INDIRECT(ORÇAMENTO.BancoRef),0)),"(Código não identificado nas referências)",MATCH($AE66,INDIRECT(ORÇAMENTO.BancoRef),0))))</f>
        <v>(abra o arquivo 'Referência 10-2024.xlsm)</v>
      </c>
      <c r="AG66" s="495">
        <f ca="1">ROUND(IF(DESONERACAO="sim",REFERENCIA.Desonerado,REFERENCIA.NaoDesonerado),2)</f>
        <v>0</v>
      </c>
      <c r="AH66" s="496">
        <f t="shared" ca="1" si="15"/>
        <v>0.20710000000000001</v>
      </c>
      <c r="AJ66" s="498"/>
      <c r="AL66" s="524"/>
      <c r="AM66" s="378">
        <f t="shared" ca="1" si="0"/>
        <v>0</v>
      </c>
      <c r="AN66" s="563">
        <f t="shared" ca="1" si="16"/>
        <v>0</v>
      </c>
    </row>
    <row r="67" spans="1:40" ht="25.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9</v>
      </c>
      <c r="G67">
        <f t="shared" ca="1" si="6"/>
        <v>0</v>
      </c>
      <c r="H67">
        <f t="shared" ca="1" si="7"/>
        <v>0</v>
      </c>
      <c r="I67">
        <f t="shared" ca="1" si="8"/>
        <v>0</v>
      </c>
      <c r="J67">
        <f t="shared" ca="1" si="34"/>
        <v>0</v>
      </c>
      <c r="K67">
        <f ca="1">IF(OR($C67="S",$C67=0),0,MATCH(OFFSET($D67,0,$C67)+IF($C67&lt;&gt;1,1,COUNTIF(QCI!$A$13:$A$24,ORÇAMENTO!E67)),OFFSET($D67,1,$C67,ROW($C$120)-ROW($C67)),0))</f>
        <v>0</v>
      </c>
      <c r="L67" s="113" t="str">
        <f t="shared" ca="1" si="10"/>
        <v/>
      </c>
      <c r="M67" s="114" t="s">
        <v>199</v>
      </c>
      <c r="N67" s="115" t="str">
        <f t="shared" ca="1" si="11"/>
        <v>Serviço</v>
      </c>
      <c r="O67" s="116" t="str">
        <f t="shared" ca="1" si="12"/>
        <v>-</v>
      </c>
      <c r="P67" s="117" t="s">
        <v>247</v>
      </c>
      <c r="Q67" s="118" t="s">
        <v>469</v>
      </c>
      <c r="R67" s="119" t="str">
        <f ca="1">IF($C67="S",REFERENCIA.Descricao,"(digite a descrição aqui)")</f>
        <v>(abra o arquivo 'Referência 10-2024.xlsm)</v>
      </c>
      <c r="S67" s="120" t="str">
        <f ca="1">REFERENCIA.Unidade</f>
        <v>-</v>
      </c>
      <c r="T67" s="121">
        <f ca="1">OFFSET(CÁLCULO!H$15,ROW($T67)-ROW(T$15),0)</f>
        <v>13</v>
      </c>
      <c r="U67" s="122">
        <f t="shared" ca="1" si="33"/>
        <v>0</v>
      </c>
      <c r="V67" s="123" t="s">
        <v>156</v>
      </c>
      <c r="W67" s="121">
        <f ca="1">IF($C67="S",ROUND(IF(TIPOORCAMENTO="Proposto",ORÇAMENTO.CustoUnitario*(1+$AH67),ORÇAMENTO.PrecoUnitarioLicitado),15-13*$AF$10),0)</f>
        <v>0</v>
      </c>
      <c r="X67" s="124">
        <f ca="1">IF($C67="S",IF(Import.TipoArredondamento&lt;&gt;"TransfereGOV",VTOTAL1,SUM(OFFSET(CÁLCULO!$AA$15,ROW($X67)-ROW($X$15),1):OFFSET(CÁLCULO!$AL$15,ROW($X67)-ROW($X$15),-1))),IF($C67=0,0,ROUND(SomaAgrup,15-13*$AF$11)))</f>
        <v>0</v>
      </c>
      <c r="Y67" s="125" t="s">
        <v>245</v>
      </c>
      <c r="Z67" t="str">
        <f t="shared" ca="1" si="13"/>
        <v/>
      </c>
      <c r="AA67" s="126">
        <f ca="1">IF($C67="S",IF($Z67="CP",$X67,IF($Z67="RA",(($X67)*QCI!$AA$3),0)),SomaAgrup)</f>
        <v>0</v>
      </c>
      <c r="AB67" s="127">
        <f t="shared" ca="1" si="14"/>
        <v>0</v>
      </c>
      <c r="AC67" s="128" t="str">
        <f ca="1">IF($N67="","",IF(ORÇAMENTO.Descricao="","DESCRIÇÃO",IF(AND($C67="S",ORÇAMENTO.Unidade=""),"UNIDADE",IF($X67&lt;0,"VALOR NEGATIVO",IF(OR(AND(TIPOORCAMENTO="Proposto",$AG67&lt;&gt;"",$AG67&gt;0,ORÇAMENTO.CustoUnitario&gt;$AG67),AND(TIPOORCAMENTO="LICITADO",ORÇAMENTO.PrecoUnitarioLicitado&gt;$AN67)),"ACIMA REF.","")))))</f>
        <v/>
      </c>
      <c r="AD67" t="str">
        <f ca="1">IF(C67&lt;=CRONO.NivelExibicao,MAX($AD$15:OFFSET(AD67,-1,0))+IF($C67&lt;&gt;1,1,MAX(1,COUNTIF(QCI!$A$13:$A$24,OFFSET($E67,-1,0)))),"")</f>
        <v/>
      </c>
      <c r="AE67" s="7" t="str">
        <f ca="1">IF(AND($C67="S",ORÇAMENTO.CodBarra&lt;&gt;""),IF(ORÇAMENTO.Fonte="",ORÇAMENTO.CodBarra,CONCATENATE(ORÇAMENTO.Fonte," ",ORÇAMENTO.CodBarra)))</f>
        <v>SINAPI 98557</v>
      </c>
      <c r="AF67" s="13" t="str">
        <f ca="1">IF(ISERROR(INDIRECT(ORÇAMENTO.BancoRef)),"(abra o arquivo 'Referência "&amp;Excel_BuiltIn_Database&amp;".xlsm)",IF(OR($C67&lt;&gt;"S",ORÇAMENTO.CodBarra=""),"(Sem Código)",IF(ISERROR(MATCH($AE67,INDIRECT(ORÇAMENTO.BancoRef),0)),"(Código não identificado nas referências)",MATCH($AE67,INDIRECT(ORÇAMENTO.BancoRef),0))))</f>
        <v>(abra o arquivo 'Referência 10-2024.xlsm)</v>
      </c>
      <c r="AG67" s="495">
        <f ca="1">ROUND(IF(DESONERACAO="sim",REFERENCIA.Desonerado,REFERENCIA.NaoDesonerado),2)</f>
        <v>0</v>
      </c>
      <c r="AH67" s="496">
        <f t="shared" ca="1" si="15"/>
        <v>0.20710000000000001</v>
      </c>
      <c r="AJ67" s="498">
        <v>13</v>
      </c>
      <c r="AL67" s="524"/>
      <c r="AM67" s="378">
        <f t="shared" ca="1" si="0"/>
        <v>0</v>
      </c>
      <c r="AN67" s="563">
        <f t="shared" ca="1" si="16"/>
        <v>0</v>
      </c>
    </row>
    <row r="68" spans="1:40" x14ac:dyDescent="0.2">
      <c r="A68">
        <f t="shared" si="1"/>
        <v>2</v>
      </c>
      <c r="B68">
        <f t="shared" ca="1" si="2"/>
        <v>2</v>
      </c>
      <c r="C68">
        <f t="shared" ca="1" si="3"/>
        <v>2</v>
      </c>
      <c r="D68">
        <f t="shared" ca="1" si="4"/>
        <v>4</v>
      </c>
      <c r="E68">
        <f ca="1">IF($C68=1,OFFSET(E68,-1,0)+MAX(1,COUNTIF(QCI!$A$13:$A$24,OFFSET(ORÇAMENTO!E68,-1,0))),OFFSET(E68,-1,0))</f>
        <v>1</v>
      </c>
      <c r="F68">
        <f t="shared" ca="1" si="5"/>
        <v>10</v>
      </c>
      <c r="G68">
        <f t="shared" ca="1" si="6"/>
        <v>0</v>
      </c>
      <c r="H68">
        <f t="shared" ca="1" si="7"/>
        <v>0</v>
      </c>
      <c r="I68">
        <f t="shared" ca="1" si="8"/>
        <v>0</v>
      </c>
      <c r="J68">
        <f t="shared" ca="1" si="34"/>
        <v>52</v>
      </c>
      <c r="K68">
        <f ca="1">IF(OR($C68="S",$C68=0),0,MATCH(OFFSET($D68,0,$C68)+IF($C68&lt;&gt;1,1,COUNTIF(QCI!$A$13:$A$24,ORÇAMENTO!E68)),OFFSET($D68,1,$C68,ROW($C$120)-ROW($C68)),0))</f>
        <v>4</v>
      </c>
      <c r="L68" s="113" t="str">
        <f t="shared" ca="1" si="10"/>
        <v>F</v>
      </c>
      <c r="M68" s="114" t="s">
        <v>196</v>
      </c>
      <c r="N68" s="115" t="str">
        <f t="shared" ca="1" si="11"/>
        <v>Nível 2</v>
      </c>
      <c r="O68" s="116" t="str">
        <f t="shared" ca="1" si="12"/>
        <v>1.10.</v>
      </c>
      <c r="P68" s="117" t="s">
        <v>247</v>
      </c>
      <c r="Q68" s="118"/>
      <c r="R68" s="119" t="s">
        <v>491</v>
      </c>
      <c r="S68" s="120" t="str">
        <f ca="1">REFERENCIA.Unidade</f>
        <v>-</v>
      </c>
      <c r="T68" s="121">
        <f ca="1">OFFSET(CÁLCULO!H$15,ROW($T68)-ROW(T$15),0)</f>
        <v>0</v>
      </c>
      <c r="U68" s="122"/>
      <c r="V68" s="123" t="s">
        <v>156</v>
      </c>
      <c r="W68" s="121">
        <f ca="1">IF($C68="S",ROUND(IF(TIPOORCAMENTO="Proposto",ORÇAMENTO.CustoUnitario*(1+$AH68),ORÇAMENTO.PrecoUnitarioLicitado),15-13*$AF$10),0)</f>
        <v>0</v>
      </c>
      <c r="X68" s="124">
        <f ca="1">IF($C68="S",IF(Import.TipoArredondamento&lt;&gt;"TransfereGOV",VTOTAL1,SUM(OFFSET(CÁLCULO!$AA$15,ROW($X68)-ROW($X$15),1):OFFSET(CÁLCULO!$AL$15,ROW($X68)-ROW($X$15),-1))),IF($C68=0,0,ROUND(SomaAgrup,15-13*$AF$11)))</f>
        <v>0</v>
      </c>
      <c r="Y68" s="125" t="s">
        <v>245</v>
      </c>
      <c r="Z68" t="str">
        <f t="shared" ca="1" si="13"/>
        <v/>
      </c>
      <c r="AA68" s="126">
        <f ca="1">IF($C68="S",IF($Z68="CP",$X68,IF($Z68="RA",(($X68)*QCI!$AA$3),0)),SomaAgrup)</f>
        <v>0</v>
      </c>
      <c r="AB68" s="127">
        <f t="shared" ca="1" si="14"/>
        <v>0</v>
      </c>
      <c r="AC68" s="128" t="str">
        <f ca="1">IF($N68="","",IF(ORÇAMENTO.Descricao="","DESCRIÇÃO",IF(AND($C68="S",ORÇAMENTO.Unidade=""),"UNIDADE",IF($X68&lt;0,"VALOR NEGATIVO",IF(OR(AND(TIPOORCAMENTO="Proposto",$AG68&lt;&gt;"",$AG68&gt;0,ORÇAMENTO.CustoUnitario&gt;$AG68),AND(TIPOORCAMENTO="LICITADO",ORÇAMENTO.PrecoUnitarioLicitado&gt;$AN68)),"ACIMA REF.","")))))</f>
        <v/>
      </c>
      <c r="AD68">
        <f ca="1">IF(C68&lt;=CRONO.NivelExibicao,MAX($AD$15:OFFSET(AD68,-1,0))+IF($C68&lt;&gt;1,1,MAX(1,COUNTIF(QCI!$A$13:$A$24,OFFSET($E68,-1,0)))),"")</f>
        <v>11</v>
      </c>
      <c r="AE68" s="7" t="b">
        <f ca="1">IF(AND($C68="S",ORÇAMENTO.CodBarra&lt;&gt;""),IF(ORÇAMENTO.Fonte="",ORÇAMENTO.CodBarra,CONCATENATE(ORÇAMENTO.Fonte," ",ORÇAMENTO.CodBarra)))</f>
        <v>0</v>
      </c>
      <c r="AF68" s="13" t="str">
        <f ca="1">IF(ISERROR(INDIRECT(ORÇAMENTO.BancoRef)),"(abra o arquivo 'Referência "&amp;Excel_BuiltIn_Database&amp;".xlsm)",IF(OR($C68&lt;&gt;"S",ORÇAMENTO.CodBarra=""),"(Sem Código)",IF(ISERROR(MATCH($AE68,INDIRECT(ORÇAMENTO.BancoRef),0)),"(Código não identificado nas referências)",MATCH($AE68,INDIRECT(ORÇAMENTO.BancoRef),0))))</f>
        <v>(abra o arquivo 'Referência 10-2024.xlsm)</v>
      </c>
      <c r="AG68" s="495">
        <f ca="1">ROUND(IF(DESONERACAO="sim",REFERENCIA.Desonerado,REFERENCIA.NaoDesonerado),2)</f>
        <v>0</v>
      </c>
      <c r="AH68" s="496">
        <f t="shared" ca="1" si="15"/>
        <v>0.20710000000000001</v>
      </c>
      <c r="AJ68" s="498"/>
      <c r="AL68" s="524"/>
      <c r="AM68" s="378">
        <f t="shared" ca="1" si="0"/>
        <v>0</v>
      </c>
      <c r="AN68" s="563">
        <f t="shared" ca="1" si="16"/>
        <v>0</v>
      </c>
    </row>
    <row r="69" spans="1:40" ht="5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10</v>
      </c>
      <c r="G69">
        <f t="shared" ca="1" si="6"/>
        <v>0</v>
      </c>
      <c r="H69">
        <f t="shared" ca="1" si="7"/>
        <v>0</v>
      </c>
      <c r="I69">
        <f t="shared" ca="1" si="8"/>
        <v>0</v>
      </c>
      <c r="J69">
        <f t="shared" ca="1" si="34"/>
        <v>0</v>
      </c>
      <c r="K69">
        <f ca="1">IF(OR($C69="S",$C69=0),0,MATCH(OFFSET($D69,0,$C69)+IF($C69&lt;&gt;1,1,COUNTIF(QCI!$A$13:$A$24,ORÇAMENTO!E69)),OFFSET($D69,1,$C69,ROW($C$120)-ROW($C69)),0))</f>
        <v>0</v>
      </c>
      <c r="L69" s="113" t="str">
        <f t="shared" ca="1" si="10"/>
        <v/>
      </c>
      <c r="M69" s="114" t="s">
        <v>199</v>
      </c>
      <c r="N69" s="115" t="str">
        <f t="shared" ca="1" si="11"/>
        <v>Serviço</v>
      </c>
      <c r="O69" s="116" t="str">
        <f t="shared" ca="1" si="12"/>
        <v>-</v>
      </c>
      <c r="P69" s="117" t="s">
        <v>247</v>
      </c>
      <c r="Q69" s="118" t="s">
        <v>497</v>
      </c>
      <c r="R69" s="119" t="str">
        <f ca="1">IF($C69="S",REFERENCIA.Descricao,"(digite a descrição aqui)")</f>
        <v>(abra o arquivo 'Referência 10-2024.xlsm)</v>
      </c>
      <c r="S69" s="120" t="str">
        <f ca="1">REFERENCIA.Unidade</f>
        <v>-</v>
      </c>
      <c r="T69" s="121">
        <f ca="1">OFFSET(CÁLCULO!H$15,ROW($T69)-ROW(T$15),0)</f>
        <v>25.32</v>
      </c>
      <c r="U69" s="122">
        <f t="shared" ca="1" si="33"/>
        <v>0</v>
      </c>
      <c r="V69" s="123" t="s">
        <v>156</v>
      </c>
      <c r="W69" s="121">
        <f ca="1">IF($C69="S",ROUND(IF(TIPOORCAMENTO="Proposto",ORÇAMENTO.CustoUnitario*(1+$AH69),ORÇAMENTO.PrecoUnitarioLicitado),15-13*$AF$10),0)</f>
        <v>0</v>
      </c>
      <c r="X69" s="124">
        <f ca="1">IF($C69="S",IF(Import.TipoArredondamento&lt;&gt;"TransfereGOV",VTOTAL1,SUM(OFFSET(CÁLCULO!$AA$15,ROW($X69)-ROW($X$15),1):OFFSET(CÁLCULO!$AL$15,ROW($X69)-ROW($X$15),-1))),IF($C69=0,0,ROUND(SomaAgrup,15-13*$AF$11)))</f>
        <v>0</v>
      </c>
      <c r="Y69" s="125" t="s">
        <v>245</v>
      </c>
      <c r="Z69" t="str">
        <f t="shared" ca="1" si="13"/>
        <v/>
      </c>
      <c r="AA69" s="126">
        <f ca="1">IF($C69="S",IF($Z69="CP",$X69,IF($Z69="RA",(($X69)*QCI!$AA$3),0)),SomaAgrup)</f>
        <v>0</v>
      </c>
      <c r="AB69" s="127">
        <f t="shared" ca="1" si="14"/>
        <v>0</v>
      </c>
      <c r="AC69" s="128" t="str">
        <f ca="1">IF($N69="","",IF(ORÇAMENTO.Descricao="","DESCRIÇÃO",IF(AND($C69="S",ORÇAMENTO.Unidade=""),"UNIDADE",IF($X69&lt;0,"VALOR NEGATIVO",IF(OR(AND(TIPOORCAMENTO="Proposto",$AG69&lt;&gt;"",$AG69&gt;0,ORÇAMENTO.CustoUnitario&gt;$AG69),AND(TIPOORCAMENTO="LICITADO",ORÇAMENTO.PrecoUnitarioLicitado&gt;$AN69)),"ACIMA REF.","")))))</f>
        <v/>
      </c>
      <c r="AD69" t="str">
        <f ca="1">IF(C69&lt;=CRONO.NivelExibicao,MAX($AD$15:OFFSET(AD69,-1,0))+IF($C69&lt;&gt;1,1,MAX(1,COUNTIF(QCI!$A$13:$A$24,OFFSET($E69,-1,0)))),"")</f>
        <v/>
      </c>
      <c r="AE69" s="7" t="str">
        <f ca="1">IF(AND($C69="S",ORÇAMENTO.CodBarra&lt;&gt;""),IF(ORÇAMENTO.Fonte="",ORÇAMENTO.CodBarra,CONCATENATE(ORÇAMENTO.Fonte," ",ORÇAMENTO.CodBarra)))</f>
        <v>SINAPI 87757</v>
      </c>
      <c r="AF69" s="13" t="str">
        <f ca="1">IF(ISERROR(INDIRECT(ORÇAMENTO.BancoRef)),"(abra o arquivo 'Referência "&amp;Excel_BuiltIn_Database&amp;".xlsm)",IF(OR($C69&lt;&gt;"S",ORÇAMENTO.CodBarra=""),"(Sem Código)",IF(ISERROR(MATCH($AE69,INDIRECT(ORÇAMENTO.BancoRef),0)),"(Código não identificado nas referências)",MATCH($AE69,INDIRECT(ORÇAMENTO.BancoRef),0))))</f>
        <v>(abra o arquivo 'Referência 10-2024.xlsm)</v>
      </c>
      <c r="AG69" s="495">
        <f ca="1">ROUND(IF(DESONERACAO="sim",REFERENCIA.Desonerado,REFERENCIA.NaoDesonerado),2)</f>
        <v>0</v>
      </c>
      <c r="AH69" s="496">
        <f t="shared" ca="1" si="15"/>
        <v>0.20710000000000001</v>
      </c>
      <c r="AJ69" s="498">
        <v>25.32</v>
      </c>
      <c r="AL69" s="524"/>
      <c r="AM69" s="378">
        <f t="shared" ca="1" si="0"/>
        <v>0</v>
      </c>
      <c r="AN69" s="563">
        <f t="shared" ca="1" si="16"/>
        <v>0</v>
      </c>
    </row>
    <row r="70" spans="1:40" ht="38.25" x14ac:dyDescent="0.2">
      <c r="A70" t="str">
        <f>CHOOSE(1+LOG(1+2*(ORÇAMENTO.Nivel="Meta")+4*(ORÇAMENTO.Nivel="Nível 2")+8*(ORÇAMENTO.Nivel="Nível 3")+16*(ORÇAMENTO.Nivel="Nível 4")+32*(ORÇAMENTO.Nivel="Serviço"),2),0,1,2,3,4,"S")</f>
        <v>S</v>
      </c>
      <c r="B70">
        <f ca="1">IF(OR(C70="s",C70=0),OFFSET(B70,-1,0),C70)</f>
        <v>2</v>
      </c>
      <c r="C70" t="str">
        <f ca="1">IF(OFFSET(C70,-1,0)="L",1,IF(OFFSET(C70,-1,0)=1,2,IF(OR(A70="s",A70=0),"S",IF(AND(OFFSET(C70,-1,0)=2,A70=4),3,IF(AND(OR(OFFSET(C70,-1,0)="s",OFFSET(C70,-1,0)=0),A70&lt;&gt;"s",A70&gt;OFFSET(B70,-1,0)),OFFSET(B70,-1,0),A70)))))</f>
        <v>S</v>
      </c>
      <c r="D70">
        <f ca="1">IF(OR(C70="S",C70=0),0,IF(ISERROR(K70),J70,SMALL(J70:K70,1)))</f>
        <v>0</v>
      </c>
      <c r="E70">
        <f ca="1">IF($C70=1,OFFSET(E70,-1,0)+MAX(1,COUNTIF(QCI!$A$13:$A$24,OFFSET(ORÇAMENTO!E70,-1,0))),OFFSET(E70,-1,0))</f>
        <v>1</v>
      </c>
      <c r="F70">
        <f ca="1">IF($C70=1,0,IF($C70=2,OFFSET(F70,-1,0)+1,OFFSET(F70,-1,0)))</f>
        <v>10</v>
      </c>
      <c r="G70">
        <f ca="1">IF(AND($C70&lt;=2,$C70&lt;&gt;0),0,IF($C70=3,OFFSET(G70,-1,0)+1,OFFSET(G70,-1,0)))</f>
        <v>0</v>
      </c>
      <c r="H70">
        <f ca="1">IF(AND($C70&lt;=3,$C70&lt;&gt;0),0,IF($C70=4,OFFSET(H70,-1,0)+1,OFFSET(H70,-1,0)))</f>
        <v>0</v>
      </c>
      <c r="I70">
        <f ca="1">IF(AND($C70&lt;=4,$C70&lt;&gt;0),0,IF(AND($C70="S",$X70&gt;0),OFFSET(I70,-1,0)+1,OFFSET(I70,-1,0)))</f>
        <v>0</v>
      </c>
      <c r="J70">
        <f t="shared" ca="1" si="34"/>
        <v>0</v>
      </c>
      <c r="K70">
        <f ca="1">IF(OR($C70="S",$C70=0),0,MATCH(OFFSET($D70,0,$C70)+IF($C70&lt;&gt;1,1,COUNTIF(QCI!$A$13:$A$24,ORÇAMENTO!E70)),OFFSET($D70,1,$C70,ROW($C$120)-ROW($C70)),0))</f>
        <v>0</v>
      </c>
      <c r="L70" s="113" t="str">
        <f ca="1">IF(OR($X70&gt;0,$C70=1,$C70=2,$C70=3,$C70=4),"F","")</f>
        <v/>
      </c>
      <c r="M70" s="114" t="s">
        <v>199</v>
      </c>
      <c r="N70" s="115" t="str">
        <f ca="1">CHOOSE(1+LOG(1+2*(C70=1)+4*(C70=2)+8*(C70=3)+16*(C70=4)+32*(C70="S"),2),"","Meta","Nível 2","Nível 3","Nível 4","Serviço")</f>
        <v>Serviço</v>
      </c>
      <c r="O70" s="116" t="str">
        <f ca="1">IF(OR($C70=0,$L70=""),"-",CONCATENATE(E70&amp;".",IF(AND($A$5&gt;=2,$C70&gt;=2),F70&amp;".",""),IF(AND($A$5&gt;=3,$C70&gt;=3),G70&amp;".",""),IF(AND($A$5&gt;=4,$C70&gt;=4),H70&amp;".",""),IF($C70="S",I70&amp;".","")))</f>
        <v>-</v>
      </c>
      <c r="P70" s="117" t="s">
        <v>247</v>
      </c>
      <c r="Q70" s="118" t="s">
        <v>555</v>
      </c>
      <c r="R70" s="119" t="str">
        <f ca="1">IF($C70="S",REFERENCIA.Descricao,"(digite a descrição aqui)")</f>
        <v>(abra o arquivo 'Referência 10-2024.xlsm)</v>
      </c>
      <c r="S70" s="120" t="str">
        <f ca="1">REFERENCIA.Unidade</f>
        <v>-</v>
      </c>
      <c r="T70" s="121">
        <f ca="1">OFFSET(CÁLCULO!H$15,ROW($T70)-ROW(T$15),0)</f>
        <v>25.32</v>
      </c>
      <c r="U70" s="122">
        <f t="shared" ca="1" si="33"/>
        <v>0</v>
      </c>
      <c r="V70" s="123" t="s">
        <v>156</v>
      </c>
      <c r="W70" s="121">
        <f ca="1">IF($C70="S",ROUND(IF(TIPOORCAMENTO="Proposto",ORÇAMENTO.CustoUnitario*(1+$AH70),ORÇAMENTO.PrecoUnitarioLicitado),15-13*$AF$10),0)</f>
        <v>0</v>
      </c>
      <c r="X70" s="124">
        <f ca="1">IF($C70="S",IF(Import.TipoArredondamento&lt;&gt;"TransfereGOV",VTOTAL1,SUM(OFFSET(CÁLCULO!$AA$15,ROW($X70)-ROW($X$15),1):OFFSET(CÁLCULO!$AL$15,ROW($X70)-ROW($X$15),-1))),IF($C70=0,0,ROUND(SomaAgrup,15-13*$AF$11)))</f>
        <v>0</v>
      </c>
      <c r="Y70" s="125" t="s">
        <v>245</v>
      </c>
      <c r="Z70" t="str">
        <f ca="1">IF(AND($C70="S",$X70&gt;0),IF(ISBLANK($Y70),"RA",LEFT($Y70,2)),"")</f>
        <v/>
      </c>
      <c r="AA70" s="126">
        <f ca="1">IF($C70="S",IF($Z70="CP",$X70,IF($Z70="RA",(($X70)*QCI!$AA$3),0)),SomaAgrup)</f>
        <v>0</v>
      </c>
      <c r="AB70" s="127">
        <f ca="1">IF($C70="S",IF($Z70="OU",ROUND($X70,2),0),SomaAgrup)</f>
        <v>0</v>
      </c>
      <c r="AC70" s="128" t="str">
        <f ca="1">IF($N70="","",IF(ORÇAMENTO.Descricao="","DESCRIÇÃO",IF(AND($C70="S",ORÇAMENTO.Unidade=""),"UNIDADE",IF($X70&lt;0,"VALOR NEGATIVO",IF(OR(AND(TIPOORCAMENTO="Proposto",$AG70&lt;&gt;"",$AG70&gt;0,ORÇAMENTO.CustoUnitario&gt;$AG70),AND(TIPOORCAMENTO="LICITADO",ORÇAMENTO.PrecoUnitarioLicitado&gt;$AN70)),"ACIMA REF.","")))))</f>
        <v/>
      </c>
      <c r="AD70" t="str">
        <f ca="1">IF(C70&lt;=CRONO.NivelExibicao,MAX($AD$15:OFFSET(AD70,-1,0))+IF($C70&lt;&gt;1,1,MAX(1,COUNTIF(QCI!$A$13:$A$24,OFFSET($E70,-1,0)))),"")</f>
        <v/>
      </c>
      <c r="AE70" s="7" t="str">
        <f ca="1">IF(AND($C70="S",ORÇAMENTO.CodBarra&lt;&gt;""),IF(ORÇAMENTO.Fonte="",ORÇAMENTO.CodBarra,CONCATENATE(ORÇAMENTO.Fonte," ",ORÇAMENTO.CodBarra)))</f>
        <v>SINAPI 87251</v>
      </c>
      <c r="AF70" s="13" t="str">
        <f ca="1">IF(ISERROR(INDIRECT(ORÇAMENTO.BancoRef)),"(abra o arquivo 'Referência "&amp;Excel_BuiltIn_Database&amp;".xlsm)",IF(OR($C70&lt;&gt;"S",ORÇAMENTO.CodBarra=""),"(Sem Código)",IF(ISERROR(MATCH($AE70,INDIRECT(ORÇAMENTO.BancoRef),0)),"(Código não identificado nas referências)",MATCH($AE70,INDIRECT(ORÇAMENTO.BancoRef),0))))</f>
        <v>(abra o arquivo 'Referência 10-2024.xlsm)</v>
      </c>
      <c r="AG70" s="495">
        <f ca="1">ROUND(IF(DESONERACAO="sim",REFERENCIA.Desonerado,REFERENCIA.NaoDesonerado),2)</f>
        <v>0</v>
      </c>
      <c r="AH70" s="496">
        <f ca="1">ROUND(IF(ISNUMBER(ORÇAMENTO.OpcaoBDI),ORÇAMENTO.OpcaoBDI,IF(LEFT(ORÇAMENTO.OpcaoBDI,3)="BDI",HLOOKUP(ORÇAMENTO.OpcaoBDI,$F$4:$H$5,2,FALSE),0)),15-11*$AF$9)</f>
        <v>0.20710000000000001</v>
      </c>
      <c r="AJ70" s="498">
        <v>25.32</v>
      </c>
      <c r="AL70" s="524"/>
      <c r="AM70" s="378">
        <f t="shared" ca="1" si="0"/>
        <v>0</v>
      </c>
      <c r="AN70" s="563">
        <f ca="1">ROUND(ORÇAMENTO.CustoUnitario*(1+$AH70),2)</f>
        <v>0</v>
      </c>
    </row>
    <row r="71" spans="1:40" ht="25.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10</v>
      </c>
      <c r="G71">
        <f t="shared" ca="1" si="6"/>
        <v>0</v>
      </c>
      <c r="H71">
        <f t="shared" ca="1" si="7"/>
        <v>0</v>
      </c>
      <c r="I71">
        <f t="shared" ca="1" si="8"/>
        <v>0</v>
      </c>
      <c r="J71">
        <f t="shared" ca="1" si="34"/>
        <v>0</v>
      </c>
      <c r="K71">
        <f ca="1">IF(OR($C71="S",$C71=0),0,MATCH(OFFSET($D71,0,$C71)+IF($C71&lt;&gt;1,1,COUNTIF(QCI!$A$13:$A$24,ORÇAMENTO!E71)),OFFSET($D71,1,$C71,ROW($C$120)-ROW($C71)),0))</f>
        <v>0</v>
      </c>
      <c r="L71" s="113" t="str">
        <f t="shared" ca="1" si="10"/>
        <v/>
      </c>
      <c r="M71" s="114" t="s">
        <v>199</v>
      </c>
      <c r="N71" s="115" t="str">
        <f t="shared" ca="1" si="11"/>
        <v>Serviço</v>
      </c>
      <c r="O71" s="116" t="str">
        <f t="shared" ca="1" si="12"/>
        <v>-</v>
      </c>
      <c r="P71" s="117" t="s">
        <v>247</v>
      </c>
      <c r="Q71" s="118" t="s">
        <v>498</v>
      </c>
      <c r="R71" s="119" t="str">
        <f ca="1">IF($C71="S",REFERENCIA.Descricao,"(digite a descrição aqui)")</f>
        <v>(abra o arquivo 'Referência 10-2024.xlsm)</v>
      </c>
      <c r="S71" s="120" t="str">
        <f ca="1">REFERENCIA.Unidade</f>
        <v>-</v>
      </c>
      <c r="T71" s="121">
        <f ca="1">OFFSET(CÁLCULO!H$15,ROW($T71)-ROW(T$15),0)</f>
        <v>20</v>
      </c>
      <c r="U71" s="122">
        <f t="shared" ca="1" si="33"/>
        <v>0</v>
      </c>
      <c r="V71" s="123" t="s">
        <v>156</v>
      </c>
      <c r="W71" s="121">
        <f ca="1">IF($C71="S",ROUND(IF(TIPOORCAMENTO="Proposto",ORÇAMENTO.CustoUnitario*(1+$AH71),ORÇAMENTO.PrecoUnitarioLicitado),15-13*$AF$10),0)</f>
        <v>0</v>
      </c>
      <c r="X71" s="124">
        <f ca="1">IF($C71="S",IF(Import.TipoArredondamento&lt;&gt;"TransfereGOV",VTOTAL1,SUM(OFFSET(CÁLCULO!$AA$15,ROW($X71)-ROW($X$15),1):OFFSET(CÁLCULO!$AL$15,ROW($X71)-ROW($X$15),-1))),IF($C71=0,0,ROUND(SomaAgrup,15-13*$AF$11)))</f>
        <v>0</v>
      </c>
      <c r="Y71" s="125" t="s">
        <v>245</v>
      </c>
      <c r="Z71" t="str">
        <f t="shared" ca="1" si="13"/>
        <v/>
      </c>
      <c r="AA71" s="126">
        <f ca="1">IF($C71="S",IF($Z71="CP",$X71,IF($Z71="RA",(($X71)*QCI!$AA$3),0)),SomaAgrup)</f>
        <v>0</v>
      </c>
      <c r="AB71" s="127">
        <f t="shared" ca="1" si="14"/>
        <v>0</v>
      </c>
      <c r="AC71" s="128" t="str">
        <f ca="1">IF($N71="","",IF(ORÇAMENTO.Descricao="","DESCRIÇÃO",IF(AND($C71="S",ORÇAMENTO.Unidade=""),"UNIDADE",IF($X71&lt;0,"VALOR NEGATIVO",IF(OR(AND(TIPOORCAMENTO="Proposto",$AG71&lt;&gt;"",$AG71&gt;0,ORÇAMENTO.CustoUnitario&gt;$AG71),AND(TIPOORCAMENTO="LICITADO",ORÇAMENTO.PrecoUnitarioLicitado&gt;$AN71)),"ACIMA REF.","")))))</f>
        <v/>
      </c>
      <c r="AD71" t="str">
        <f ca="1">IF(C71&lt;=CRONO.NivelExibicao,MAX($AD$15:OFFSET(AD71,-1,0))+IF($C71&lt;&gt;1,1,MAX(1,COUNTIF(QCI!$A$13:$A$24,OFFSET($E71,-1,0)))),"")</f>
        <v/>
      </c>
      <c r="AE71" s="7" t="str">
        <f ca="1">IF(AND($C71="S",ORÇAMENTO.CodBarra&lt;&gt;""),IF(ORÇAMENTO.Fonte="",ORÇAMENTO.CodBarra,CONCATENATE(ORÇAMENTO.Fonte," ",ORÇAMENTO.CodBarra)))</f>
        <v>SINAPI 92403</v>
      </c>
      <c r="AF71" s="13" t="str">
        <f ca="1">IF(ISERROR(INDIRECT(ORÇAMENTO.BancoRef)),"(abra o arquivo 'Referência "&amp;Excel_BuiltIn_Database&amp;".xlsm)",IF(OR($C71&lt;&gt;"S",ORÇAMENTO.CodBarra=""),"(Sem Código)",IF(ISERROR(MATCH($AE71,INDIRECT(ORÇAMENTO.BancoRef),0)),"(Código não identificado nas referências)",MATCH($AE71,INDIRECT(ORÇAMENTO.BancoRef),0))))</f>
        <v>(abra o arquivo 'Referência 10-2024.xlsm)</v>
      </c>
      <c r="AG71" s="495">
        <f ca="1">ROUND(IF(DESONERACAO="sim",REFERENCIA.Desonerado,REFERENCIA.NaoDesonerado),2)</f>
        <v>0</v>
      </c>
      <c r="AH71" s="496">
        <f t="shared" ca="1" si="15"/>
        <v>0.20710000000000001</v>
      </c>
      <c r="AJ71" s="498">
        <v>20</v>
      </c>
      <c r="AL71" s="524"/>
      <c r="AM71" s="378">
        <f t="shared" ca="1" si="0"/>
        <v>0</v>
      </c>
      <c r="AN71" s="563">
        <f t="shared" ca="1" si="16"/>
        <v>0</v>
      </c>
    </row>
    <row r="72" spans="1:40" x14ac:dyDescent="0.2">
      <c r="A72">
        <f t="shared" si="1"/>
        <v>2</v>
      </c>
      <c r="B72">
        <f t="shared" ca="1" si="2"/>
        <v>2</v>
      </c>
      <c r="C72">
        <f t="shared" ca="1" si="3"/>
        <v>2</v>
      </c>
      <c r="D72">
        <f t="shared" ca="1" si="4"/>
        <v>7</v>
      </c>
      <c r="E72">
        <f ca="1">IF($C72=1,OFFSET(E72,-1,0)+MAX(1,COUNTIF(QCI!$A$13:$A$24,OFFSET(ORÇAMENTO!E72,-1,0))),OFFSET(E72,-1,0))</f>
        <v>1</v>
      </c>
      <c r="F72">
        <f t="shared" ca="1" si="5"/>
        <v>11</v>
      </c>
      <c r="G72">
        <f t="shared" ca="1" si="6"/>
        <v>0</v>
      </c>
      <c r="H72">
        <f t="shared" ca="1" si="7"/>
        <v>0</v>
      </c>
      <c r="I72">
        <f t="shared" ca="1" si="8"/>
        <v>0</v>
      </c>
      <c r="J72">
        <f t="shared" ca="1" si="34"/>
        <v>48</v>
      </c>
      <c r="K72">
        <f ca="1">IF(OR($C72="S",$C72=0),0,MATCH(OFFSET($D72,0,$C72)+IF($C72&lt;&gt;1,1,COUNTIF(QCI!$A$13:$A$24,ORÇAMENTO!E72)),OFFSET($D72,1,$C72,ROW($C$120)-ROW($C72)),0))</f>
        <v>7</v>
      </c>
      <c r="L72" s="113" t="str">
        <f t="shared" ca="1" si="10"/>
        <v>F</v>
      </c>
      <c r="M72" s="114" t="s">
        <v>196</v>
      </c>
      <c r="N72" s="115" t="str">
        <f t="shared" ca="1" si="11"/>
        <v>Nível 2</v>
      </c>
      <c r="O72" s="116" t="str">
        <f t="shared" ca="1" si="12"/>
        <v>1.11.</v>
      </c>
      <c r="P72" s="117" t="s">
        <v>247</v>
      </c>
      <c r="Q72" s="118"/>
      <c r="R72" s="119" t="s">
        <v>508</v>
      </c>
      <c r="S72" s="120" t="str">
        <f ca="1">REFERENCIA.Unidade</f>
        <v>-</v>
      </c>
      <c r="T72" s="121">
        <f ca="1">OFFSET(CÁLCULO!H$15,ROW($T72)-ROW(T$15),0)</f>
        <v>0</v>
      </c>
      <c r="U72" s="122">
        <f t="shared" ca="1" si="33"/>
        <v>0</v>
      </c>
      <c r="V72" s="123" t="s">
        <v>156</v>
      </c>
      <c r="W72" s="121">
        <f ca="1">IF($C72="S",ROUND(IF(TIPOORCAMENTO="Proposto",ORÇAMENTO.CustoUnitario*(1+$AH72),ORÇAMENTO.PrecoUnitarioLicitado),15-13*$AF$10),0)</f>
        <v>0</v>
      </c>
      <c r="X72" s="124">
        <f ca="1">IF($C72="S",IF(Import.TipoArredondamento&lt;&gt;"TransfereGOV",VTOTAL1,SUM(OFFSET(CÁLCULO!$AA$15,ROW($X72)-ROW($X$15),1):OFFSET(CÁLCULO!$AL$15,ROW($X72)-ROW($X$15),-1))),IF($C72=0,0,ROUND(SomaAgrup,15-13*$AF$11)))</f>
        <v>0</v>
      </c>
      <c r="Y72" s="125" t="s">
        <v>245</v>
      </c>
      <c r="Z72" t="str">
        <f t="shared" ca="1" si="13"/>
        <v/>
      </c>
      <c r="AA72" s="126">
        <f ca="1">IF($C72="S",IF($Z72="CP",$X72,IF($Z72="RA",(($X72)*QCI!$AA$3),0)),SomaAgrup)</f>
        <v>0</v>
      </c>
      <c r="AB72" s="127">
        <f t="shared" ca="1" si="14"/>
        <v>0</v>
      </c>
      <c r="AC72" s="128" t="str">
        <f ca="1">IF($N72="","",IF(ORÇAMENTO.Descricao="","DESCRIÇÃO",IF(AND($C72="S",ORÇAMENTO.Unidade=""),"UNIDADE",IF($X72&lt;0,"VALOR NEGATIVO",IF(OR(AND(TIPOORCAMENTO="Proposto",$AG72&lt;&gt;"",$AG72&gt;0,ORÇAMENTO.CustoUnitario&gt;$AG72),AND(TIPOORCAMENTO="LICITADO",ORÇAMENTO.PrecoUnitarioLicitado&gt;$AN72)),"ACIMA REF.","")))))</f>
        <v/>
      </c>
      <c r="AD72">
        <f ca="1">IF(C72&lt;=CRONO.NivelExibicao,MAX($AD$15:OFFSET(AD72,-1,0))+IF($C72&lt;&gt;1,1,MAX(1,COUNTIF(QCI!$A$13:$A$24,OFFSET($E72,-1,0)))),"")</f>
        <v>12</v>
      </c>
      <c r="AE72" s="7" t="b">
        <f ca="1">IF(AND($C72="S",ORÇAMENTO.CodBarra&lt;&gt;""),IF(ORÇAMENTO.Fonte="",ORÇAMENTO.CodBarra,CONCATENATE(ORÇAMENTO.Fonte," ",ORÇAMENTO.CodBarra)))</f>
        <v>0</v>
      </c>
      <c r="AF72" s="13" t="str">
        <f ca="1">IF(ISERROR(INDIRECT(ORÇAMENTO.BancoRef)),"(abra o arquivo 'Referência "&amp;Excel_BuiltIn_Database&amp;".xlsm)",IF(OR($C72&lt;&gt;"S",ORÇAMENTO.CodBarra=""),"(Sem Código)",IF(ISERROR(MATCH($AE72,INDIRECT(ORÇAMENTO.BancoRef),0)),"(Código não identificado nas referências)",MATCH($AE72,INDIRECT(ORÇAMENTO.BancoRef),0))))</f>
        <v>(abra o arquivo 'Referência 10-2024.xlsm)</v>
      </c>
      <c r="AG72" s="495">
        <f ca="1">ROUND(IF(DESONERACAO="sim",REFERENCIA.Desonerado,REFERENCIA.NaoDesonerado),2)</f>
        <v>0</v>
      </c>
      <c r="AH72" s="496">
        <f t="shared" ca="1" si="15"/>
        <v>0.20710000000000001</v>
      </c>
      <c r="AJ72" s="498"/>
      <c r="AL72" s="524"/>
      <c r="AM72" s="378">
        <f t="shared" ca="1" si="0"/>
        <v>0</v>
      </c>
      <c r="AN72" s="563">
        <f t="shared" ca="1" si="16"/>
        <v>0</v>
      </c>
    </row>
    <row r="73" spans="1:40" ht="5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11</v>
      </c>
      <c r="G73">
        <f t="shared" ca="1" si="6"/>
        <v>0</v>
      </c>
      <c r="H73">
        <f t="shared" ca="1" si="7"/>
        <v>0</v>
      </c>
      <c r="I73">
        <f t="shared" ca="1" si="8"/>
        <v>0</v>
      </c>
      <c r="J73">
        <f t="shared" ca="1" si="34"/>
        <v>0</v>
      </c>
      <c r="K73">
        <f ca="1">IF(OR($C73="S",$C73=0),0,MATCH(OFFSET($D73,0,$C73)+IF($C73&lt;&gt;1,1,COUNTIF(QCI!$A$13:$A$24,ORÇAMENTO!E73)),OFFSET($D73,1,$C73,ROW($C$120)-ROW($C73)),0))</f>
        <v>0</v>
      </c>
      <c r="L73" s="113" t="str">
        <f t="shared" ca="1" si="10"/>
        <v/>
      </c>
      <c r="M73" s="114" t="s">
        <v>199</v>
      </c>
      <c r="N73" s="115" t="str">
        <f t="shared" ca="1" si="11"/>
        <v>Serviço</v>
      </c>
      <c r="O73" s="116" t="str">
        <f t="shared" ca="1" si="12"/>
        <v>-</v>
      </c>
      <c r="P73" s="117" t="s">
        <v>247</v>
      </c>
      <c r="Q73" s="118" t="s">
        <v>518</v>
      </c>
      <c r="R73" s="119" t="str">
        <f ca="1">IF($C73="S",REFERENCIA.Descricao,"(digite a descrição aqui)")</f>
        <v>(abra o arquivo 'Referência 10-2024.xlsm)</v>
      </c>
      <c r="S73" s="120" t="str">
        <f ca="1">REFERENCIA.Unidade</f>
        <v>-</v>
      </c>
      <c r="T73" s="121">
        <f ca="1">OFFSET(CÁLCULO!H$15,ROW($T73)-ROW(T$15),0)</f>
        <v>1</v>
      </c>
      <c r="U73" s="122">
        <f t="shared" ca="1" si="33"/>
        <v>0</v>
      </c>
      <c r="V73" s="123" t="s">
        <v>156</v>
      </c>
      <c r="W73" s="121">
        <f ca="1">IF($C73="S",ROUND(IF(TIPOORCAMENTO="Proposto",ORÇAMENTO.CustoUnitario*(1+$AH73),ORÇAMENTO.PrecoUnitarioLicitado),15-13*$AF$10),0)</f>
        <v>0</v>
      </c>
      <c r="X73" s="124">
        <f ca="1">IF($C73="S",IF(Import.TipoArredondamento&lt;&gt;"TransfereGOV",VTOTAL1,SUM(OFFSET(CÁLCULO!$AA$15,ROW($X73)-ROW($X$15),1):OFFSET(CÁLCULO!$AL$15,ROW($X73)-ROW($X$15),-1))),IF($C73=0,0,ROUND(SomaAgrup,15-13*$AF$11)))</f>
        <v>0</v>
      </c>
      <c r="Y73" s="125" t="s">
        <v>245</v>
      </c>
      <c r="Z73" t="str">
        <f t="shared" ca="1" si="13"/>
        <v/>
      </c>
      <c r="AA73" s="126">
        <f ca="1">IF($C73="S",IF($Z73="CP",$X73,IF($Z73="RA",(($X73)*QCI!$AA$3),0)),SomaAgrup)</f>
        <v>0</v>
      </c>
      <c r="AB73" s="127">
        <f t="shared" ca="1" si="14"/>
        <v>0</v>
      </c>
      <c r="AC73" s="128" t="str">
        <f ca="1">IF($N73="","",IF(ORÇAMENTO.Descricao="","DESCRIÇÃO",IF(AND($C73="S",ORÇAMENTO.Unidade=""),"UNIDADE",IF($X73&lt;0,"VALOR NEGATIVO",IF(OR(AND(TIPOORCAMENTO="Proposto",$AG73&lt;&gt;"",$AG73&gt;0,ORÇAMENTO.CustoUnitario&gt;$AG73),AND(TIPOORCAMENTO="LICITADO",ORÇAMENTO.PrecoUnitarioLicitado&gt;$AN73)),"ACIMA REF.","")))))</f>
        <v/>
      </c>
      <c r="AD73" t="str">
        <f ca="1">IF(C73&lt;=CRONO.NivelExibicao,MAX($AD$15:OFFSET(AD73,-1,0))+IF($C73&lt;&gt;1,1,MAX(1,COUNTIF(QCI!$A$13:$A$24,OFFSET($E73,-1,0)))),"")</f>
        <v/>
      </c>
      <c r="AE73" s="7" t="str">
        <f ca="1">IF(AND($C73="S",ORÇAMENTO.CodBarra&lt;&gt;""),IF(ORÇAMENTO.Fonte="",ORÇAMENTO.CodBarra,CONCATENATE(ORÇAMENTO.Fonte," ",ORÇAMENTO.CodBarra)))</f>
        <v>SINAPI 90793</v>
      </c>
      <c r="AF73" s="13" t="str">
        <f ca="1">IF(ISERROR(INDIRECT(ORÇAMENTO.BancoRef)),"(abra o arquivo 'Referência "&amp;Excel_BuiltIn_Database&amp;".xlsm)",IF(OR($C73&lt;&gt;"S",ORÇAMENTO.CodBarra=""),"(Sem Código)",IF(ISERROR(MATCH($AE73,INDIRECT(ORÇAMENTO.BancoRef),0)),"(Código não identificado nas referências)",MATCH($AE73,INDIRECT(ORÇAMENTO.BancoRef),0))))</f>
        <v>(abra o arquivo 'Referência 10-2024.xlsm)</v>
      </c>
      <c r="AG73" s="495">
        <f ca="1">ROUND(IF(DESONERACAO="sim",REFERENCIA.Desonerado,REFERENCIA.NaoDesonerado),2)</f>
        <v>0</v>
      </c>
      <c r="AH73" s="496">
        <f t="shared" ca="1" si="15"/>
        <v>0.20710000000000001</v>
      </c>
      <c r="AJ73" s="498">
        <v>1</v>
      </c>
      <c r="AL73" s="524"/>
      <c r="AM73" s="378">
        <f t="shared" ca="1" si="0"/>
        <v>0</v>
      </c>
      <c r="AN73" s="563">
        <f t="shared" ca="1" si="16"/>
        <v>0</v>
      </c>
    </row>
    <row r="74" spans="1:40" ht="5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11</v>
      </c>
      <c r="G74">
        <f t="shared" ca="1" si="6"/>
        <v>0</v>
      </c>
      <c r="H74">
        <f t="shared" ca="1" si="7"/>
        <v>0</v>
      </c>
      <c r="I74">
        <f t="shared" ca="1" si="8"/>
        <v>0</v>
      </c>
      <c r="J74">
        <f t="shared" ca="1" si="34"/>
        <v>0</v>
      </c>
      <c r="K74">
        <f ca="1">IF(OR($C74="S",$C74=0),0,MATCH(OFFSET($D74,0,$C74)+IF($C74&lt;&gt;1,1,COUNTIF(QCI!$A$13:$A$24,ORÇAMENTO!E74)),OFFSET($D74,1,$C74,ROW($C$120)-ROW($C74)),0))</f>
        <v>0</v>
      </c>
      <c r="L74" s="113" t="str">
        <f t="shared" ca="1" si="10"/>
        <v/>
      </c>
      <c r="M74" s="114" t="s">
        <v>199</v>
      </c>
      <c r="N74" s="115" t="str">
        <f t="shared" ca="1" si="11"/>
        <v>Serviço</v>
      </c>
      <c r="O74" s="116" t="str">
        <f t="shared" ca="1" si="12"/>
        <v>-</v>
      </c>
      <c r="P74" s="117" t="s">
        <v>247</v>
      </c>
      <c r="Q74" s="118" t="s">
        <v>519</v>
      </c>
      <c r="R74" s="119" t="str">
        <f ca="1">IF($C74="S",REFERENCIA.Descricao,"(digite a descrição aqui)")</f>
        <v>(abra o arquivo 'Referência 10-2024.xlsm)</v>
      </c>
      <c r="S74" s="120" t="str">
        <f ca="1">REFERENCIA.Unidade</f>
        <v>-</v>
      </c>
      <c r="T74" s="121">
        <f ca="1">OFFSET(CÁLCULO!H$15,ROW($T74)-ROW(T$15),0)</f>
        <v>2</v>
      </c>
      <c r="U74" s="122">
        <f t="shared" ca="1" si="33"/>
        <v>0</v>
      </c>
      <c r="V74" s="123" t="s">
        <v>156</v>
      </c>
      <c r="W74" s="121">
        <f ca="1">IF($C74="S",ROUND(IF(TIPOORCAMENTO="Proposto",ORÇAMENTO.CustoUnitario*(1+$AH74),ORÇAMENTO.PrecoUnitarioLicitado),15-13*$AF$10),0)</f>
        <v>0</v>
      </c>
      <c r="X74" s="124">
        <f ca="1">IF($C74="S",IF(Import.TipoArredondamento&lt;&gt;"TransfereGOV",VTOTAL1,SUM(OFFSET(CÁLCULO!$AA$15,ROW($X74)-ROW($X$15),1):OFFSET(CÁLCULO!$AL$15,ROW($X74)-ROW($X$15),-1))),IF($C74=0,0,ROUND(SomaAgrup,15-13*$AF$11)))</f>
        <v>0</v>
      </c>
      <c r="Y74" s="125" t="s">
        <v>245</v>
      </c>
      <c r="Z74" t="str">
        <f t="shared" ca="1" si="13"/>
        <v/>
      </c>
      <c r="AA74" s="126">
        <f ca="1">IF($C74="S",IF($Z74="CP",$X74,IF($Z74="RA",(($X74)*QCI!$AA$3),0)),SomaAgrup)</f>
        <v>0</v>
      </c>
      <c r="AB74" s="127">
        <f t="shared" ca="1" si="14"/>
        <v>0</v>
      </c>
      <c r="AC74" s="128" t="str">
        <f ca="1">IF($N74="","",IF(ORÇAMENTO.Descricao="","DESCRIÇÃO",IF(AND($C74="S",ORÇAMENTO.Unidade=""),"UNIDADE",IF($X74&lt;0,"VALOR NEGATIVO",IF(OR(AND(TIPOORCAMENTO="Proposto",$AG74&lt;&gt;"",$AG74&gt;0,ORÇAMENTO.CustoUnitario&gt;$AG74),AND(TIPOORCAMENTO="LICITADO",ORÇAMENTO.PrecoUnitarioLicitado&gt;$AN74)),"ACIMA REF.","")))))</f>
        <v/>
      </c>
      <c r="AD74" t="str">
        <f ca="1">IF(C74&lt;=CRONO.NivelExibicao,MAX($AD$15:OFFSET(AD74,-1,0))+IF($C74&lt;&gt;1,1,MAX(1,COUNTIF(QCI!$A$13:$A$24,OFFSET($E74,-1,0)))),"")</f>
        <v/>
      </c>
      <c r="AE74" s="7" t="str">
        <f ca="1">IF(AND($C74="S",ORÇAMENTO.CodBarra&lt;&gt;""),IF(ORÇAMENTO.Fonte="",ORÇAMENTO.CodBarra,CONCATENATE(ORÇAMENTO.Fonte," ",ORÇAMENTO.CodBarra)))</f>
        <v>SINAPI 90791</v>
      </c>
      <c r="AF74" s="13" t="str">
        <f ca="1">IF(ISERROR(INDIRECT(ORÇAMENTO.BancoRef)),"(abra o arquivo 'Referência "&amp;Excel_BuiltIn_Database&amp;".xlsm)",IF(OR($C74&lt;&gt;"S",ORÇAMENTO.CodBarra=""),"(Sem Código)",IF(ISERROR(MATCH($AE74,INDIRECT(ORÇAMENTO.BancoRef),0)),"(Código não identificado nas referências)",MATCH($AE74,INDIRECT(ORÇAMENTO.BancoRef),0))))</f>
        <v>(abra o arquivo 'Referência 10-2024.xlsm)</v>
      </c>
      <c r="AG74" s="495">
        <f ca="1">ROUND(IF(DESONERACAO="sim",REFERENCIA.Desonerado,REFERENCIA.NaoDesonerado),2)</f>
        <v>0</v>
      </c>
      <c r="AH74" s="496">
        <f t="shared" ca="1" si="15"/>
        <v>0.20710000000000001</v>
      </c>
      <c r="AJ74" s="498">
        <v>2</v>
      </c>
      <c r="AL74" s="524"/>
      <c r="AM74" s="378">
        <f t="shared" ca="1" si="0"/>
        <v>0</v>
      </c>
      <c r="AN74" s="563">
        <f t="shared" ca="1" si="16"/>
        <v>0</v>
      </c>
    </row>
    <row r="75" spans="1:40" ht="51" x14ac:dyDescent="0.2">
      <c r="A75" t="str">
        <f>CHOOSE(1+LOG(1+2*(ORÇAMENTO.Nivel="Meta")+4*(ORÇAMENTO.Nivel="Nível 2")+8*(ORÇAMENTO.Nivel="Nível 3")+16*(ORÇAMENTO.Nivel="Nível 4")+32*(ORÇAMENTO.Nivel="Serviço"),2),0,1,2,3,4,"S")</f>
        <v>S</v>
      </c>
      <c r="B75">
        <f ca="1">IF(OR(C75="s",C75=0),OFFSET(B75,-1,0),C75)</f>
        <v>2</v>
      </c>
      <c r="C75" t="str">
        <f ca="1">IF(OFFSET(C75,-1,0)="L",1,IF(OFFSET(C75,-1,0)=1,2,IF(OR(A75="s",A75=0),"S",IF(AND(OFFSET(C75,-1,0)=2,A75=4),3,IF(AND(OR(OFFSET(C75,-1,0)="s",OFFSET(C75,-1,0)=0),A75&lt;&gt;"s",A75&gt;OFFSET(B75,-1,0)),OFFSET(B75,-1,0),A75)))))</f>
        <v>S</v>
      </c>
      <c r="D75">
        <f ca="1">IF(OR(C75="S",C75=0),0,IF(ISERROR(K75),J75,SMALL(J75:K75,1)))</f>
        <v>0</v>
      </c>
      <c r="E75">
        <f ca="1">IF($C75=1,OFFSET(E75,-1,0)+MAX(1,COUNTIF(QCI!$A$13:$A$24,OFFSET(ORÇAMENTO!E75,-1,0))),OFFSET(E75,-1,0))</f>
        <v>1</v>
      </c>
      <c r="F75">
        <f ca="1">IF($C75=1,0,IF($C75=2,OFFSET(F75,-1,0)+1,OFFSET(F75,-1,0)))</f>
        <v>11</v>
      </c>
      <c r="G75">
        <f ca="1">IF(AND($C75&lt;=2,$C75&lt;&gt;0),0,IF($C75=3,OFFSET(G75,-1,0)+1,OFFSET(G75,-1,0)))</f>
        <v>0</v>
      </c>
      <c r="H75">
        <f ca="1">IF(AND($C75&lt;=3,$C75&lt;&gt;0),0,IF($C75=4,OFFSET(H75,-1,0)+1,OFFSET(H75,-1,0)))</f>
        <v>0</v>
      </c>
      <c r="I75">
        <f ca="1">IF(AND($C75&lt;=4,$C75&lt;&gt;0),0,IF(AND($C75="S",$X75&gt;0),OFFSET(I75,-1,0)+1,OFFSET(I75,-1,0)))</f>
        <v>0</v>
      </c>
      <c r="J75">
        <f t="shared" ca="1" si="34"/>
        <v>0</v>
      </c>
      <c r="K75">
        <f ca="1">IF(OR($C75="S",$C75=0),0,MATCH(OFFSET($D75,0,$C75)+IF($C75&lt;&gt;1,1,COUNTIF(QCI!$A$13:$A$24,ORÇAMENTO!E75)),OFFSET($D75,1,$C75,ROW($C$120)-ROW($C75)),0))</f>
        <v>0</v>
      </c>
      <c r="L75" s="113" t="str">
        <f ca="1">IF(OR($X75&gt;0,$C75=1,$C75=2,$C75=3,$C75=4),"F","")</f>
        <v/>
      </c>
      <c r="M75" s="114" t="s">
        <v>199</v>
      </c>
      <c r="N75" s="115" t="str">
        <f ca="1">CHOOSE(1+LOG(1+2*(C75=1)+4*(C75=2)+8*(C75=3)+16*(C75=4)+32*(C75="S"),2),"","Meta","Nível 2","Nível 3","Nível 4","Serviço")</f>
        <v>Serviço</v>
      </c>
      <c r="O75" s="116" t="str">
        <f ca="1">IF(OR($C75=0,$L75=""),"-",CONCATENATE(E75&amp;".",IF(AND($A$5&gt;=2,$C75&gt;=2),F75&amp;".",""),IF(AND($A$5&gt;=3,$C75&gt;=3),G75&amp;".",""),IF(AND($A$5&gt;=4,$C75&gt;=4),H75&amp;".",""),IF($C75="S",I75&amp;".","")))</f>
        <v>-</v>
      </c>
      <c r="P75" s="117" t="s">
        <v>456</v>
      </c>
      <c r="Q75" s="118" t="s">
        <v>549</v>
      </c>
      <c r="R75" s="119" t="str">
        <f ca="1">IF($C75="S",REFERENCIA.Descricao,"(digite a descrição aqui)")</f>
        <v>(abra o arquivo 'Referência 10-2024.xlsm)</v>
      </c>
      <c r="S75" s="120" t="str">
        <f ca="1">REFERENCIA.Unidade</f>
        <v>-</v>
      </c>
      <c r="T75" s="121">
        <f ca="1">OFFSET(CÁLCULO!H$15,ROW($T75)-ROW(T$15),0)</f>
        <v>4</v>
      </c>
      <c r="U75" s="122">
        <f t="shared" ca="1" si="33"/>
        <v>0</v>
      </c>
      <c r="V75" s="123" t="s">
        <v>156</v>
      </c>
      <c r="W75" s="121">
        <f ca="1">IF($C75="S",ROUND(IF(TIPOORCAMENTO="Proposto",ORÇAMENTO.CustoUnitario*(1+$AH75),ORÇAMENTO.PrecoUnitarioLicitado),15-13*$AF$10),0)</f>
        <v>0</v>
      </c>
      <c r="X75" s="124">
        <f ca="1">IF($C75="S",IF(Import.TipoArredondamento&lt;&gt;"TransfereGOV",VTOTAL1,SUM(OFFSET(CÁLCULO!$AA$15,ROW($X75)-ROW($X$15),1):OFFSET(CÁLCULO!$AL$15,ROW($X75)-ROW($X$15),-1))),IF($C75=0,0,ROUND(SomaAgrup,15-13*$AF$11)))</f>
        <v>0</v>
      </c>
      <c r="Y75" s="125" t="s">
        <v>245</v>
      </c>
      <c r="Z75" t="str">
        <f ca="1">IF(AND($C75="S",$X75&gt;0),IF(ISBLANK($Y75),"RA",LEFT($Y75,2)),"")</f>
        <v/>
      </c>
      <c r="AA75" s="126">
        <f ca="1">IF($C75="S",IF($Z75="CP",$X75,IF($Z75="RA",(($X75)*QCI!$AA$3),0)),SomaAgrup)</f>
        <v>0</v>
      </c>
      <c r="AB75" s="127">
        <f ca="1">IF($C75="S",IF($Z75="OU",ROUND($X75,2),0),SomaAgrup)</f>
        <v>0</v>
      </c>
      <c r="AC75" s="128" t="str">
        <f ca="1">IF($N75="","",IF(ORÇAMENTO.Descricao="","DESCRIÇÃO",IF(AND($C75="S",ORÇAMENTO.Unidade=""),"UNIDADE",IF($X75&lt;0,"VALOR NEGATIVO",IF(OR(AND(TIPOORCAMENTO="Proposto",$AG75&lt;&gt;"",$AG75&gt;0,ORÇAMENTO.CustoUnitario&gt;$AG75),AND(TIPOORCAMENTO="LICITADO",ORÇAMENTO.PrecoUnitarioLicitado&gt;$AN75)),"ACIMA REF.","")))))</f>
        <v/>
      </c>
      <c r="AD75" t="str">
        <f ca="1">IF(C75&lt;=CRONO.NivelExibicao,MAX($AD$15:OFFSET(AD75,-1,0))+IF($C75&lt;&gt;1,1,MAX(1,COUNTIF(QCI!$A$13:$A$24,OFFSET($E75,-1,0)))),"")</f>
        <v/>
      </c>
      <c r="AE75" s="7" t="str">
        <f ca="1">IF(AND($C75="S",ORÇAMENTO.CodBarra&lt;&gt;""),IF(ORÇAMENTO.Fonte="",ORÇAMENTO.CodBarra,CONCATENATE(ORÇAMENTO.Fonte," ",ORÇAMENTO.CodBarra)))</f>
        <v>SINAPI-I 4992</v>
      </c>
      <c r="AF75" s="13" t="str">
        <f ca="1">IF(ISERROR(INDIRECT(ORÇAMENTO.BancoRef)),"(abra o arquivo 'Referência "&amp;Excel_BuiltIn_Database&amp;".xlsm)",IF(OR($C75&lt;&gt;"S",ORÇAMENTO.CodBarra=""),"(Sem Código)",IF(ISERROR(MATCH($AE75,INDIRECT(ORÇAMENTO.BancoRef),0)),"(Código não identificado nas referências)",MATCH($AE75,INDIRECT(ORÇAMENTO.BancoRef),0))))</f>
        <v>(abra o arquivo 'Referência 10-2024.xlsm)</v>
      </c>
      <c r="AG75" s="495">
        <f ca="1">ROUND(IF(DESONERACAO="sim",REFERENCIA.Desonerado,REFERENCIA.NaoDesonerado),2)</f>
        <v>0</v>
      </c>
      <c r="AH75" s="496">
        <f ca="1">ROUND(IF(ISNUMBER(ORÇAMENTO.OpcaoBDI),ORÇAMENTO.OpcaoBDI,IF(LEFT(ORÇAMENTO.OpcaoBDI,3)="BDI",HLOOKUP(ORÇAMENTO.OpcaoBDI,$F$4:$H$5,2,FALSE),0)),15-11*$AF$9)</f>
        <v>0.20710000000000001</v>
      </c>
      <c r="AJ75" s="498">
        <v>4</v>
      </c>
      <c r="AL75" s="524"/>
      <c r="AM75" s="378">
        <f t="shared" ca="1" si="0"/>
        <v>0</v>
      </c>
      <c r="AN75" s="563">
        <f ca="1">ROUND(ORÇAMENTO.CustoUnitario*(1+$AH75),2)</f>
        <v>0</v>
      </c>
    </row>
    <row r="76" spans="1:40" ht="5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11</v>
      </c>
      <c r="G76">
        <f t="shared" ca="1" si="6"/>
        <v>0</v>
      </c>
      <c r="H76">
        <f t="shared" ca="1" si="7"/>
        <v>0</v>
      </c>
      <c r="I76">
        <f t="shared" ca="1" si="8"/>
        <v>0</v>
      </c>
      <c r="J76">
        <f t="shared" ca="1" si="34"/>
        <v>0</v>
      </c>
      <c r="K76">
        <f ca="1">IF(OR($C76="S",$C76=0),0,MATCH(OFFSET($D76,0,$C76)+IF($C76&lt;&gt;1,1,COUNTIF(QCI!$A$13:$A$24,ORÇAMENTO!E76)),OFFSET($D76,1,$C76,ROW($C$120)-ROW($C76)),0))</f>
        <v>0</v>
      </c>
      <c r="L76" s="113" t="str">
        <f t="shared" ca="1" si="10"/>
        <v/>
      </c>
      <c r="M76" s="114" t="s">
        <v>199</v>
      </c>
      <c r="N76" s="115" t="str">
        <f t="shared" ca="1" si="11"/>
        <v>Serviço</v>
      </c>
      <c r="O76" s="116" t="str">
        <f t="shared" ca="1" si="12"/>
        <v>-</v>
      </c>
      <c r="P76" s="117" t="s">
        <v>247</v>
      </c>
      <c r="Q76" s="118" t="s">
        <v>510</v>
      </c>
      <c r="R76" s="119" t="str">
        <f ca="1">IF($C76="S",REFERENCIA.Descricao,"(digite a descrição aqui)")</f>
        <v>(abra o arquivo 'Referência 10-2024.xlsm)</v>
      </c>
      <c r="S76" s="120" t="str">
        <f ca="1">REFERENCIA.Unidade</f>
        <v>-</v>
      </c>
      <c r="T76" s="121">
        <f ca="1">OFFSET(CÁLCULO!H$15,ROW($T76)-ROW(T$15),0)</f>
        <v>3.49</v>
      </c>
      <c r="U76" s="122">
        <f t="shared" ca="1" si="33"/>
        <v>0</v>
      </c>
      <c r="V76" s="123" t="s">
        <v>156</v>
      </c>
      <c r="W76" s="121">
        <f ca="1">IF($C76="S",ROUND(IF(TIPOORCAMENTO="Proposto",ORÇAMENTO.CustoUnitario*(1+$AH76),ORÇAMENTO.PrecoUnitarioLicitado),15-13*$AF$10),0)</f>
        <v>0</v>
      </c>
      <c r="X76" s="124">
        <f ca="1">IF($C76="S",IF(Import.TipoArredondamento&lt;&gt;"TransfereGOV",VTOTAL1,SUM(OFFSET(CÁLCULO!$AA$15,ROW($X76)-ROW($X$15),1):OFFSET(CÁLCULO!$AL$15,ROW($X76)-ROW($X$15),-1))),IF($C76=0,0,ROUND(SomaAgrup,15-13*$AF$11)))</f>
        <v>0</v>
      </c>
      <c r="Y76" s="125" t="s">
        <v>245</v>
      </c>
      <c r="Z76" t="str">
        <f t="shared" ca="1" si="13"/>
        <v/>
      </c>
      <c r="AA76" s="126">
        <f ca="1">IF($C76="S",IF($Z76="CP",$X76,IF($Z76="RA",(($X76)*QCI!$AA$3),0)),SomaAgrup)</f>
        <v>0</v>
      </c>
      <c r="AB76" s="127">
        <f t="shared" ca="1" si="14"/>
        <v>0</v>
      </c>
      <c r="AC76" s="128" t="str">
        <f ca="1">IF($N76="","",IF(ORÇAMENTO.Descricao="","DESCRIÇÃO",IF(AND($C76="S",ORÇAMENTO.Unidade=""),"UNIDADE",IF($X76&lt;0,"VALOR NEGATIVO",IF(OR(AND(TIPOORCAMENTO="Proposto",$AG76&lt;&gt;"",$AG76&gt;0,ORÇAMENTO.CustoUnitario&gt;$AG76),AND(TIPOORCAMENTO="LICITADO",ORÇAMENTO.PrecoUnitarioLicitado&gt;$AN76)),"ACIMA REF.","")))))</f>
        <v/>
      </c>
      <c r="AD76" t="str">
        <f ca="1">IF(C76&lt;=CRONO.NivelExibicao,MAX($AD$15:OFFSET(AD76,-1,0))+IF($C76&lt;&gt;1,1,MAX(1,COUNTIF(QCI!$A$13:$A$24,OFFSET($E76,-1,0)))),"")</f>
        <v/>
      </c>
      <c r="AE76" s="7" t="str">
        <f ca="1">IF(AND($C76="S",ORÇAMENTO.CodBarra&lt;&gt;""),IF(ORÇAMENTO.Fonte="",ORÇAMENTO.CodBarra,CONCATENATE(ORÇAMENTO.Fonte," ",ORÇAMENTO.CodBarra)))</f>
        <v>SINAPI 94559</v>
      </c>
      <c r="AF76" s="13" t="str">
        <f ca="1">IF(ISERROR(INDIRECT(ORÇAMENTO.BancoRef)),"(abra o arquivo 'Referência "&amp;Excel_BuiltIn_Database&amp;".xlsm)",IF(OR($C76&lt;&gt;"S",ORÇAMENTO.CodBarra=""),"(Sem Código)",IF(ISERROR(MATCH($AE76,INDIRECT(ORÇAMENTO.BancoRef),0)),"(Código não identificado nas referências)",MATCH($AE76,INDIRECT(ORÇAMENTO.BancoRef),0))))</f>
        <v>(abra o arquivo 'Referência 10-2024.xlsm)</v>
      </c>
      <c r="AG76" s="495">
        <f ca="1">ROUND(IF(DESONERACAO="sim",REFERENCIA.Desonerado,REFERENCIA.NaoDesonerado),2)</f>
        <v>0</v>
      </c>
      <c r="AH76" s="496">
        <f t="shared" ca="1" si="15"/>
        <v>0.20710000000000001</v>
      </c>
      <c r="AJ76" s="498">
        <v>3.49</v>
      </c>
      <c r="AL76" s="524"/>
      <c r="AM76" s="378">
        <f t="shared" ca="1" si="0"/>
        <v>0</v>
      </c>
      <c r="AN76" s="563">
        <f t="shared" ca="1" si="16"/>
        <v>0</v>
      </c>
    </row>
    <row r="77" spans="1:40" ht="38.2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11</v>
      </c>
      <c r="G77">
        <f t="shared" ca="1" si="6"/>
        <v>0</v>
      </c>
      <c r="H77">
        <f t="shared" ca="1" si="7"/>
        <v>0</v>
      </c>
      <c r="I77">
        <f t="shared" ca="1" si="8"/>
        <v>0</v>
      </c>
      <c r="J77">
        <f t="shared" ca="1" si="34"/>
        <v>0</v>
      </c>
      <c r="K77">
        <f ca="1">IF(OR($C77="S",$C77=0),0,MATCH(OFFSET($D77,0,$C77)+IF($C77&lt;&gt;1,1,COUNTIF(QCI!$A$13:$A$24,ORÇAMENTO!E77)),OFFSET($D77,1,$C77,ROW($C$120)-ROW($C77)),0))</f>
        <v>0</v>
      </c>
      <c r="L77" s="113" t="str">
        <f t="shared" ca="1" si="10"/>
        <v/>
      </c>
      <c r="M77" s="114" t="s">
        <v>199</v>
      </c>
      <c r="N77" s="115" t="str">
        <f t="shared" ca="1" si="11"/>
        <v>Serviço</v>
      </c>
      <c r="O77" s="116" t="str">
        <f t="shared" ca="1" si="12"/>
        <v>-</v>
      </c>
      <c r="P77" s="117" t="s">
        <v>247</v>
      </c>
      <c r="Q77" s="118" t="s">
        <v>511</v>
      </c>
      <c r="R77" s="119" t="str">
        <f ca="1">IF($C77="S",REFERENCIA.Descricao,"(digite a descrição aqui)")</f>
        <v>(abra o arquivo 'Referência 10-2024.xlsm)</v>
      </c>
      <c r="S77" s="120" t="str">
        <f ca="1">REFERENCIA.Unidade</f>
        <v>-</v>
      </c>
      <c r="T77" s="121">
        <f ca="1">OFFSET(CÁLCULO!H$15,ROW($T77)-ROW(T$15),0)</f>
        <v>0.36</v>
      </c>
      <c r="U77" s="122">
        <f t="shared" ca="1" si="33"/>
        <v>0</v>
      </c>
      <c r="V77" s="123" t="s">
        <v>156</v>
      </c>
      <c r="W77" s="121">
        <f ca="1">IF($C77="S",ROUND(IF(TIPOORCAMENTO="Proposto",ORÇAMENTO.CustoUnitario*(1+$AH77),ORÇAMENTO.PrecoUnitarioLicitado),15-13*$AF$10),0)</f>
        <v>0</v>
      </c>
      <c r="X77" s="124">
        <f ca="1">IF($C77="S",IF(Import.TipoArredondamento&lt;&gt;"TransfereGOV",VTOTAL1,SUM(OFFSET(CÁLCULO!$AA$15,ROW($X77)-ROW($X$15),1):OFFSET(CÁLCULO!$AL$15,ROW($X77)-ROW($X$15),-1))),IF($C77=0,0,ROUND(SomaAgrup,15-13*$AF$11)))</f>
        <v>0</v>
      </c>
      <c r="Y77" s="125" t="s">
        <v>245</v>
      </c>
      <c r="Z77" t="str">
        <f t="shared" ca="1" si="13"/>
        <v/>
      </c>
      <c r="AA77" s="126">
        <f ca="1">IF($C77="S",IF($Z77="CP",$X77,IF($Z77="RA",(($X77)*QCI!$AA$3),0)),SomaAgrup)</f>
        <v>0</v>
      </c>
      <c r="AB77" s="127">
        <f t="shared" ca="1" si="14"/>
        <v>0</v>
      </c>
      <c r="AC77" s="128" t="str">
        <f ca="1">IF($N77="","",IF(ORÇAMENTO.Descricao="","DESCRIÇÃO",IF(AND($C77="S",ORÇAMENTO.Unidade=""),"UNIDADE",IF($X77&lt;0,"VALOR NEGATIVO",IF(OR(AND(TIPOORCAMENTO="Proposto",$AG77&lt;&gt;"",$AG77&gt;0,ORÇAMENTO.CustoUnitario&gt;$AG77),AND(TIPOORCAMENTO="LICITADO",ORÇAMENTO.PrecoUnitarioLicitado&gt;$AN77)),"ACIMA REF.","")))))</f>
        <v/>
      </c>
      <c r="AD77" t="str">
        <f ca="1">IF(C77&lt;=CRONO.NivelExibicao,MAX($AD$15:OFFSET(AD77,-1,0))+IF($C77&lt;&gt;1,1,MAX(1,COUNTIF(QCI!$A$13:$A$24,OFFSET($E77,-1,0)))),"")</f>
        <v/>
      </c>
      <c r="AE77" s="7" t="str">
        <f ca="1">IF(AND($C77="S",ORÇAMENTO.CodBarra&lt;&gt;""),IF(ORÇAMENTO.Fonte="",ORÇAMENTO.CodBarra,CONCATENATE(ORÇAMENTO.Fonte," ",ORÇAMENTO.CodBarra)))</f>
        <v>SINAPI 94569</v>
      </c>
      <c r="AF77" s="13" t="str">
        <f ca="1">IF(ISERROR(INDIRECT(ORÇAMENTO.BancoRef)),"(abra o arquivo 'Referência "&amp;Excel_BuiltIn_Database&amp;".xlsm)",IF(OR($C77&lt;&gt;"S",ORÇAMENTO.CodBarra=""),"(Sem Código)",IF(ISERROR(MATCH($AE77,INDIRECT(ORÇAMENTO.BancoRef),0)),"(Código não identificado nas referências)",MATCH($AE77,INDIRECT(ORÇAMENTO.BancoRef),0))))</f>
        <v>(abra o arquivo 'Referência 10-2024.xlsm)</v>
      </c>
      <c r="AG77" s="495">
        <f ca="1">ROUND(IF(DESONERACAO="sim",REFERENCIA.Desonerado,REFERENCIA.NaoDesonerado),2)</f>
        <v>0</v>
      </c>
      <c r="AH77" s="496">
        <f t="shared" ca="1" si="15"/>
        <v>0.20710000000000001</v>
      </c>
      <c r="AJ77" s="498">
        <v>0.36</v>
      </c>
      <c r="AL77" s="524"/>
      <c r="AM77" s="378">
        <f t="shared" ca="1" si="0"/>
        <v>0</v>
      </c>
      <c r="AN77" s="563">
        <f t="shared" ca="1" si="16"/>
        <v>0</v>
      </c>
    </row>
    <row r="78" spans="1:40" ht="38.2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11</v>
      </c>
      <c r="G78">
        <f t="shared" ca="1" si="6"/>
        <v>0</v>
      </c>
      <c r="H78">
        <f t="shared" ca="1" si="7"/>
        <v>0</v>
      </c>
      <c r="I78">
        <f t="shared" ca="1" si="8"/>
        <v>0</v>
      </c>
      <c r="J78">
        <f t="shared" ca="1" si="34"/>
        <v>0</v>
      </c>
      <c r="K78">
        <f ca="1">IF(OR($C78="S",$C78=0),0,MATCH(OFFSET($D78,0,$C78)+IF($C78&lt;&gt;1,1,COUNTIF(QCI!$A$13:$A$24,ORÇAMENTO!E78)),OFFSET($D78,1,$C78,ROW($C$120)-ROW($C78)),0))</f>
        <v>0</v>
      </c>
      <c r="L78" s="113" t="str">
        <f t="shared" ca="1" si="10"/>
        <v/>
      </c>
      <c r="M78" s="114" t="s">
        <v>199</v>
      </c>
      <c r="N78" s="115" t="str">
        <f t="shared" ca="1" si="11"/>
        <v>Serviço</v>
      </c>
      <c r="O78" s="116" t="str">
        <f t="shared" ca="1" si="12"/>
        <v>-</v>
      </c>
      <c r="P78" s="117" t="s">
        <v>247</v>
      </c>
      <c r="Q78" s="118" t="s">
        <v>517</v>
      </c>
      <c r="R78" s="119" t="str">
        <f ca="1">IF($C78="S",REFERENCIA.Descricao,"(digite a descrição aqui)")</f>
        <v>(abra o arquivo 'Referência 10-2024.xlsm)</v>
      </c>
      <c r="S78" s="120" t="str">
        <f ca="1">REFERENCIA.Unidade</f>
        <v>-</v>
      </c>
      <c r="T78" s="121">
        <f ca="1">OFFSET(CÁLCULO!H$15,ROW($T78)-ROW(T$15),0)</f>
        <v>1.05</v>
      </c>
      <c r="U78" s="122">
        <f t="shared" ca="1" si="33"/>
        <v>0</v>
      </c>
      <c r="V78" s="123" t="s">
        <v>156</v>
      </c>
      <c r="W78" s="121">
        <f ca="1">IF($C78="S",ROUND(IF(TIPOORCAMENTO="Proposto",ORÇAMENTO.CustoUnitario*(1+$AH78),ORÇAMENTO.PrecoUnitarioLicitado),15-13*$AF$10),0)</f>
        <v>0</v>
      </c>
      <c r="X78" s="124">
        <f ca="1">IF($C78="S",IF(Import.TipoArredondamento&lt;&gt;"TransfereGOV",VTOTAL1,SUM(OFFSET(CÁLCULO!$AA$15,ROW($X78)-ROW($X$15),1):OFFSET(CÁLCULO!$AL$15,ROW($X78)-ROW($X$15),-1))),IF($C78=0,0,ROUND(SomaAgrup,15-13*$AF$11)))</f>
        <v>0</v>
      </c>
      <c r="Y78" s="125" t="s">
        <v>245</v>
      </c>
      <c r="Z78" t="str">
        <f t="shared" ca="1" si="13"/>
        <v/>
      </c>
      <c r="AA78" s="126">
        <f ca="1">IF($C78="S",IF($Z78="CP",$X78,IF($Z78="RA",(($X78)*QCI!$AA$3),0)),SomaAgrup)</f>
        <v>0</v>
      </c>
      <c r="AB78" s="127">
        <f t="shared" ca="1" si="14"/>
        <v>0</v>
      </c>
      <c r="AC78" s="128" t="str">
        <f ca="1">IF($N78="","",IF(ORÇAMENTO.Descricao="","DESCRIÇÃO",IF(AND($C78="S",ORÇAMENTO.Unidade=""),"UNIDADE",IF($X78&lt;0,"VALOR NEGATIVO",IF(OR(AND(TIPOORCAMENTO="Proposto",$AG78&lt;&gt;"",$AG78&gt;0,ORÇAMENTO.CustoUnitario&gt;$AG78),AND(TIPOORCAMENTO="LICITADO",ORÇAMENTO.PrecoUnitarioLicitado&gt;$AN78)),"ACIMA REF.","")))))</f>
        <v/>
      </c>
      <c r="AD78" t="str">
        <f ca="1">IF(C78&lt;=CRONO.NivelExibicao,MAX($AD$15:OFFSET(AD78,-1,0))+IF($C78&lt;&gt;1,1,MAX(1,COUNTIF(QCI!$A$13:$A$24,OFFSET($E78,-1,0)))),"")</f>
        <v/>
      </c>
      <c r="AE78" s="7" t="str">
        <f ca="1">IF(AND($C78="S",ORÇAMENTO.CodBarra&lt;&gt;""),IF(ORÇAMENTO.Fonte="",ORÇAMENTO.CodBarra,CONCATENATE(ORÇAMENTO.Fonte," ",ORÇAMENTO.CodBarra)))</f>
        <v>SINAPI 91341</v>
      </c>
      <c r="AF78" s="13" t="str">
        <f ca="1">IF(ISERROR(INDIRECT(ORÇAMENTO.BancoRef)),"(abra o arquivo 'Referência "&amp;Excel_BuiltIn_Database&amp;".xlsm)",IF(OR($C78&lt;&gt;"S",ORÇAMENTO.CodBarra=""),"(Sem Código)",IF(ISERROR(MATCH($AE78,INDIRECT(ORÇAMENTO.BancoRef),0)),"(Código não identificado nas referências)",MATCH($AE78,INDIRECT(ORÇAMENTO.BancoRef),0))))</f>
        <v>(abra o arquivo 'Referência 10-2024.xlsm)</v>
      </c>
      <c r="AG78" s="495">
        <f ca="1">ROUND(IF(DESONERACAO="sim",REFERENCIA.Desonerado,REFERENCIA.NaoDesonerado),2)</f>
        <v>0</v>
      </c>
      <c r="AH78" s="496">
        <f t="shared" ca="1" si="15"/>
        <v>0.20710000000000001</v>
      </c>
      <c r="AJ78" s="498">
        <v>1.05</v>
      </c>
      <c r="AL78" s="524"/>
      <c r="AM78" s="378">
        <f t="shared" ca="1" si="0"/>
        <v>0</v>
      </c>
      <c r="AN78" s="563">
        <f t="shared" ca="1" si="16"/>
        <v>0</v>
      </c>
    </row>
    <row r="79" spans="1:40" x14ac:dyDescent="0.2">
      <c r="A79">
        <f t="shared" si="1"/>
        <v>2</v>
      </c>
      <c r="B79">
        <f t="shared" ca="1" si="2"/>
        <v>2</v>
      </c>
      <c r="C79">
        <f t="shared" ca="1" si="3"/>
        <v>2</v>
      </c>
      <c r="D79">
        <f t="shared" ca="1" si="4"/>
        <v>12</v>
      </c>
      <c r="E79">
        <f ca="1">IF($C79=1,OFFSET(E79,-1,0)+MAX(1,COUNTIF(QCI!$A$13:$A$24,OFFSET(ORÇAMENTO!E79,-1,0))),OFFSET(E79,-1,0))</f>
        <v>1</v>
      </c>
      <c r="F79">
        <f t="shared" ca="1" si="5"/>
        <v>12</v>
      </c>
      <c r="G79">
        <f t="shared" ca="1" si="6"/>
        <v>0</v>
      </c>
      <c r="H79">
        <f t="shared" ca="1" si="7"/>
        <v>0</v>
      </c>
      <c r="I79">
        <f t="shared" ca="1" si="8"/>
        <v>0</v>
      </c>
      <c r="J79">
        <f t="shared" ca="1" si="34"/>
        <v>41</v>
      </c>
      <c r="K79">
        <f ca="1">IF(OR($C79="S",$C79=0),0,MATCH(OFFSET($D79,0,$C79)+IF($C79&lt;&gt;1,1,COUNTIF(QCI!$A$13:$A$24,ORÇAMENTO!E79)),OFFSET($D79,1,$C79,ROW($C$120)-ROW($C79)),0))</f>
        <v>12</v>
      </c>
      <c r="L79" s="113" t="str">
        <f t="shared" ca="1" si="10"/>
        <v>F</v>
      </c>
      <c r="M79" s="114" t="s">
        <v>196</v>
      </c>
      <c r="N79" s="115" t="str">
        <f t="shared" ca="1" si="11"/>
        <v>Nível 2</v>
      </c>
      <c r="O79" s="116" t="str">
        <f t="shared" ca="1" si="12"/>
        <v>1.12.</v>
      </c>
      <c r="P79" s="117" t="s">
        <v>247</v>
      </c>
      <c r="Q79" s="118"/>
      <c r="R79" s="119" t="s">
        <v>499</v>
      </c>
      <c r="S79" s="120" t="str">
        <f ca="1">REFERENCIA.Unidade</f>
        <v>-</v>
      </c>
      <c r="T79" s="121">
        <f ca="1">OFFSET(CÁLCULO!H$15,ROW($T79)-ROW(T$15),0)</f>
        <v>0</v>
      </c>
      <c r="U79" s="122">
        <f t="shared" ca="1" si="33"/>
        <v>0</v>
      </c>
      <c r="V79" s="123" t="s">
        <v>156</v>
      </c>
      <c r="W79" s="121">
        <f ca="1">IF($C79="S",ROUND(IF(TIPOORCAMENTO="Proposto",ORÇAMENTO.CustoUnitario*(1+$AH79),ORÇAMENTO.PrecoUnitarioLicitado),15-13*$AF$10),0)</f>
        <v>0</v>
      </c>
      <c r="X79" s="124">
        <f ca="1">IF($C79="S",IF(Import.TipoArredondamento&lt;&gt;"TransfereGOV",VTOTAL1,SUM(OFFSET(CÁLCULO!$AA$15,ROW($X79)-ROW($X$15),1):OFFSET(CÁLCULO!$AL$15,ROW($X79)-ROW($X$15),-1))),IF($C79=0,0,ROUND(SomaAgrup,15-13*$AF$11)))</f>
        <v>0</v>
      </c>
      <c r="Y79" s="125" t="s">
        <v>245</v>
      </c>
      <c r="Z79" t="str">
        <f t="shared" ca="1" si="13"/>
        <v/>
      </c>
      <c r="AA79" s="126">
        <f ca="1">IF($C79="S",IF($Z79="CP",$X79,IF($Z79="RA",(($X79)*QCI!$AA$3),0)),SomaAgrup)</f>
        <v>0</v>
      </c>
      <c r="AB79" s="127">
        <f t="shared" ca="1" si="14"/>
        <v>0</v>
      </c>
      <c r="AC79" s="128" t="str">
        <f ca="1">IF($N79="","",IF(ORÇAMENTO.Descricao="","DESCRIÇÃO",IF(AND($C79="S",ORÇAMENTO.Unidade=""),"UNIDADE",IF($X79&lt;0,"VALOR NEGATIVO",IF(OR(AND(TIPOORCAMENTO="Proposto",$AG79&lt;&gt;"",$AG79&gt;0,ORÇAMENTO.CustoUnitario&gt;$AG79),AND(TIPOORCAMENTO="LICITADO",ORÇAMENTO.PrecoUnitarioLicitado&gt;$AN79)),"ACIMA REF.","")))))</f>
        <v/>
      </c>
      <c r="AD79">
        <f ca="1">IF(C79&lt;=CRONO.NivelExibicao,MAX($AD$15:OFFSET(AD79,-1,0))+IF($C79&lt;&gt;1,1,MAX(1,COUNTIF(QCI!$A$13:$A$24,OFFSET($E79,-1,0)))),"")</f>
        <v>13</v>
      </c>
      <c r="AE79" s="7" t="b">
        <f ca="1">IF(AND($C79="S",ORÇAMENTO.CodBarra&lt;&gt;""),IF(ORÇAMENTO.Fonte="",ORÇAMENTO.CodBarra,CONCATENATE(ORÇAMENTO.Fonte," ",ORÇAMENTO.CodBarra)))</f>
        <v>0</v>
      </c>
      <c r="AF79" s="13" t="str">
        <f ca="1">IF(ISERROR(INDIRECT(ORÇAMENTO.BancoRef)),"(abra o arquivo 'Referência "&amp;Excel_BuiltIn_Database&amp;".xlsm)",IF(OR($C79&lt;&gt;"S",ORÇAMENTO.CodBarra=""),"(Sem Código)",IF(ISERROR(MATCH($AE79,INDIRECT(ORÇAMENTO.BancoRef),0)),"(Código não identificado nas referências)",MATCH($AE79,INDIRECT(ORÇAMENTO.BancoRef),0))))</f>
        <v>(abra o arquivo 'Referência 10-2024.xlsm)</v>
      </c>
      <c r="AG79" s="495">
        <f ca="1">ROUND(IF(DESONERACAO="sim",REFERENCIA.Desonerado,REFERENCIA.NaoDesonerado),2)</f>
        <v>0</v>
      </c>
      <c r="AH79" s="496">
        <f t="shared" ca="1" si="15"/>
        <v>0.20710000000000001</v>
      </c>
      <c r="AJ79" s="498"/>
      <c r="AL79" s="524"/>
      <c r="AM79" s="378">
        <f t="shared" ca="1" si="0"/>
        <v>0</v>
      </c>
      <c r="AN79" s="563">
        <f t="shared" ca="1" si="16"/>
        <v>0</v>
      </c>
    </row>
    <row r="80" spans="1:40" ht="25.5" x14ac:dyDescent="0.2">
      <c r="A80" t="str">
        <f t="shared" si="1"/>
        <v>S</v>
      </c>
      <c r="B80">
        <f t="shared" ca="1" si="2"/>
        <v>2</v>
      </c>
      <c r="C80" t="str">
        <f t="shared" ca="1" si="3"/>
        <v>S</v>
      </c>
      <c r="D80">
        <f t="shared" ca="1" si="4"/>
        <v>0</v>
      </c>
      <c r="E80">
        <f ca="1">IF($C80=1,OFFSET(E80,-1,0)+MAX(1,COUNTIF(QCI!$A$13:$A$24,OFFSET(ORÇAMENTO!E80,-1,0))),OFFSET(E80,-1,0))</f>
        <v>1</v>
      </c>
      <c r="F80">
        <f t="shared" ca="1" si="5"/>
        <v>12</v>
      </c>
      <c r="G80">
        <f t="shared" ca="1" si="6"/>
        <v>0</v>
      </c>
      <c r="H80">
        <f t="shared" ca="1" si="7"/>
        <v>0</v>
      </c>
      <c r="I80">
        <f t="shared" ca="1" si="8"/>
        <v>0</v>
      </c>
      <c r="J80">
        <f t="shared" ref="J80:J111" ca="1" si="35">IF(OR($C80="S",$C80=0),0,MATCH(0,OFFSET($D80,1,$C80,ROW($C$120)-ROW($C80)),0))</f>
        <v>0</v>
      </c>
      <c r="K80">
        <f ca="1">IF(OR($C80="S",$C80=0),0,MATCH(OFFSET($D80,0,$C80)+IF($C80&lt;&gt;1,1,COUNTIF(QCI!$A$13:$A$24,ORÇAMENTO!E80)),OFFSET($D80,1,$C80,ROW($C$120)-ROW($C80)),0))</f>
        <v>0</v>
      </c>
      <c r="L80" s="113" t="str">
        <f t="shared" ca="1" si="10"/>
        <v/>
      </c>
      <c r="M80" s="114" t="s">
        <v>199</v>
      </c>
      <c r="N80" s="115" t="str">
        <f t="shared" ca="1" si="11"/>
        <v>Serviço</v>
      </c>
      <c r="O80" s="116" t="str">
        <f t="shared" ca="1" si="12"/>
        <v>-</v>
      </c>
      <c r="P80" s="117" t="s">
        <v>247</v>
      </c>
      <c r="Q80" s="118" t="s">
        <v>502</v>
      </c>
      <c r="R80" s="119" t="str">
        <f ca="1">IF($C80="S",REFERENCIA.Descricao,"(digite a descrição aqui)")</f>
        <v>(abra o arquivo 'Referência 10-2024.xlsm)</v>
      </c>
      <c r="S80" s="120" t="str">
        <f ca="1">REFERENCIA.Unidade</f>
        <v>-</v>
      </c>
      <c r="T80" s="121">
        <f ca="1">OFFSET(CÁLCULO!H$15,ROW($T80)-ROW(T$15),0)</f>
        <v>4</v>
      </c>
      <c r="U80" s="122">
        <f t="shared" ca="1" si="33"/>
        <v>0</v>
      </c>
      <c r="V80" s="123" t="s">
        <v>156</v>
      </c>
      <c r="W80" s="121">
        <f ca="1">IF($C80="S",ROUND(IF(TIPOORCAMENTO="Proposto",ORÇAMENTO.CustoUnitario*(1+$AH80),ORÇAMENTO.PrecoUnitarioLicitado),15-13*$AF$10),0)</f>
        <v>0</v>
      </c>
      <c r="X80" s="124">
        <f ca="1">IF($C80="S",IF(Import.TipoArredondamento&lt;&gt;"TransfereGOV",VTOTAL1,SUM(OFFSET(CÁLCULO!$AA$15,ROW($X80)-ROW($X$15),1):OFFSET(CÁLCULO!$AL$15,ROW($X80)-ROW($X$15),-1))),IF($C80=0,0,ROUND(SomaAgrup,15-13*$AF$11)))</f>
        <v>0</v>
      </c>
      <c r="Y80" s="125" t="s">
        <v>245</v>
      </c>
      <c r="Z80" t="str">
        <f t="shared" ca="1" si="13"/>
        <v/>
      </c>
      <c r="AA80" s="126">
        <f ca="1">IF($C80="S",IF($Z80="CP",$X80,IF($Z80="RA",(($X80)*QCI!$AA$3),0)),SomaAgrup)</f>
        <v>0</v>
      </c>
      <c r="AB80" s="127">
        <f t="shared" ca="1" si="14"/>
        <v>0</v>
      </c>
      <c r="AC80" s="128" t="str">
        <f ca="1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t="str">
        <f ca="1">IF(C80&lt;=CRONO.NivelExibicao,MAX($AD$15:OFFSET(AD80,-1,0))+IF($C80&lt;&gt;1,1,MAX(1,COUNTIF(QCI!$A$13:$A$24,OFFSET($E80,-1,0)))),"")</f>
        <v/>
      </c>
      <c r="AE80" s="7" t="str">
        <f ca="1">IF(AND($C80="S",ORÇAMENTO.CodBarra&lt;&gt;""),IF(ORÇAMENTO.Fonte="",ORÇAMENTO.CodBarra,CONCATENATE(ORÇAMENTO.Fonte," ",ORÇAMENTO.CodBarra)))</f>
        <v>SINAPI 100858</v>
      </c>
      <c r="AF80" s="13" t="str">
        <f ca="1">IF(ISERROR(INDIRECT(ORÇAMENTO.BancoRef)),"(abra o arquivo 'Referência "&amp;Excel_BuiltIn_Database&amp;".xlsm)",IF(OR($C80&lt;&gt;"S",ORÇAMENTO.CodBarra=""),"(Sem Código)",IF(ISERROR(MATCH($AE80,INDIRECT(ORÇAMENTO.BancoRef),0)),"(Código não identificado nas referências)",MATCH($AE80,INDIRECT(ORÇAMENTO.BancoRef),0))))</f>
        <v>(abra o arquivo 'Referência 10-2024.xlsm)</v>
      </c>
      <c r="AG80" s="495">
        <f ca="1">ROUND(IF(DESONERACAO="sim",REFERENCIA.Desonerado,REFERENCIA.NaoDesonerado),2)</f>
        <v>0</v>
      </c>
      <c r="AH80" s="496">
        <f t="shared" ca="1" si="15"/>
        <v>0.20710000000000001</v>
      </c>
      <c r="AJ80" s="498">
        <v>4</v>
      </c>
      <c r="AL80" s="524"/>
      <c r="AM80" s="378">
        <f t="shared" ca="1" si="0"/>
        <v>0</v>
      </c>
      <c r="AN80" s="563">
        <f t="shared" ca="1" si="16"/>
        <v>0</v>
      </c>
    </row>
    <row r="81" spans="1:40" ht="38.25" x14ac:dyDescent="0.2">
      <c r="A81" t="str">
        <f t="shared" si="1"/>
        <v>S</v>
      </c>
      <c r="B81">
        <f t="shared" ca="1" si="2"/>
        <v>2</v>
      </c>
      <c r="C81" t="str">
        <f t="shared" ca="1" si="3"/>
        <v>S</v>
      </c>
      <c r="D81">
        <f t="shared" ca="1" si="4"/>
        <v>0</v>
      </c>
      <c r="E81">
        <f ca="1">IF($C81=1,OFFSET(E81,-1,0)+MAX(1,COUNTIF(QCI!$A$13:$A$24,OFFSET(ORÇAMENTO!E81,-1,0))),OFFSET(E81,-1,0))</f>
        <v>1</v>
      </c>
      <c r="F81">
        <f t="shared" ca="1" si="5"/>
        <v>12</v>
      </c>
      <c r="G81">
        <f t="shared" ca="1" si="6"/>
        <v>0</v>
      </c>
      <c r="H81">
        <f t="shared" ca="1" si="7"/>
        <v>0</v>
      </c>
      <c r="I81">
        <f t="shared" ca="1" si="8"/>
        <v>0</v>
      </c>
      <c r="J81">
        <f t="shared" ca="1" si="35"/>
        <v>0</v>
      </c>
      <c r="K81">
        <f ca="1">IF(OR($C81="S",$C81=0),0,MATCH(OFFSET($D81,0,$C81)+IF($C81&lt;&gt;1,1,COUNTIF(QCI!$A$13:$A$24,ORÇAMENTO!E81)),OFFSET($D81,1,$C81,ROW($C$120)-ROW($C81)),0))</f>
        <v>0</v>
      </c>
      <c r="L81" s="113" t="str">
        <f t="shared" ca="1" si="10"/>
        <v/>
      </c>
      <c r="M81" s="114" t="s">
        <v>199</v>
      </c>
      <c r="N81" s="115" t="str">
        <f t="shared" ca="1" si="11"/>
        <v>Serviço</v>
      </c>
      <c r="O81" s="116" t="str">
        <f t="shared" ca="1" si="12"/>
        <v>-</v>
      </c>
      <c r="P81" s="117" t="s">
        <v>247</v>
      </c>
      <c r="Q81" s="118" t="s">
        <v>503</v>
      </c>
      <c r="R81" s="119" t="str">
        <f ca="1">IF($C81="S",REFERENCIA.Descricao,"(digite a descrição aqui)")</f>
        <v>(abra o arquivo 'Referência 10-2024.xlsm)</v>
      </c>
      <c r="S81" s="120" t="str">
        <f ca="1">REFERENCIA.Unidade</f>
        <v>-</v>
      </c>
      <c r="T81" s="121">
        <f ca="1">OFFSET(CÁLCULO!H$15,ROW($T81)-ROW(T$15),0)</f>
        <v>3</v>
      </c>
      <c r="U81" s="122">
        <f t="shared" ca="1" si="33"/>
        <v>0</v>
      </c>
      <c r="V81" s="123" t="s">
        <v>156</v>
      </c>
      <c r="W81" s="121">
        <f ca="1">IF($C81="S",ROUND(IF(TIPOORCAMENTO="Proposto",ORÇAMENTO.CustoUnitario*(1+$AH81),ORÇAMENTO.PrecoUnitarioLicitado),15-13*$AF$10),0)</f>
        <v>0</v>
      </c>
      <c r="X81" s="124">
        <f ca="1">IF($C81="S",IF(Import.TipoArredondamento&lt;&gt;"TransfereGOV",VTOTAL1,SUM(OFFSET(CÁLCULO!$AA$15,ROW($X81)-ROW($X$15),1):OFFSET(CÁLCULO!$AL$15,ROW($X81)-ROW($X$15),-1))),IF($C81=0,0,ROUND(SomaAgrup,15-13*$AF$11)))</f>
        <v>0</v>
      </c>
      <c r="Y81" s="125" t="s">
        <v>245</v>
      </c>
      <c r="Z81" t="str">
        <f t="shared" ca="1" si="13"/>
        <v/>
      </c>
      <c r="AA81" s="126">
        <f ca="1">IF($C81="S",IF($Z81="CP",$X81,IF($Z81="RA",(($X81)*QCI!$AA$3),0)),SomaAgrup)</f>
        <v>0</v>
      </c>
      <c r="AB81" s="127">
        <f t="shared" ca="1" si="14"/>
        <v>0</v>
      </c>
      <c r="AC81" s="128" t="str">
        <f ca="1">IF($N81="","",IF(ORÇAMENTO.Descricao="","DESCRIÇÃO",IF(AND($C81="S",ORÇAMENTO.Unidade=""),"UNIDADE",IF($X81&lt;0,"VALOR NEGATIVO",IF(OR(AND(TIPOORCAMENTO="Proposto",$AG81&lt;&gt;"",$AG81&gt;0,ORÇAMENTO.CustoUnitario&gt;$AG81),AND(TIPOORCAMENTO="LICITADO",ORÇAMENTO.PrecoUnitarioLicitado&gt;$AN81)),"ACIMA REF.","")))))</f>
        <v/>
      </c>
      <c r="AD81" t="str">
        <f ca="1">IF(C81&lt;=CRONO.NivelExibicao,MAX($AD$15:OFFSET(AD81,-1,0))+IF($C81&lt;&gt;1,1,MAX(1,COUNTIF(QCI!$A$13:$A$24,OFFSET($E81,-1,0)))),"")</f>
        <v/>
      </c>
      <c r="AE81" s="7" t="str">
        <f ca="1">IF(AND($C81="S",ORÇAMENTO.CodBarra&lt;&gt;""),IF(ORÇAMENTO.Fonte="",ORÇAMENTO.CodBarra,CONCATENATE(ORÇAMENTO.Fonte," ",ORÇAMENTO.CodBarra)))</f>
        <v>SINAPI 95470</v>
      </c>
      <c r="AF81" s="13" t="str">
        <f ca="1">IF(ISERROR(INDIRECT(ORÇAMENTO.BancoRef)),"(abra o arquivo 'Referência "&amp;Excel_BuiltIn_Database&amp;".xlsm)",IF(OR($C81&lt;&gt;"S",ORÇAMENTO.CodBarra=""),"(Sem Código)",IF(ISERROR(MATCH($AE81,INDIRECT(ORÇAMENTO.BancoRef),0)),"(Código não identificado nas referências)",MATCH($AE81,INDIRECT(ORÇAMENTO.BancoRef),0))))</f>
        <v>(abra o arquivo 'Referência 10-2024.xlsm)</v>
      </c>
      <c r="AG81" s="495">
        <f ca="1">ROUND(IF(DESONERACAO="sim",REFERENCIA.Desonerado,REFERENCIA.NaoDesonerado),2)</f>
        <v>0</v>
      </c>
      <c r="AH81" s="496">
        <f t="shared" ca="1" si="15"/>
        <v>0.20710000000000001</v>
      </c>
      <c r="AJ81" s="498">
        <v>3</v>
      </c>
      <c r="AL81" s="524"/>
      <c r="AM81" s="378">
        <f t="shared" ca="1" si="0"/>
        <v>0</v>
      </c>
      <c r="AN81" s="563">
        <f t="shared" ca="1" si="16"/>
        <v>0</v>
      </c>
    </row>
    <row r="82" spans="1:40" ht="25.5" x14ac:dyDescent="0.2">
      <c r="A82" t="str">
        <f t="shared" si="1"/>
        <v>S</v>
      </c>
      <c r="B82">
        <f t="shared" ca="1" si="2"/>
        <v>2</v>
      </c>
      <c r="C82" t="str">
        <f t="shared" ca="1" si="3"/>
        <v>S</v>
      </c>
      <c r="D82">
        <f t="shared" ca="1" si="4"/>
        <v>0</v>
      </c>
      <c r="E82">
        <f ca="1">IF($C82=1,OFFSET(E82,-1,0)+MAX(1,COUNTIF(QCI!$A$13:$A$24,OFFSET(ORÇAMENTO!E82,-1,0))),OFFSET(E82,-1,0))</f>
        <v>1</v>
      </c>
      <c r="F82">
        <f t="shared" ca="1" si="5"/>
        <v>12</v>
      </c>
      <c r="G82">
        <f t="shared" ca="1" si="6"/>
        <v>0</v>
      </c>
      <c r="H82">
        <f t="shared" ca="1" si="7"/>
        <v>0</v>
      </c>
      <c r="I82">
        <f t="shared" ca="1" si="8"/>
        <v>0</v>
      </c>
      <c r="J82">
        <f t="shared" ca="1" si="35"/>
        <v>0</v>
      </c>
      <c r="K82">
        <f ca="1">IF(OR($C82="S",$C82=0),0,MATCH(OFFSET($D82,0,$C82)+IF($C82&lt;&gt;1,1,COUNTIF(QCI!$A$13:$A$24,ORÇAMENTO!E82)),OFFSET($D82,1,$C82,ROW($C$120)-ROW($C82)),0))</f>
        <v>0</v>
      </c>
      <c r="L82" s="113" t="str">
        <f t="shared" ca="1" si="10"/>
        <v/>
      </c>
      <c r="M82" s="114" t="s">
        <v>199</v>
      </c>
      <c r="N82" s="115" t="str">
        <f t="shared" ca="1" si="11"/>
        <v>Serviço</v>
      </c>
      <c r="O82" s="116" t="str">
        <f t="shared" ca="1" si="12"/>
        <v>-</v>
      </c>
      <c r="P82" s="117" t="s">
        <v>247</v>
      </c>
      <c r="Q82" s="118" t="s">
        <v>504</v>
      </c>
      <c r="R82" s="119" t="str">
        <f ca="1">IF($C82="S",REFERENCIA.Descricao,"(digite a descrição aqui)")</f>
        <v>(abra o arquivo 'Referência 10-2024.xlsm)</v>
      </c>
      <c r="S82" s="120" t="str">
        <f ca="1">REFERENCIA.Unidade</f>
        <v>-</v>
      </c>
      <c r="T82" s="121">
        <f ca="1">OFFSET(CÁLCULO!H$15,ROW($T82)-ROW(T$15),0)</f>
        <v>4</v>
      </c>
      <c r="U82" s="122">
        <f t="shared" ca="1" si="33"/>
        <v>0</v>
      </c>
      <c r="V82" s="123" t="s">
        <v>156</v>
      </c>
      <c r="W82" s="121">
        <f ca="1">IF($C82="S",ROUND(IF(TIPOORCAMENTO="Proposto",ORÇAMENTO.CustoUnitario*(1+$AH82),ORÇAMENTO.PrecoUnitarioLicitado),15-13*$AF$10),0)</f>
        <v>0</v>
      </c>
      <c r="X82" s="124">
        <f ca="1">IF($C82="S",IF(Import.TipoArredondamento&lt;&gt;"TransfereGOV",VTOTAL1,SUM(OFFSET(CÁLCULO!$AA$15,ROW($X82)-ROW($X$15),1):OFFSET(CÁLCULO!$AL$15,ROW($X82)-ROW($X$15),-1))),IF($C82=0,0,ROUND(SomaAgrup,15-13*$AF$11)))</f>
        <v>0</v>
      </c>
      <c r="Y82" s="125" t="s">
        <v>245</v>
      </c>
      <c r="Z82" t="str">
        <f t="shared" ca="1" si="13"/>
        <v/>
      </c>
      <c r="AA82" s="126">
        <f ca="1">IF($C82="S",IF($Z82="CP",$X82,IF($Z82="RA",(($X82)*QCI!$AA$3),0)),SomaAgrup)</f>
        <v>0</v>
      </c>
      <c r="AB82" s="127">
        <f t="shared" ca="1" si="14"/>
        <v>0</v>
      </c>
      <c r="AC82" s="128" t="str">
        <f ca="1">IF($N82="","",IF(ORÇAMENTO.Descricao="","DESCRIÇÃO",IF(AND($C82="S",ORÇAMENTO.Unidade=""),"UNIDADE",IF($X82&lt;0,"VALOR NEGATIVO",IF(OR(AND(TIPOORCAMENTO="Proposto",$AG82&lt;&gt;"",$AG82&gt;0,ORÇAMENTO.CustoUnitario&gt;$AG82),AND(TIPOORCAMENTO="LICITADO",ORÇAMENTO.PrecoUnitarioLicitado&gt;$AN82)),"ACIMA REF.","")))))</f>
        <v/>
      </c>
      <c r="AD82" t="str">
        <f ca="1">IF(C82&lt;=CRONO.NivelExibicao,MAX($AD$15:OFFSET(AD82,-1,0))+IF($C82&lt;&gt;1,1,MAX(1,COUNTIF(QCI!$A$13:$A$24,OFFSET($E82,-1,0)))),"")</f>
        <v/>
      </c>
      <c r="AE82" s="7" t="str">
        <f ca="1">IF(AND($C82="S",ORÇAMENTO.CodBarra&lt;&gt;""),IF(ORÇAMENTO.Fonte="",ORÇAMENTO.CodBarra,CONCATENATE(ORÇAMENTO.Fonte," ",ORÇAMENTO.CodBarra)))</f>
        <v>SINAPI 86902</v>
      </c>
      <c r="AF82" s="13" t="str">
        <f ca="1">IF(ISERROR(INDIRECT(ORÇAMENTO.BancoRef)),"(abra o arquivo 'Referência "&amp;Excel_BuiltIn_Database&amp;".xlsm)",IF(OR($C82&lt;&gt;"S",ORÇAMENTO.CodBarra=""),"(Sem Código)",IF(ISERROR(MATCH($AE82,INDIRECT(ORÇAMENTO.BancoRef),0)),"(Código não identificado nas referências)",MATCH($AE82,INDIRECT(ORÇAMENTO.BancoRef),0))))</f>
        <v>(abra o arquivo 'Referência 10-2024.xlsm)</v>
      </c>
      <c r="AG82" s="495">
        <f ca="1">ROUND(IF(DESONERACAO="sim",REFERENCIA.Desonerado,REFERENCIA.NaoDesonerado),2)</f>
        <v>0</v>
      </c>
      <c r="AH82" s="496">
        <f t="shared" ca="1" si="15"/>
        <v>0.20710000000000001</v>
      </c>
      <c r="AJ82" s="498">
        <v>4</v>
      </c>
      <c r="AL82" s="524"/>
      <c r="AM82" s="378">
        <f t="shared" ca="1" si="0"/>
        <v>0</v>
      </c>
      <c r="AN82" s="563">
        <f t="shared" ca="1" si="16"/>
        <v>0</v>
      </c>
    </row>
    <row r="83" spans="1:40" ht="63.75" x14ac:dyDescent="0.2">
      <c r="A83" t="str">
        <f t="shared" si="1"/>
        <v>S</v>
      </c>
      <c r="B83">
        <f t="shared" ca="1" si="2"/>
        <v>2</v>
      </c>
      <c r="C83" t="str">
        <f t="shared" ca="1" si="3"/>
        <v>S</v>
      </c>
      <c r="D83">
        <f t="shared" ca="1" si="4"/>
        <v>0</v>
      </c>
      <c r="E83">
        <f ca="1">IF($C83=1,OFFSET(E83,-1,0)+MAX(1,COUNTIF(QCI!$A$13:$A$24,OFFSET(ORÇAMENTO!E83,-1,0))),OFFSET(E83,-1,0))</f>
        <v>1</v>
      </c>
      <c r="F83">
        <f t="shared" ca="1" si="5"/>
        <v>12</v>
      </c>
      <c r="G83">
        <f t="shared" ca="1" si="6"/>
        <v>0</v>
      </c>
      <c r="H83">
        <f t="shared" ca="1" si="7"/>
        <v>0</v>
      </c>
      <c r="I83">
        <f t="shared" ca="1" si="8"/>
        <v>0</v>
      </c>
      <c r="J83">
        <f t="shared" ca="1" si="35"/>
        <v>0</v>
      </c>
      <c r="K83">
        <f ca="1">IF(OR($C83="S",$C83=0),0,MATCH(OFFSET($D83,0,$C83)+IF($C83&lt;&gt;1,1,COUNTIF(QCI!$A$13:$A$24,ORÇAMENTO!E83)),OFFSET($D83,1,$C83,ROW($C$120)-ROW($C83)),0))</f>
        <v>0</v>
      </c>
      <c r="L83" s="113" t="str">
        <f t="shared" ca="1" si="10"/>
        <v/>
      </c>
      <c r="M83" s="114" t="s">
        <v>199</v>
      </c>
      <c r="N83" s="115" t="str">
        <f t="shared" ca="1" si="11"/>
        <v>Serviço</v>
      </c>
      <c r="O83" s="116" t="str">
        <f t="shared" ca="1" si="12"/>
        <v>-</v>
      </c>
      <c r="P83" s="117" t="s">
        <v>247</v>
      </c>
      <c r="Q83" s="118" t="s">
        <v>505</v>
      </c>
      <c r="R83" s="119" t="str">
        <f ca="1">IF($C83="S",REFERENCIA.Descricao,"(digite a descrição aqui)")</f>
        <v>(abra o arquivo 'Referência 10-2024.xlsm)</v>
      </c>
      <c r="S83" s="120" t="str">
        <f ca="1">REFERENCIA.Unidade</f>
        <v>-</v>
      </c>
      <c r="T83" s="121">
        <f ca="1">OFFSET(CÁLCULO!H$15,ROW($T83)-ROW(T$15),0)</f>
        <v>1</v>
      </c>
      <c r="U83" s="122">
        <f t="shared" ca="1" si="33"/>
        <v>0</v>
      </c>
      <c r="V83" s="123" t="s">
        <v>156</v>
      </c>
      <c r="W83" s="121">
        <f ca="1">IF($C83="S",ROUND(IF(TIPOORCAMENTO="Proposto",ORÇAMENTO.CustoUnitario*(1+$AH83),ORÇAMENTO.PrecoUnitarioLicitado),15-13*$AF$10),0)</f>
        <v>0</v>
      </c>
      <c r="X83" s="124">
        <f ca="1">IF($C83="S",IF(Import.TipoArredondamento&lt;&gt;"TransfereGOV",VTOTAL1,SUM(OFFSET(CÁLCULO!$AA$15,ROW($X83)-ROW($X$15),1):OFFSET(CÁLCULO!$AL$15,ROW($X83)-ROW($X$15),-1))),IF($C83=0,0,ROUND(SomaAgrup,15-13*$AF$11)))</f>
        <v>0</v>
      </c>
      <c r="Y83" s="125" t="s">
        <v>245</v>
      </c>
      <c r="Z83" t="str">
        <f t="shared" ca="1" si="13"/>
        <v/>
      </c>
      <c r="AA83" s="126">
        <f ca="1">IF($C83="S",IF($Z83="CP",$X83,IF($Z83="RA",(($X83)*QCI!$AA$3),0)),SomaAgrup)</f>
        <v>0</v>
      </c>
      <c r="AB83" s="127">
        <f t="shared" ca="1" si="14"/>
        <v>0</v>
      </c>
      <c r="AC83" s="128" t="str">
        <f ca="1">IF($N83="","",IF(ORÇAMENTO.Descricao="","DESCRIÇÃO",IF(AND($C83="S",ORÇAMENTO.Unidade=""),"UNIDADE",IF($X83&lt;0,"VALOR NEGATIVO",IF(OR(AND(TIPOORCAMENTO="Proposto",$AG83&lt;&gt;"",$AG83&gt;0,ORÇAMENTO.CustoUnitario&gt;$AG83),AND(TIPOORCAMENTO="LICITADO",ORÇAMENTO.PrecoUnitarioLicitado&gt;$AN83)),"ACIMA REF.","")))))</f>
        <v/>
      </c>
      <c r="AD83" t="str">
        <f ca="1">IF(C83&lt;=CRONO.NivelExibicao,MAX($AD$15:OFFSET(AD83,-1,0))+IF($C83&lt;&gt;1,1,MAX(1,COUNTIF(QCI!$A$13:$A$24,OFFSET($E83,-1,0)))),"")</f>
        <v/>
      </c>
      <c r="AE83" s="7" t="str">
        <f ca="1">IF(AND($C83="S",ORÇAMENTO.CodBarra&lt;&gt;""),IF(ORÇAMENTO.Fonte="",ORÇAMENTO.CodBarra,CONCATENATE(ORÇAMENTO.Fonte," ",ORÇAMENTO.CodBarra)))</f>
        <v>SINAPI 86943</v>
      </c>
      <c r="AF83" s="13" t="str">
        <f ca="1">IF(ISERROR(INDIRECT(ORÇAMENTO.BancoRef)),"(abra o arquivo 'Referência "&amp;Excel_BuiltIn_Database&amp;".xlsm)",IF(OR($C83&lt;&gt;"S",ORÇAMENTO.CodBarra=""),"(Sem Código)",IF(ISERROR(MATCH($AE83,INDIRECT(ORÇAMENTO.BancoRef),0)),"(Código não identificado nas referências)",MATCH($AE83,INDIRECT(ORÇAMENTO.BancoRef),0))))</f>
        <v>(abra o arquivo 'Referência 10-2024.xlsm)</v>
      </c>
      <c r="AG83" s="495">
        <f ca="1">ROUND(IF(DESONERACAO="sim",REFERENCIA.Desonerado,REFERENCIA.NaoDesonerado),2)</f>
        <v>0</v>
      </c>
      <c r="AH83" s="496">
        <f t="shared" ca="1" si="15"/>
        <v>0.20710000000000001</v>
      </c>
      <c r="AJ83" s="498">
        <v>1</v>
      </c>
      <c r="AL83" s="524"/>
      <c r="AM83" s="378">
        <f t="shared" ca="1" si="0"/>
        <v>0</v>
      </c>
      <c r="AN83" s="563">
        <f t="shared" ca="1" si="16"/>
        <v>0</v>
      </c>
    </row>
    <row r="84" spans="1:40" ht="25.5" x14ac:dyDescent="0.2">
      <c r="A84" t="str">
        <f t="shared" si="1"/>
        <v>S</v>
      </c>
      <c r="B84">
        <f t="shared" ca="1" si="2"/>
        <v>2</v>
      </c>
      <c r="C84" t="str">
        <f t="shared" ca="1" si="3"/>
        <v>S</v>
      </c>
      <c r="D84">
        <f t="shared" ca="1" si="4"/>
        <v>0</v>
      </c>
      <c r="E84">
        <f ca="1">IF($C84=1,OFFSET(E84,-1,0)+MAX(1,COUNTIF(QCI!$A$13:$A$24,OFFSET(ORÇAMENTO!E84,-1,0))),OFFSET(E84,-1,0))</f>
        <v>1</v>
      </c>
      <c r="F84">
        <f t="shared" ca="1" si="5"/>
        <v>12</v>
      </c>
      <c r="G84">
        <f t="shared" ca="1" si="6"/>
        <v>0</v>
      </c>
      <c r="H84">
        <f t="shared" ca="1" si="7"/>
        <v>0</v>
      </c>
      <c r="I84">
        <f t="shared" ca="1" si="8"/>
        <v>0</v>
      </c>
      <c r="J84">
        <f t="shared" ca="1" si="35"/>
        <v>0</v>
      </c>
      <c r="K84">
        <f ca="1">IF(OR($C84="S",$C84=0),0,MATCH(OFFSET($D84,0,$C84)+IF($C84&lt;&gt;1,1,COUNTIF(QCI!$A$13:$A$24,ORÇAMENTO!E84)),OFFSET($D84,1,$C84,ROW($C$120)-ROW($C84)),0))</f>
        <v>0</v>
      </c>
      <c r="L84" s="113" t="str">
        <f t="shared" ca="1" si="10"/>
        <v/>
      </c>
      <c r="M84" s="114" t="s">
        <v>199</v>
      </c>
      <c r="N84" s="115" t="str">
        <f t="shared" ca="1" si="11"/>
        <v>Serviço</v>
      </c>
      <c r="O84" s="116" t="str">
        <f t="shared" ca="1" si="12"/>
        <v>-</v>
      </c>
      <c r="P84" s="117" t="s">
        <v>247</v>
      </c>
      <c r="Q84" s="118" t="s">
        <v>506</v>
      </c>
      <c r="R84" s="119" t="str">
        <f ca="1">IF($C84="S",REFERENCIA.Descricao,"(digite a descrição aqui)")</f>
        <v>(abra o arquivo 'Referência 10-2024.xlsm)</v>
      </c>
      <c r="S84" s="120" t="str">
        <f ca="1">REFERENCIA.Unidade</f>
        <v>-</v>
      </c>
      <c r="T84" s="121">
        <f ca="1">OFFSET(CÁLCULO!H$15,ROW($T84)-ROW(T$15),0)</f>
        <v>3</v>
      </c>
      <c r="U84" s="122">
        <f t="shared" ca="1" si="33"/>
        <v>0</v>
      </c>
      <c r="V84" s="123" t="s">
        <v>156</v>
      </c>
      <c r="W84" s="121">
        <f ca="1">IF($C84="S",ROUND(IF(TIPOORCAMENTO="Proposto",ORÇAMENTO.CustoUnitario*(1+$AH84),ORÇAMENTO.PrecoUnitarioLicitado),15-13*$AF$10),0)</f>
        <v>0</v>
      </c>
      <c r="X84" s="124">
        <f ca="1">IF($C84="S",IF(Import.TipoArredondamento&lt;&gt;"TransfereGOV",VTOTAL1,SUM(OFFSET(CÁLCULO!$AA$15,ROW($X84)-ROW($X$15),1):OFFSET(CÁLCULO!$AL$15,ROW($X84)-ROW($X$15),-1))),IF($C84=0,0,ROUND(SomaAgrup,15-13*$AF$11)))</f>
        <v>0</v>
      </c>
      <c r="Y84" s="125" t="s">
        <v>245</v>
      </c>
      <c r="Z84" t="str">
        <f t="shared" ca="1" si="13"/>
        <v/>
      </c>
      <c r="AA84" s="126">
        <f ca="1">IF($C84="S",IF($Z84="CP",$X84,IF($Z84="RA",(($X84)*QCI!$AA$3),0)),SomaAgrup)</f>
        <v>0</v>
      </c>
      <c r="AB84" s="127">
        <f t="shared" ca="1" si="14"/>
        <v>0</v>
      </c>
      <c r="AC84" s="128" t="str">
        <f ca="1">IF($N84="","",IF(ORÇAMENTO.Descricao="","DESCRIÇÃO",IF(AND($C84="S",ORÇAMENTO.Unidade=""),"UNIDADE",IF($X84&lt;0,"VALOR NEGATIVO",IF(OR(AND(TIPOORCAMENTO="Proposto",$AG84&lt;&gt;"",$AG84&gt;0,ORÇAMENTO.CustoUnitario&gt;$AG84),AND(TIPOORCAMENTO="LICITADO",ORÇAMENTO.PrecoUnitarioLicitado&gt;$AN84)),"ACIMA REF.","")))))</f>
        <v/>
      </c>
      <c r="AD84" t="str">
        <f ca="1">IF(C84&lt;=CRONO.NivelExibicao,MAX($AD$15:OFFSET(AD84,-1,0))+IF($C84&lt;&gt;1,1,MAX(1,COUNTIF(QCI!$A$13:$A$24,OFFSET($E84,-1,0)))),"")</f>
        <v/>
      </c>
      <c r="AE84" s="7" t="str">
        <f ca="1">IF(AND($C84="S",ORÇAMENTO.CodBarra&lt;&gt;""),IF(ORÇAMENTO.Fonte="",ORÇAMENTO.CodBarra,CONCATENATE(ORÇAMENTO.Fonte," ",ORÇAMENTO.CodBarra)))</f>
        <v>SINAPI 100860</v>
      </c>
      <c r="AF84" s="13" t="str">
        <f ca="1">IF(ISERROR(INDIRECT(ORÇAMENTO.BancoRef)),"(abra o arquivo 'Referência "&amp;Excel_BuiltIn_Database&amp;".xlsm)",IF(OR($C84&lt;&gt;"S",ORÇAMENTO.CodBarra=""),"(Sem Código)",IF(ISERROR(MATCH($AE84,INDIRECT(ORÇAMENTO.BancoRef),0)),"(Código não identificado nas referências)",MATCH($AE84,INDIRECT(ORÇAMENTO.BancoRef),0))))</f>
        <v>(abra o arquivo 'Referência 10-2024.xlsm)</v>
      </c>
      <c r="AG84" s="495">
        <f ca="1">ROUND(IF(DESONERACAO="sim",REFERENCIA.Desonerado,REFERENCIA.NaoDesonerado),2)</f>
        <v>0</v>
      </c>
      <c r="AH84" s="496">
        <f t="shared" ca="1" si="15"/>
        <v>0.20710000000000001</v>
      </c>
      <c r="AJ84" s="498">
        <v>3</v>
      </c>
      <c r="AL84" s="524"/>
      <c r="AM84" s="378">
        <f t="shared" ca="1" si="0"/>
        <v>0</v>
      </c>
      <c r="AN84" s="563">
        <f t="shared" ca="1" si="16"/>
        <v>0</v>
      </c>
    </row>
    <row r="85" spans="1:40" ht="25.5" x14ac:dyDescent="0.2">
      <c r="A85" t="str">
        <f t="shared" si="1"/>
        <v>S</v>
      </c>
      <c r="B85">
        <f t="shared" ca="1" si="2"/>
        <v>2</v>
      </c>
      <c r="C85" t="str">
        <f t="shared" ca="1" si="3"/>
        <v>S</v>
      </c>
      <c r="D85">
        <f t="shared" ca="1" si="4"/>
        <v>0</v>
      </c>
      <c r="E85">
        <f ca="1">IF($C85=1,OFFSET(E85,-1,0)+MAX(1,COUNTIF(QCI!$A$13:$A$24,OFFSET(ORÇAMENTO!E85,-1,0))),OFFSET(E85,-1,0))</f>
        <v>1</v>
      </c>
      <c r="F85">
        <f t="shared" ca="1" si="5"/>
        <v>12</v>
      </c>
      <c r="G85">
        <f t="shared" ca="1" si="6"/>
        <v>0</v>
      </c>
      <c r="H85">
        <f t="shared" ca="1" si="7"/>
        <v>0</v>
      </c>
      <c r="I85">
        <f t="shared" ca="1" si="8"/>
        <v>0</v>
      </c>
      <c r="J85">
        <f t="shared" ca="1" si="35"/>
        <v>0</v>
      </c>
      <c r="K85">
        <f ca="1">IF(OR($C85="S",$C85=0),0,MATCH(OFFSET($D85,0,$C85)+IF($C85&lt;&gt;1,1,COUNTIF(QCI!$A$13:$A$24,ORÇAMENTO!E85)),OFFSET($D85,1,$C85,ROW($C$120)-ROW($C85)),0))</f>
        <v>0</v>
      </c>
      <c r="L85" s="113" t="str">
        <f t="shared" ca="1" si="10"/>
        <v/>
      </c>
      <c r="M85" s="114" t="s">
        <v>199</v>
      </c>
      <c r="N85" s="115" t="str">
        <f t="shared" ca="1" si="11"/>
        <v>Serviço</v>
      </c>
      <c r="O85" s="116" t="str">
        <f t="shared" ca="1" si="12"/>
        <v>-</v>
      </c>
      <c r="P85" s="117" t="s">
        <v>247</v>
      </c>
      <c r="Q85" s="118" t="s">
        <v>507</v>
      </c>
      <c r="R85" s="119" t="str">
        <f ca="1">IF($C85="S",REFERENCIA.Descricao,"(digite a descrição aqui)")</f>
        <v>(abra o arquivo 'Referência 10-2024.xlsm)</v>
      </c>
      <c r="S85" s="120" t="str">
        <f ca="1">REFERENCIA.Unidade</f>
        <v>-</v>
      </c>
      <c r="T85" s="121">
        <f ca="1">OFFSET(CÁLCULO!H$15,ROW($T85)-ROW(T$15),0)</f>
        <v>5</v>
      </c>
      <c r="U85" s="122">
        <f t="shared" ca="1" si="33"/>
        <v>0</v>
      </c>
      <c r="V85" s="123" t="s">
        <v>156</v>
      </c>
      <c r="W85" s="121">
        <f ca="1">IF($C85="S",ROUND(IF(TIPOORCAMENTO="Proposto",ORÇAMENTO.CustoUnitario*(1+$AH85),ORÇAMENTO.PrecoUnitarioLicitado),15-13*$AF$10),0)</f>
        <v>0</v>
      </c>
      <c r="X85" s="124">
        <f ca="1">IF($C85="S",IF(Import.TipoArredondamento&lt;&gt;"TransfereGOV",VTOTAL1,SUM(OFFSET(CÁLCULO!$AA$15,ROW($X85)-ROW($X$15),1):OFFSET(CÁLCULO!$AL$15,ROW($X85)-ROW($X$15),-1))),IF($C85=0,0,ROUND(SomaAgrup,15-13*$AF$11)))</f>
        <v>0</v>
      </c>
      <c r="Y85" s="125" t="s">
        <v>245</v>
      </c>
      <c r="Z85" t="str">
        <f t="shared" ca="1" si="13"/>
        <v/>
      </c>
      <c r="AA85" s="126">
        <f ca="1">IF($C85="S",IF($Z85="CP",$X85,IF($Z85="RA",(($X85)*QCI!$AA$3),0)),SomaAgrup)</f>
        <v>0</v>
      </c>
      <c r="AB85" s="127">
        <f t="shared" ca="1" si="14"/>
        <v>0</v>
      </c>
      <c r="AC85" s="128" t="str">
        <f ca="1">IF($N85="","",IF(ORÇAMENTO.Descricao="","DESCRIÇÃO",IF(AND($C85="S",ORÇAMENTO.Unidade=""),"UNIDADE",IF($X85&lt;0,"VALOR NEGATIVO",IF(OR(AND(TIPOORCAMENTO="Proposto",$AG85&lt;&gt;"",$AG85&gt;0,ORÇAMENTO.CustoUnitario&gt;$AG85),AND(TIPOORCAMENTO="LICITADO",ORÇAMENTO.PrecoUnitarioLicitado&gt;$AN85)),"ACIMA REF.","")))))</f>
        <v/>
      </c>
      <c r="AD85" t="str">
        <f ca="1">IF(C85&lt;=CRONO.NivelExibicao,MAX($AD$15:OFFSET(AD85,-1,0))+IF($C85&lt;&gt;1,1,MAX(1,COUNTIF(QCI!$A$13:$A$24,OFFSET($E85,-1,0)))),"")</f>
        <v/>
      </c>
      <c r="AE85" s="7" t="str">
        <f ca="1">IF(AND($C85="S",ORÇAMENTO.CodBarra&lt;&gt;""),IF(ORÇAMENTO.Fonte="",ORÇAMENTO.CodBarra,CONCATENATE(ORÇAMENTO.Fonte," ",ORÇAMENTO.CodBarra)))</f>
        <v>SINAPI 86906</v>
      </c>
      <c r="AF85" s="13" t="str">
        <f ca="1">IF(ISERROR(INDIRECT(ORÇAMENTO.BancoRef)),"(abra o arquivo 'Referência "&amp;Excel_BuiltIn_Database&amp;".xlsm)",IF(OR($C85&lt;&gt;"S",ORÇAMENTO.CodBarra=""),"(Sem Código)",IF(ISERROR(MATCH($AE85,INDIRECT(ORÇAMENTO.BancoRef),0)),"(Código não identificado nas referências)",MATCH($AE85,INDIRECT(ORÇAMENTO.BancoRef),0))))</f>
        <v>(abra o arquivo 'Referência 10-2024.xlsm)</v>
      </c>
      <c r="AG85" s="495">
        <f ca="1">ROUND(IF(DESONERACAO="sim",REFERENCIA.Desonerado,REFERENCIA.NaoDesonerado),2)</f>
        <v>0</v>
      </c>
      <c r="AH85" s="496">
        <f t="shared" ca="1" si="15"/>
        <v>0.20710000000000001</v>
      </c>
      <c r="AJ85" s="498">
        <v>5</v>
      </c>
      <c r="AL85" s="524"/>
      <c r="AM85" s="378">
        <f t="shared" ca="1" si="0"/>
        <v>0</v>
      </c>
      <c r="AN85" s="563">
        <f t="shared" ca="1" si="16"/>
        <v>0</v>
      </c>
    </row>
    <row r="86" spans="1:40" ht="25.5" x14ac:dyDescent="0.2">
      <c r="A86" t="str">
        <f t="shared" si="1"/>
        <v>S</v>
      </c>
      <c r="B86">
        <f t="shared" ca="1" si="2"/>
        <v>2</v>
      </c>
      <c r="C86" t="str">
        <f t="shared" ca="1" si="3"/>
        <v>S</v>
      </c>
      <c r="D86">
        <f t="shared" ca="1" si="4"/>
        <v>0</v>
      </c>
      <c r="E86">
        <f ca="1">IF($C86=1,OFFSET(E86,-1,0)+MAX(1,COUNTIF(QCI!$A$13:$A$24,OFFSET(ORÇAMENTO!E86,-1,0))),OFFSET(E86,-1,0))</f>
        <v>1</v>
      </c>
      <c r="F86">
        <f t="shared" ca="1" si="5"/>
        <v>12</v>
      </c>
      <c r="G86">
        <f t="shared" ca="1" si="6"/>
        <v>0</v>
      </c>
      <c r="H86">
        <f t="shared" ca="1" si="7"/>
        <v>0</v>
      </c>
      <c r="I86">
        <f t="shared" ca="1" si="8"/>
        <v>0</v>
      </c>
      <c r="J86">
        <f t="shared" ca="1" si="35"/>
        <v>0</v>
      </c>
      <c r="K86">
        <f ca="1">IF(OR($C86="S",$C86=0),0,MATCH(OFFSET($D86,0,$C86)+IF($C86&lt;&gt;1,1,COUNTIF(QCI!$A$13:$A$24,ORÇAMENTO!E86)),OFFSET($D86,1,$C86,ROW($C$120)-ROW($C86)),0))</f>
        <v>0</v>
      </c>
      <c r="L86" s="113" t="str">
        <f t="shared" ca="1" si="10"/>
        <v/>
      </c>
      <c r="M86" s="114" t="s">
        <v>199</v>
      </c>
      <c r="N86" s="115" t="str">
        <f t="shared" ca="1" si="11"/>
        <v>Serviço</v>
      </c>
      <c r="O86" s="116" t="str">
        <f t="shared" ca="1" si="12"/>
        <v>-</v>
      </c>
      <c r="P86" s="117" t="s">
        <v>247</v>
      </c>
      <c r="Q86" s="118" t="s">
        <v>512</v>
      </c>
      <c r="R86" s="119" t="str">
        <f ca="1">IF($C86="S",REFERENCIA.Descricao,"(digite a descrição aqui)")</f>
        <v>(abra o arquivo 'Referência 10-2024.xlsm)</v>
      </c>
      <c r="S86" s="120" t="str">
        <f ca="1">REFERENCIA.Unidade</f>
        <v>-</v>
      </c>
      <c r="T86" s="121">
        <f ca="1">OFFSET(CÁLCULO!H$15,ROW($T86)-ROW(T$15),0)</f>
        <v>3</v>
      </c>
      <c r="U86" s="122">
        <f t="shared" ca="1" si="33"/>
        <v>0</v>
      </c>
      <c r="V86" s="123" t="s">
        <v>156</v>
      </c>
      <c r="W86" s="121">
        <f ca="1">IF($C86="S",ROUND(IF(TIPOORCAMENTO="Proposto",ORÇAMENTO.CustoUnitario*(1+$AH86),ORÇAMENTO.PrecoUnitarioLicitado),15-13*$AF$10),0)</f>
        <v>0</v>
      </c>
      <c r="X86" s="124">
        <f ca="1">IF($C86="S",IF(Import.TipoArredondamento&lt;&gt;"TransfereGOV",VTOTAL1,SUM(OFFSET(CÁLCULO!$AA$15,ROW($X86)-ROW($X$15),1):OFFSET(CÁLCULO!$AL$15,ROW($X86)-ROW($X$15),-1))),IF($C86=0,0,ROUND(SomaAgrup,15-13*$AF$11)))</f>
        <v>0</v>
      </c>
      <c r="Y86" s="125" t="s">
        <v>245</v>
      </c>
      <c r="Z86" t="str">
        <f t="shared" ca="1" si="13"/>
        <v/>
      </c>
      <c r="AA86" s="126">
        <f ca="1">IF($C86="S",IF($Z86="CP",$X86,IF($Z86="RA",(($X86)*QCI!$AA$3),0)),SomaAgrup)</f>
        <v>0</v>
      </c>
      <c r="AB86" s="127">
        <f t="shared" ca="1" si="14"/>
        <v>0</v>
      </c>
      <c r="AC86" s="128" t="str">
        <f ca="1">IF($N86="","",IF(ORÇAMENTO.Descricao="","DESCRIÇÃO",IF(AND($C86="S",ORÇAMENTO.Unidade=""),"UNIDADE",IF($X86&lt;0,"VALOR NEGATIVO",IF(OR(AND(TIPOORCAMENTO="Proposto",$AG86&lt;&gt;"",$AG86&gt;0,ORÇAMENTO.CustoUnitario&gt;$AG86),AND(TIPOORCAMENTO="LICITADO",ORÇAMENTO.PrecoUnitarioLicitado&gt;$AN86)),"ACIMA REF.","")))))</f>
        <v/>
      </c>
      <c r="AD86" t="str">
        <f ca="1">IF(C86&lt;=CRONO.NivelExibicao,MAX($AD$15:OFFSET(AD86,-1,0))+IF($C86&lt;&gt;1,1,MAX(1,COUNTIF(QCI!$A$13:$A$24,OFFSET($E86,-1,0)))),"")</f>
        <v/>
      </c>
      <c r="AE86" s="7" t="str">
        <f ca="1">IF(AND($C86="S",ORÇAMENTO.CodBarra&lt;&gt;""),IF(ORÇAMENTO.Fonte="",ORÇAMENTO.CodBarra,CONCATENATE(ORÇAMENTO.Fonte," ",ORÇAMENTO.CodBarra)))</f>
        <v>SINAPI 95547</v>
      </c>
      <c r="AF86" s="13" t="str">
        <f ca="1">IF(ISERROR(INDIRECT(ORÇAMENTO.BancoRef)),"(abra o arquivo 'Referência "&amp;Excel_BuiltIn_Database&amp;".xlsm)",IF(OR($C86&lt;&gt;"S",ORÇAMENTO.CodBarra=""),"(Sem Código)",IF(ISERROR(MATCH($AE86,INDIRECT(ORÇAMENTO.BancoRef),0)),"(Código não identificado nas referências)",MATCH($AE86,INDIRECT(ORÇAMENTO.BancoRef),0))))</f>
        <v>(abra o arquivo 'Referência 10-2024.xlsm)</v>
      </c>
      <c r="AG86" s="495">
        <f ca="1">ROUND(IF(DESONERACAO="sim",REFERENCIA.Desonerado,REFERENCIA.NaoDesonerado),2)</f>
        <v>0</v>
      </c>
      <c r="AH86" s="496">
        <f t="shared" ca="1" si="15"/>
        <v>0.20710000000000001</v>
      </c>
      <c r="AJ86" s="498">
        <v>3</v>
      </c>
      <c r="AL86" s="524"/>
      <c r="AM86" s="378">
        <f t="shared" ca="1" si="0"/>
        <v>0</v>
      </c>
      <c r="AN86" s="563">
        <f t="shared" ca="1" si="16"/>
        <v>0</v>
      </c>
    </row>
    <row r="87" spans="1:40" ht="25.5" x14ac:dyDescent="0.2">
      <c r="A87" t="str">
        <f t="shared" si="1"/>
        <v>S</v>
      </c>
      <c r="B87">
        <f t="shared" ca="1" si="2"/>
        <v>2</v>
      </c>
      <c r="C87" t="str">
        <f t="shared" ca="1" si="3"/>
        <v>S</v>
      </c>
      <c r="D87">
        <f t="shared" ca="1" si="4"/>
        <v>0</v>
      </c>
      <c r="E87">
        <f ca="1">IF($C87=1,OFFSET(E87,-1,0)+MAX(1,COUNTIF(QCI!$A$13:$A$24,OFFSET(ORÇAMENTO!E87,-1,0))),OFFSET(E87,-1,0))</f>
        <v>1</v>
      </c>
      <c r="F87">
        <f t="shared" ca="1" si="5"/>
        <v>12</v>
      </c>
      <c r="G87">
        <f t="shared" ca="1" si="6"/>
        <v>0</v>
      </c>
      <c r="H87">
        <f t="shared" ca="1" si="7"/>
        <v>0</v>
      </c>
      <c r="I87">
        <f t="shared" ca="1" si="8"/>
        <v>0</v>
      </c>
      <c r="J87">
        <f t="shared" ca="1" si="35"/>
        <v>0</v>
      </c>
      <c r="K87">
        <f ca="1">IF(OR($C87="S",$C87=0),0,MATCH(OFFSET($D87,0,$C87)+IF($C87&lt;&gt;1,1,COUNTIF(QCI!$A$13:$A$24,ORÇAMENTO!E87)),OFFSET($D87,1,$C87,ROW($C$120)-ROW($C87)),0))</f>
        <v>0</v>
      </c>
      <c r="L87" s="113" t="str">
        <f t="shared" ca="1" si="10"/>
        <v/>
      </c>
      <c r="M87" s="114" t="s">
        <v>199</v>
      </c>
      <c r="N87" s="115" t="str">
        <f t="shared" ca="1" si="11"/>
        <v>Serviço</v>
      </c>
      <c r="O87" s="116" t="str">
        <f t="shared" ca="1" si="12"/>
        <v>-</v>
      </c>
      <c r="P87" s="117" t="s">
        <v>247</v>
      </c>
      <c r="Q87" s="118" t="s">
        <v>513</v>
      </c>
      <c r="R87" s="119" t="str">
        <f ca="1">IF($C87="S",REFERENCIA.Descricao,"(digite a descrição aqui)")</f>
        <v>(abra o arquivo 'Referência 10-2024.xlsm)</v>
      </c>
      <c r="S87" s="120" t="str">
        <f ca="1">REFERENCIA.Unidade</f>
        <v>-</v>
      </c>
      <c r="T87" s="121">
        <f ca="1">OFFSET(CÁLCULO!H$15,ROW($T87)-ROW(T$15),0)</f>
        <v>3</v>
      </c>
      <c r="U87" s="122">
        <f t="shared" ca="1" si="33"/>
        <v>0</v>
      </c>
      <c r="V87" s="123" t="s">
        <v>156</v>
      </c>
      <c r="W87" s="121">
        <f ca="1">IF($C87="S",ROUND(IF(TIPOORCAMENTO="Proposto",ORÇAMENTO.CustoUnitario*(1+$AH87),ORÇAMENTO.PrecoUnitarioLicitado),15-13*$AF$10),0)</f>
        <v>0</v>
      </c>
      <c r="X87" s="124">
        <f ca="1">IF($C87="S",IF(Import.TipoArredondamento&lt;&gt;"TransfereGOV",VTOTAL1,SUM(OFFSET(CÁLCULO!$AA$15,ROW($X87)-ROW($X$15),1):OFFSET(CÁLCULO!$AL$15,ROW($X87)-ROW($X$15),-1))),IF($C87=0,0,ROUND(SomaAgrup,15-13*$AF$11)))</f>
        <v>0</v>
      </c>
      <c r="Y87" s="125" t="s">
        <v>245</v>
      </c>
      <c r="Z87" t="str">
        <f t="shared" ca="1" si="13"/>
        <v/>
      </c>
      <c r="AA87" s="126">
        <f ca="1">IF($C87="S",IF($Z87="CP",$X87,IF($Z87="RA",(($X87)*QCI!$AA$3),0)),SomaAgrup)</f>
        <v>0</v>
      </c>
      <c r="AB87" s="127">
        <f t="shared" ca="1" si="14"/>
        <v>0</v>
      </c>
      <c r="AC87" s="128" t="str">
        <f ca="1">IF($N87="","",IF(ORÇAMENTO.Descricao="","DESCRIÇÃO",IF(AND($C87="S",ORÇAMENTO.Unidade=""),"UNIDADE",IF($X87&lt;0,"VALOR NEGATIVO",IF(OR(AND(TIPOORCAMENTO="Proposto",$AG87&lt;&gt;"",$AG87&gt;0,ORÇAMENTO.CustoUnitario&gt;$AG87),AND(TIPOORCAMENTO="LICITADO",ORÇAMENTO.PrecoUnitarioLicitado&gt;$AN87)),"ACIMA REF.","")))))</f>
        <v/>
      </c>
      <c r="AD87" t="str">
        <f ca="1">IF(C87&lt;=CRONO.NivelExibicao,MAX($AD$15:OFFSET(AD87,-1,0))+IF($C87&lt;&gt;1,1,MAX(1,COUNTIF(QCI!$A$13:$A$24,OFFSET($E87,-1,0)))),"")</f>
        <v/>
      </c>
      <c r="AE87" s="7" t="str">
        <f ca="1">IF(AND($C87="S",ORÇAMENTO.CodBarra&lt;&gt;""),IF(ORÇAMENTO.Fonte="",ORÇAMENTO.CodBarra,CONCATENATE(ORÇAMENTO.Fonte," ",ORÇAMENTO.CodBarra)))</f>
        <v>SINAPI 95545</v>
      </c>
      <c r="AF87" s="13" t="str">
        <f ca="1">IF(ISERROR(INDIRECT(ORÇAMENTO.BancoRef)),"(abra o arquivo 'Referência "&amp;Excel_BuiltIn_Database&amp;".xlsm)",IF(OR($C87&lt;&gt;"S",ORÇAMENTO.CodBarra=""),"(Sem Código)",IF(ISERROR(MATCH($AE87,INDIRECT(ORÇAMENTO.BancoRef),0)),"(Código não identificado nas referências)",MATCH($AE87,INDIRECT(ORÇAMENTO.BancoRef),0))))</f>
        <v>(abra o arquivo 'Referência 10-2024.xlsm)</v>
      </c>
      <c r="AG87" s="495">
        <f ca="1">ROUND(IF(DESONERACAO="sim",REFERENCIA.Desonerado,REFERENCIA.NaoDesonerado),2)</f>
        <v>0</v>
      </c>
      <c r="AH87" s="496">
        <f t="shared" ca="1" si="15"/>
        <v>0.20710000000000001</v>
      </c>
      <c r="AJ87" s="498">
        <v>3</v>
      </c>
      <c r="AL87" s="524"/>
      <c r="AM87" s="378">
        <f t="shared" ca="1" si="0"/>
        <v>0</v>
      </c>
      <c r="AN87" s="563">
        <f t="shared" ca="1" si="16"/>
        <v>0</v>
      </c>
    </row>
    <row r="88" spans="1:40" ht="25.5" x14ac:dyDescent="0.2">
      <c r="A88" t="str">
        <f t="shared" si="1"/>
        <v>S</v>
      </c>
      <c r="B88">
        <f t="shared" ca="1" si="2"/>
        <v>2</v>
      </c>
      <c r="C88" t="str">
        <f t="shared" ca="1" si="3"/>
        <v>S</v>
      </c>
      <c r="D88">
        <f t="shared" ca="1" si="4"/>
        <v>0</v>
      </c>
      <c r="E88">
        <f ca="1">IF($C88=1,OFFSET(E88,-1,0)+MAX(1,COUNTIF(QCI!$A$13:$A$24,OFFSET(ORÇAMENTO!E88,-1,0))),OFFSET(E88,-1,0))</f>
        <v>1</v>
      </c>
      <c r="F88">
        <f t="shared" ca="1" si="5"/>
        <v>12</v>
      </c>
      <c r="G88">
        <f t="shared" ca="1" si="6"/>
        <v>0</v>
      </c>
      <c r="H88">
        <f t="shared" ca="1" si="7"/>
        <v>0</v>
      </c>
      <c r="I88">
        <f t="shared" ca="1" si="8"/>
        <v>0</v>
      </c>
      <c r="J88">
        <f t="shared" ca="1" si="35"/>
        <v>0</v>
      </c>
      <c r="K88">
        <f ca="1">IF(OR($C88="S",$C88=0),0,MATCH(OFFSET($D88,0,$C88)+IF($C88&lt;&gt;1,1,COUNTIF(QCI!$A$13:$A$24,ORÇAMENTO!E88)),OFFSET($D88,1,$C88,ROW($C$120)-ROW($C88)),0))</f>
        <v>0</v>
      </c>
      <c r="L88" s="113" t="str">
        <f t="shared" ca="1" si="10"/>
        <v/>
      </c>
      <c r="M88" s="114" t="s">
        <v>199</v>
      </c>
      <c r="N88" s="115" t="str">
        <f t="shared" ca="1" si="11"/>
        <v>Serviço</v>
      </c>
      <c r="O88" s="116" t="str">
        <f t="shared" ca="1" si="12"/>
        <v>-</v>
      </c>
      <c r="P88" s="117" t="s">
        <v>456</v>
      </c>
      <c r="Q88" s="118" t="s">
        <v>514</v>
      </c>
      <c r="R88" s="119" t="str">
        <f ca="1">IF($C88="S",REFERENCIA.Descricao,"(digite a descrição aqui)")</f>
        <v>(abra o arquivo 'Referência 10-2024.xlsm)</v>
      </c>
      <c r="S88" s="120" t="str">
        <f ca="1">REFERENCIA.Unidade</f>
        <v>-</v>
      </c>
      <c r="T88" s="121">
        <f ca="1">OFFSET(CÁLCULO!H$15,ROW($T88)-ROW(T$15),0)</f>
        <v>3</v>
      </c>
      <c r="U88" s="122">
        <f t="shared" ca="1" si="33"/>
        <v>0</v>
      </c>
      <c r="V88" s="123" t="s">
        <v>156</v>
      </c>
      <c r="W88" s="121">
        <f ca="1">IF($C88="S",ROUND(IF(TIPOORCAMENTO="Proposto",ORÇAMENTO.CustoUnitario*(1+$AH88),ORÇAMENTO.PrecoUnitarioLicitado),15-13*$AF$10),0)</f>
        <v>0</v>
      </c>
      <c r="X88" s="124">
        <f ca="1">IF($C88="S",IF(Import.TipoArredondamento&lt;&gt;"TransfereGOV",VTOTAL1,SUM(OFFSET(CÁLCULO!$AA$15,ROW($X88)-ROW($X$15),1):OFFSET(CÁLCULO!$AL$15,ROW($X88)-ROW($X$15),-1))),IF($C88=0,0,ROUND(SomaAgrup,15-13*$AF$11)))</f>
        <v>0</v>
      </c>
      <c r="Y88" s="125" t="s">
        <v>245</v>
      </c>
      <c r="Z88" t="str">
        <f t="shared" ca="1" si="13"/>
        <v/>
      </c>
      <c r="AA88" s="126">
        <f ca="1">IF($C88="S",IF($Z88="CP",$X88,IF($Z88="RA",(($X88)*QCI!$AA$3),0)),SomaAgrup)</f>
        <v>0</v>
      </c>
      <c r="AB88" s="127">
        <f t="shared" ca="1" si="14"/>
        <v>0</v>
      </c>
      <c r="AC88" s="128" t="str">
        <f ca="1">IF($N88="","",IF(ORÇAMENTO.Descricao="","DESCRIÇÃO",IF(AND($C88="S",ORÇAMENTO.Unidade=""),"UNIDADE",IF($X88&lt;0,"VALOR NEGATIVO",IF(OR(AND(TIPOORCAMENTO="Proposto",$AG88&lt;&gt;"",$AG88&gt;0,ORÇAMENTO.CustoUnitario&gt;$AG88),AND(TIPOORCAMENTO="LICITADO",ORÇAMENTO.PrecoUnitarioLicitado&gt;$AN88)),"ACIMA REF.","")))))</f>
        <v/>
      </c>
      <c r="AD88" t="str">
        <f ca="1">IF(C88&lt;=CRONO.NivelExibicao,MAX($AD$15:OFFSET(AD88,-1,0))+IF($C88&lt;&gt;1,1,MAX(1,COUNTIF(QCI!$A$13:$A$24,OFFSET($E88,-1,0)))),"")</f>
        <v/>
      </c>
      <c r="AE88" s="7" t="str">
        <f ca="1">IF(AND($C88="S",ORÇAMENTO.CodBarra&lt;&gt;""),IF(ORÇAMENTO.Fonte="",ORÇAMENTO.CodBarra,CONCATENATE(ORÇAMENTO.Fonte," ",ORÇAMENTO.CodBarra)))</f>
        <v>SINAPI-I 37401</v>
      </c>
      <c r="AF88" s="13" t="str">
        <f ca="1">IF(ISERROR(INDIRECT(ORÇAMENTO.BancoRef)),"(abra o arquivo 'Referência "&amp;Excel_BuiltIn_Database&amp;".xlsm)",IF(OR($C88&lt;&gt;"S",ORÇAMENTO.CodBarra=""),"(Sem Código)",IF(ISERROR(MATCH($AE88,INDIRECT(ORÇAMENTO.BancoRef),0)),"(Código não identificado nas referências)",MATCH($AE88,INDIRECT(ORÇAMENTO.BancoRef),0))))</f>
        <v>(abra o arquivo 'Referência 10-2024.xlsm)</v>
      </c>
      <c r="AG88" s="495">
        <f ca="1">ROUND(IF(DESONERACAO="sim",REFERENCIA.Desonerado,REFERENCIA.NaoDesonerado),2)</f>
        <v>0</v>
      </c>
      <c r="AH88" s="496">
        <f t="shared" ca="1" si="15"/>
        <v>0.20710000000000001</v>
      </c>
      <c r="AJ88" s="498">
        <v>3</v>
      </c>
      <c r="AL88" s="524"/>
      <c r="AM88" s="378">
        <f t="shared" ca="1" si="0"/>
        <v>0</v>
      </c>
      <c r="AN88" s="563">
        <f t="shared" ca="1" si="16"/>
        <v>0</v>
      </c>
    </row>
    <row r="89" spans="1:40" ht="25.5" x14ac:dyDescent="0.2">
      <c r="A89" t="str">
        <f t="shared" si="1"/>
        <v>S</v>
      </c>
      <c r="B89">
        <f t="shared" ca="1" si="2"/>
        <v>2</v>
      </c>
      <c r="C89" t="str">
        <f t="shared" ca="1" si="3"/>
        <v>S</v>
      </c>
      <c r="D89">
        <f t="shared" ca="1" si="4"/>
        <v>0</v>
      </c>
      <c r="E89">
        <f ca="1">IF($C89=1,OFFSET(E89,-1,0)+MAX(1,COUNTIF(QCI!$A$13:$A$24,OFFSET(ORÇAMENTO!E89,-1,0))),OFFSET(E89,-1,0))</f>
        <v>1</v>
      </c>
      <c r="F89">
        <f t="shared" ca="1" si="5"/>
        <v>12</v>
      </c>
      <c r="G89">
        <f t="shared" ca="1" si="6"/>
        <v>0</v>
      </c>
      <c r="H89">
        <f t="shared" ca="1" si="7"/>
        <v>0</v>
      </c>
      <c r="I89">
        <f t="shared" ca="1" si="8"/>
        <v>0</v>
      </c>
      <c r="J89">
        <f t="shared" ca="1" si="35"/>
        <v>0</v>
      </c>
      <c r="K89">
        <f ca="1">IF(OR($C89="S",$C89=0),0,MATCH(OFFSET($D89,0,$C89)+IF($C89&lt;&gt;1,1,COUNTIF(QCI!$A$13:$A$24,ORÇAMENTO!E89)),OFFSET($D89,1,$C89,ROW($C$120)-ROW($C89)),0))</f>
        <v>0</v>
      </c>
      <c r="L89" s="113" t="str">
        <f t="shared" ca="1" si="10"/>
        <v/>
      </c>
      <c r="M89" s="114" t="s">
        <v>199</v>
      </c>
      <c r="N89" s="115" t="str">
        <f t="shared" ca="1" si="11"/>
        <v>Serviço</v>
      </c>
      <c r="O89" s="116" t="str">
        <f t="shared" ca="1" si="12"/>
        <v>-</v>
      </c>
      <c r="P89" s="117" t="s">
        <v>456</v>
      </c>
      <c r="Q89" s="118" t="s">
        <v>515</v>
      </c>
      <c r="R89" s="119" t="str">
        <f ca="1">IF($C89="S",REFERENCIA.Descricao,"(digite a descrição aqui)")</f>
        <v>(abra o arquivo 'Referência 10-2024.xlsm)</v>
      </c>
      <c r="S89" s="120" t="str">
        <f ca="1">REFERENCIA.Unidade</f>
        <v>-</v>
      </c>
      <c r="T89" s="121">
        <f ca="1">OFFSET(CÁLCULO!H$15,ROW($T89)-ROW(T$15),0)</f>
        <v>3</v>
      </c>
      <c r="U89" s="122">
        <f t="shared" ca="1" si="33"/>
        <v>0</v>
      </c>
      <c r="V89" s="123" t="s">
        <v>156</v>
      </c>
      <c r="W89" s="121">
        <f ca="1">IF($C89="S",ROUND(IF(TIPOORCAMENTO="Proposto",ORÇAMENTO.CustoUnitario*(1+$AH89),ORÇAMENTO.PrecoUnitarioLicitado),15-13*$AF$10),0)</f>
        <v>0</v>
      </c>
      <c r="X89" s="124">
        <f ca="1">IF($C89="S",IF(Import.TipoArredondamento&lt;&gt;"TransfereGOV",VTOTAL1,SUM(OFFSET(CÁLCULO!$AA$15,ROW($X89)-ROW($X$15),1):OFFSET(CÁLCULO!$AL$15,ROW($X89)-ROW($X$15),-1))),IF($C89=0,0,ROUND(SomaAgrup,15-13*$AF$11)))</f>
        <v>0</v>
      </c>
      <c r="Y89" s="125" t="s">
        <v>245</v>
      </c>
      <c r="Z89" t="str">
        <f t="shared" ca="1" si="13"/>
        <v/>
      </c>
      <c r="AA89" s="126">
        <f ca="1">IF($C89="S",IF($Z89="CP",$X89,IF($Z89="RA",(($X89)*QCI!$AA$3),0)),SomaAgrup)</f>
        <v>0</v>
      </c>
      <c r="AB89" s="127">
        <f t="shared" ca="1" si="14"/>
        <v>0</v>
      </c>
      <c r="AC89" s="128" t="str">
        <f ca="1">IF($N89="","",IF(ORÇAMENTO.Descricao="","DESCRIÇÃO",IF(AND($C89="S",ORÇAMENTO.Unidade=""),"UNIDADE",IF($X89&lt;0,"VALOR NEGATIVO",IF(OR(AND(TIPOORCAMENTO="Proposto",$AG89&lt;&gt;"",$AG89&gt;0,ORÇAMENTO.CustoUnitario&gt;$AG89),AND(TIPOORCAMENTO="LICITADO",ORÇAMENTO.PrecoUnitarioLicitado&gt;$AN89)),"ACIMA REF.","")))))</f>
        <v/>
      </c>
      <c r="AD89" t="str">
        <f ca="1">IF(C89&lt;=CRONO.NivelExibicao,MAX($AD$15:OFFSET(AD89,-1,0))+IF($C89&lt;&gt;1,1,MAX(1,COUNTIF(QCI!$A$13:$A$24,OFFSET($E89,-1,0)))),"")</f>
        <v/>
      </c>
      <c r="AE89" s="7" t="str">
        <f ca="1">IF(AND($C89="S",ORÇAMENTO.CodBarra&lt;&gt;""),IF(ORÇAMENTO.Fonte="",ORÇAMENTO.CodBarra,CONCATENATE(ORÇAMENTO.Fonte," ",ORÇAMENTO.CodBarra)))</f>
        <v>SINAPI-I 37400</v>
      </c>
      <c r="AF89" s="13" t="str">
        <f ca="1">IF(ISERROR(INDIRECT(ORÇAMENTO.BancoRef)),"(abra o arquivo 'Referência "&amp;Excel_BuiltIn_Database&amp;".xlsm)",IF(OR($C89&lt;&gt;"S",ORÇAMENTO.CodBarra=""),"(Sem Código)",IF(ISERROR(MATCH($AE89,INDIRECT(ORÇAMENTO.BancoRef),0)),"(Código não identificado nas referências)",MATCH($AE89,INDIRECT(ORÇAMENTO.BancoRef),0))))</f>
        <v>(abra o arquivo 'Referência 10-2024.xlsm)</v>
      </c>
      <c r="AG89" s="495">
        <f ca="1">ROUND(IF(DESONERACAO="sim",REFERENCIA.Desonerado,REFERENCIA.NaoDesonerado),2)</f>
        <v>0</v>
      </c>
      <c r="AH89" s="496">
        <f t="shared" ca="1" si="15"/>
        <v>0.20710000000000001</v>
      </c>
      <c r="AJ89" s="498">
        <v>3</v>
      </c>
      <c r="AL89" s="524"/>
      <c r="AM89" s="378">
        <f t="shared" ca="1" si="0"/>
        <v>0</v>
      </c>
      <c r="AN89" s="563">
        <f t="shared" ca="1" si="16"/>
        <v>0</v>
      </c>
    </row>
    <row r="90" spans="1:40" x14ac:dyDescent="0.2">
      <c r="A90" t="str">
        <f t="shared" si="1"/>
        <v>S</v>
      </c>
      <c r="B90">
        <f t="shared" ca="1" si="2"/>
        <v>2</v>
      </c>
      <c r="C90" t="str">
        <f t="shared" ca="1" si="3"/>
        <v>S</v>
      </c>
      <c r="D90">
        <f t="shared" ca="1" si="4"/>
        <v>0</v>
      </c>
      <c r="E90">
        <f ca="1">IF($C90=1,OFFSET(E90,-1,0)+MAX(1,COUNTIF(QCI!$A$13:$A$24,OFFSET(ORÇAMENTO!E90,-1,0))),OFFSET(E90,-1,0))</f>
        <v>1</v>
      </c>
      <c r="F90">
        <f t="shared" ca="1" si="5"/>
        <v>12</v>
      </c>
      <c r="G90">
        <f t="shared" ca="1" si="6"/>
        <v>0</v>
      </c>
      <c r="H90">
        <f t="shared" ca="1" si="7"/>
        <v>0</v>
      </c>
      <c r="I90">
        <f t="shared" ca="1" si="8"/>
        <v>0</v>
      </c>
      <c r="J90">
        <f t="shared" ca="1" si="35"/>
        <v>0</v>
      </c>
      <c r="K90">
        <f ca="1">IF(OR($C90="S",$C90=0),0,MATCH(OFFSET($D90,0,$C90)+IF($C90&lt;&gt;1,1,COUNTIF(QCI!$A$13:$A$24,ORÇAMENTO!E90)),OFFSET($D90,1,$C90,ROW($C$120)-ROW($C90)),0))</f>
        <v>0</v>
      </c>
      <c r="L90" s="113" t="str">
        <f t="shared" ca="1" si="10"/>
        <v/>
      </c>
      <c r="M90" s="114" t="s">
        <v>199</v>
      </c>
      <c r="N90" s="115" t="str">
        <f t="shared" ca="1" si="11"/>
        <v>Serviço</v>
      </c>
      <c r="O90" s="116" t="str">
        <f t="shared" ca="1" si="12"/>
        <v>-</v>
      </c>
      <c r="P90" s="117" t="s">
        <v>456</v>
      </c>
      <c r="Q90" s="118" t="s">
        <v>516</v>
      </c>
      <c r="R90" s="119" t="str">
        <f ca="1">IF($C90="S",REFERENCIA.Descricao,"(digite a descrição aqui)")</f>
        <v>(abra o arquivo 'Referência 10-2024.xlsm)</v>
      </c>
      <c r="S90" s="120" t="str">
        <f ca="1">REFERENCIA.Unidade</f>
        <v>-</v>
      </c>
      <c r="T90" s="121">
        <f ca="1">OFFSET(CÁLCULO!H$15,ROW($T90)-ROW(T$15),0)</f>
        <v>6</v>
      </c>
      <c r="U90" s="122">
        <f t="shared" ca="1" si="33"/>
        <v>0</v>
      </c>
      <c r="V90" s="123" t="s">
        <v>156</v>
      </c>
      <c r="W90" s="121">
        <f ca="1">IF($C90="S",ROUND(IF(TIPOORCAMENTO="Proposto",ORÇAMENTO.CustoUnitario*(1+$AH90),ORÇAMENTO.PrecoUnitarioLicitado),15-13*$AF$10),0)</f>
        <v>0</v>
      </c>
      <c r="X90" s="124">
        <f ca="1">IF($C90="S",IF(Import.TipoArredondamento&lt;&gt;"TransfereGOV",VTOTAL1,SUM(OFFSET(CÁLCULO!$AA$15,ROW($X90)-ROW($X$15),1):OFFSET(CÁLCULO!$AL$15,ROW($X90)-ROW($X$15),-1))),IF($C90=0,0,ROUND(SomaAgrup,15-13*$AF$11)))</f>
        <v>0</v>
      </c>
      <c r="Y90" s="125" t="s">
        <v>245</v>
      </c>
      <c r="Z90" t="str">
        <f t="shared" ca="1" si="13"/>
        <v/>
      </c>
      <c r="AA90" s="126">
        <f ca="1">IF($C90="S",IF($Z90="CP",$X90,IF($Z90="RA",(($X90)*QCI!$AA$3),0)),SomaAgrup)</f>
        <v>0</v>
      </c>
      <c r="AB90" s="127">
        <f t="shared" ca="1" si="14"/>
        <v>0</v>
      </c>
      <c r="AC90" s="128" t="str">
        <f ca="1">IF($N90="","",IF(ORÇAMENTO.Descricao="","DESCRIÇÃO",IF(AND($C90="S",ORÇAMENTO.Unidade=""),"UNIDADE",IF($X90&lt;0,"VALOR NEGATIVO",IF(OR(AND(TIPOORCAMENTO="Proposto",$AG90&lt;&gt;"",$AG90&gt;0,ORÇAMENTO.CustoUnitario&gt;$AG90),AND(TIPOORCAMENTO="LICITADO",ORÇAMENTO.PrecoUnitarioLicitado&gt;$AN90)),"ACIMA REF.","")))))</f>
        <v/>
      </c>
      <c r="AD90" t="str">
        <f ca="1">IF(C90&lt;=CRONO.NivelExibicao,MAX($AD$15:OFFSET(AD90,-1,0))+IF($C90&lt;&gt;1,1,MAX(1,COUNTIF(QCI!$A$13:$A$24,OFFSET($E90,-1,0)))),"")</f>
        <v/>
      </c>
      <c r="AE90" s="7" t="str">
        <f ca="1">IF(AND($C90="S",ORÇAMENTO.CodBarra&lt;&gt;""),IF(ORÇAMENTO.Fonte="",ORÇAMENTO.CodBarra,CONCATENATE(ORÇAMENTO.Fonte," ",ORÇAMENTO.CodBarra)))</f>
        <v>SINAPI-I 37399</v>
      </c>
      <c r="AF90" s="13" t="str">
        <f ca="1">IF(ISERROR(INDIRECT(ORÇAMENTO.BancoRef)),"(abra o arquivo 'Referência "&amp;Excel_BuiltIn_Database&amp;".xlsm)",IF(OR($C90&lt;&gt;"S",ORÇAMENTO.CodBarra=""),"(Sem Código)",IF(ISERROR(MATCH($AE90,INDIRECT(ORÇAMENTO.BancoRef),0)),"(Código não identificado nas referências)",MATCH($AE90,INDIRECT(ORÇAMENTO.BancoRef),0))))</f>
        <v>(abra o arquivo 'Referência 10-2024.xlsm)</v>
      </c>
      <c r="AG90" s="495">
        <f ca="1">ROUND(IF(DESONERACAO="sim",REFERENCIA.Desonerado,REFERENCIA.NaoDesonerado),2)</f>
        <v>0</v>
      </c>
      <c r="AH90" s="496">
        <f t="shared" ca="1" si="15"/>
        <v>0.20710000000000001</v>
      </c>
      <c r="AJ90" s="498">
        <v>6</v>
      </c>
      <c r="AL90" s="524"/>
      <c r="AM90" s="378">
        <f t="shared" ca="1" si="0"/>
        <v>0</v>
      </c>
      <c r="AN90" s="563">
        <f t="shared" ca="1" si="16"/>
        <v>0</v>
      </c>
    </row>
    <row r="91" spans="1:40" x14ac:dyDescent="0.2">
      <c r="A91">
        <f t="shared" si="1"/>
        <v>2</v>
      </c>
      <c r="B91">
        <f t="shared" ca="1" si="2"/>
        <v>2</v>
      </c>
      <c r="C91">
        <f t="shared" ca="1" si="3"/>
        <v>2</v>
      </c>
      <c r="D91">
        <f t="shared" ca="1" si="4"/>
        <v>12</v>
      </c>
      <c r="E91">
        <f ca="1">IF($C91=1,OFFSET(E91,-1,0)+MAX(1,COUNTIF(QCI!$A$13:$A$24,OFFSET(ORÇAMENTO!E91,-1,0))),OFFSET(E91,-1,0))</f>
        <v>1</v>
      </c>
      <c r="F91">
        <f t="shared" ca="1" si="5"/>
        <v>13</v>
      </c>
      <c r="G91">
        <f t="shared" ca="1" si="6"/>
        <v>0</v>
      </c>
      <c r="H91">
        <f t="shared" ca="1" si="7"/>
        <v>0</v>
      </c>
      <c r="I91">
        <f t="shared" ca="1" si="8"/>
        <v>0</v>
      </c>
      <c r="J91">
        <f t="shared" ca="1" si="35"/>
        <v>29</v>
      </c>
      <c r="K91">
        <f ca="1">IF(OR($C91="S",$C91=0),0,MATCH(OFFSET($D91,0,$C91)+IF($C91&lt;&gt;1,1,COUNTIF(QCI!$A$13:$A$24,ORÇAMENTO!E91)),OFFSET($D91,1,$C91,ROW($C$120)-ROW($C91)),0))</f>
        <v>12</v>
      </c>
      <c r="L91" s="113" t="str">
        <f t="shared" ca="1" si="10"/>
        <v>F</v>
      </c>
      <c r="M91" s="114" t="s">
        <v>196</v>
      </c>
      <c r="N91" s="115" t="str">
        <f t="shared" ca="1" si="11"/>
        <v>Nível 2</v>
      </c>
      <c r="O91" s="116" t="str">
        <f t="shared" ca="1" si="12"/>
        <v>1.13.</v>
      </c>
      <c r="P91" s="117" t="s">
        <v>247</v>
      </c>
      <c r="Q91" s="118"/>
      <c r="R91" s="119" t="s">
        <v>500</v>
      </c>
      <c r="S91" s="120" t="str">
        <f ca="1">REFERENCIA.Unidade</f>
        <v>-</v>
      </c>
      <c r="T91" s="121">
        <f ca="1">OFFSET(CÁLCULO!H$15,ROW($T91)-ROW(T$15),0)</f>
        <v>0</v>
      </c>
      <c r="U91" s="122">
        <f t="shared" ca="1" si="33"/>
        <v>0</v>
      </c>
      <c r="V91" s="123" t="s">
        <v>156</v>
      </c>
      <c r="W91" s="121">
        <f ca="1">IF($C91="S",ROUND(IF(TIPOORCAMENTO="Proposto",ORÇAMENTO.CustoUnitario*(1+$AH91),ORÇAMENTO.PrecoUnitarioLicitado),15-13*$AF$10),0)</f>
        <v>0</v>
      </c>
      <c r="X91" s="124">
        <f ca="1">IF($C91="S",IF(Import.TipoArredondamento&lt;&gt;"TransfereGOV",VTOTAL1,SUM(OFFSET(CÁLCULO!$AA$15,ROW($X91)-ROW($X$15),1):OFFSET(CÁLCULO!$AL$15,ROW($X91)-ROW($X$15),-1))),IF($C91=0,0,ROUND(SomaAgrup,15-13*$AF$11)))</f>
        <v>0</v>
      </c>
      <c r="Y91" s="125" t="s">
        <v>245</v>
      </c>
      <c r="Z91" t="str">
        <f t="shared" ca="1" si="13"/>
        <v/>
      </c>
      <c r="AA91" s="126">
        <f ca="1">IF($C91="S",IF($Z91="CP",$X91,IF($Z91="RA",(($X91)*QCI!$AA$3),0)),SomaAgrup)</f>
        <v>0</v>
      </c>
      <c r="AB91" s="127">
        <f t="shared" ca="1" si="14"/>
        <v>0</v>
      </c>
      <c r="AC91" s="128" t="str">
        <f ca="1">IF($N91="","",IF(ORÇAMENTO.Descricao="","DESCRIÇÃO",IF(AND($C91="S",ORÇAMENTO.Unidade=""),"UNIDADE",IF($X91&lt;0,"VALOR NEGATIVO",IF(OR(AND(TIPOORCAMENTO="Proposto",$AG91&lt;&gt;"",$AG91&gt;0,ORÇAMENTO.CustoUnitario&gt;$AG91),AND(TIPOORCAMENTO="LICITADO",ORÇAMENTO.PrecoUnitarioLicitado&gt;$AN91)),"ACIMA REF.","")))))</f>
        <v/>
      </c>
      <c r="AD91">
        <f ca="1">IF(C91&lt;=CRONO.NivelExibicao,MAX($AD$15:OFFSET(AD91,-1,0))+IF($C91&lt;&gt;1,1,MAX(1,COUNTIF(QCI!$A$13:$A$24,OFFSET($E91,-1,0)))),"")</f>
        <v>14</v>
      </c>
      <c r="AE91" s="7" t="b">
        <f ca="1">IF(AND($C91="S",ORÇAMENTO.CodBarra&lt;&gt;""),IF(ORÇAMENTO.Fonte="",ORÇAMENTO.CodBarra,CONCATENATE(ORÇAMENTO.Fonte," ",ORÇAMENTO.CodBarra)))</f>
        <v>0</v>
      </c>
      <c r="AF91" s="13" t="str">
        <f ca="1">IF(ISERROR(INDIRECT(ORÇAMENTO.BancoRef)),"(abra o arquivo 'Referência "&amp;Excel_BuiltIn_Database&amp;".xlsm)",IF(OR($C91&lt;&gt;"S",ORÇAMENTO.CodBarra=""),"(Sem Código)",IF(ISERROR(MATCH($AE91,INDIRECT(ORÇAMENTO.BancoRef),0)),"(Código não identificado nas referências)",MATCH($AE91,INDIRECT(ORÇAMENTO.BancoRef),0))))</f>
        <v>(abra o arquivo 'Referência 10-2024.xlsm)</v>
      </c>
      <c r="AG91" s="495">
        <f ca="1">ROUND(IF(DESONERACAO="sim",REFERENCIA.Desonerado,REFERENCIA.NaoDesonerado),2)</f>
        <v>0</v>
      </c>
      <c r="AH91" s="496">
        <f t="shared" ca="1" si="15"/>
        <v>0.20710000000000001</v>
      </c>
      <c r="AJ91" s="498"/>
      <c r="AL91" s="524"/>
      <c r="AM91" s="378">
        <f t="shared" ca="1" si="0"/>
        <v>0</v>
      </c>
      <c r="AN91" s="563">
        <f t="shared" ca="1" si="16"/>
        <v>0</v>
      </c>
    </row>
    <row r="92" spans="1:40" ht="25.5" x14ac:dyDescent="0.2">
      <c r="A92" t="str">
        <f t="shared" ref="A92:A119" si="36">CHOOSE(1+LOG(1+2*(ORÇAMENTO.Nivel="Meta")+4*(ORÇAMENTO.Nivel="Nível 2")+8*(ORÇAMENTO.Nivel="Nível 3")+16*(ORÇAMENTO.Nivel="Nível 4")+32*(ORÇAMENTO.Nivel="Serviço"),2),0,1,2,3,4,"S")</f>
        <v>S</v>
      </c>
      <c r="B92">
        <f t="shared" ref="B92:B108" ca="1" si="37">IF(OR(C92="s",C92=0),OFFSET(B92,-1,0),C92)</f>
        <v>2</v>
      </c>
      <c r="C92" t="str">
        <f t="shared" ref="C92:C108" ca="1" si="38">IF(OFFSET(C92,-1,0)="L",1,IF(OFFSET(C92,-1,0)=1,2,IF(OR(A92="s",A92=0),"S",IF(AND(OFFSET(C92,-1,0)=2,A92=4),3,IF(AND(OR(OFFSET(C92,-1,0)="s",OFFSET(C92,-1,0)=0),A92&lt;&gt;"s",A92&gt;OFFSET(B92,-1,0)),OFFSET(B92,-1,0),A92)))))</f>
        <v>S</v>
      </c>
      <c r="D92">
        <f t="shared" ref="D92:D108" ca="1" si="39">IF(OR(C92="S",C92=0),0,IF(ISERROR(K92),J92,SMALL(J92:K92,1)))</f>
        <v>0</v>
      </c>
      <c r="E92">
        <f ca="1">IF($C92=1,OFFSET(E92,-1,0)+MAX(1,COUNTIF(QCI!$A$13:$A$24,OFFSET(ORÇAMENTO!E92,-1,0))),OFFSET(E92,-1,0))</f>
        <v>1</v>
      </c>
      <c r="F92">
        <f t="shared" ref="F92:F108" ca="1" si="40">IF($C92=1,0,IF($C92=2,OFFSET(F92,-1,0)+1,OFFSET(F92,-1,0)))</f>
        <v>13</v>
      </c>
      <c r="G92">
        <f t="shared" ref="G92:G108" ca="1" si="41">IF(AND($C92&lt;=2,$C92&lt;&gt;0),0,IF($C92=3,OFFSET(G92,-1,0)+1,OFFSET(G92,-1,0)))</f>
        <v>0</v>
      </c>
      <c r="H92">
        <f t="shared" ref="H92:H108" ca="1" si="42">IF(AND($C92&lt;=3,$C92&lt;&gt;0),0,IF($C92=4,OFFSET(H92,-1,0)+1,OFFSET(H92,-1,0)))</f>
        <v>0</v>
      </c>
      <c r="I92">
        <f t="shared" ref="I92:I108" ca="1" si="43">IF(AND($C92&lt;=4,$C92&lt;&gt;0),0,IF(AND($C92="S",$X92&gt;0),OFFSET(I92,-1,0)+1,OFFSET(I92,-1,0)))</f>
        <v>0</v>
      </c>
      <c r="J92">
        <f t="shared" ca="1" si="35"/>
        <v>0</v>
      </c>
      <c r="K92">
        <f ca="1">IF(OR($C92="S",$C92=0),0,MATCH(OFFSET($D92,0,$C92)+IF($C92&lt;&gt;1,1,COUNTIF(QCI!$A$13:$A$24,ORÇAMENTO!E92)),OFFSET($D92,1,$C92,ROW($C$120)-ROW($C92)),0))</f>
        <v>0</v>
      </c>
      <c r="L92" s="113" t="str">
        <f t="shared" ref="L92:L108" ca="1" si="44">IF(OR($X92&gt;0,$C92=1,$C92=2,$C92=3,$C92=4),"F","")</f>
        <v/>
      </c>
      <c r="M92" s="114" t="s">
        <v>199</v>
      </c>
      <c r="N92" s="115" t="str">
        <f t="shared" ref="N92:N108" ca="1" si="45">CHOOSE(1+LOG(1+2*(C92=1)+4*(C92=2)+8*(C92=3)+16*(C92=4)+32*(C92="S"),2),"","Meta","Nível 2","Nível 3","Nível 4","Serviço")</f>
        <v>Serviço</v>
      </c>
      <c r="O92" s="116" t="str">
        <f t="shared" ref="O92:O108" ca="1" si="46">IF(OR($C92=0,$L92=""),"-",CONCATENATE(E92&amp;".",IF(AND($A$5&gt;=2,$C92&gt;=2),F92&amp;".",""),IF(AND($A$5&gt;=3,$C92&gt;=3),G92&amp;".",""),IF(AND($A$5&gt;=4,$C92&gt;=4),H92&amp;".",""),IF($C92="S",I92&amp;".","")))</f>
        <v>-</v>
      </c>
      <c r="P92" s="117" t="s">
        <v>456</v>
      </c>
      <c r="Q92" s="118" t="s">
        <v>509</v>
      </c>
      <c r="R92" s="119" t="str">
        <f ca="1">IF($C92="S",REFERENCIA.Descricao,"(digite a descrição aqui)")</f>
        <v>(abra o arquivo 'Referência 10-2024.xlsm)</v>
      </c>
      <c r="S92" s="120" t="str">
        <f ca="1">REFERENCIA.Unidade</f>
        <v>-</v>
      </c>
      <c r="T92" s="121">
        <f ca="1">OFFSET(CÁLCULO!H$15,ROW($T92)-ROW(T$15),0)</f>
        <v>1</v>
      </c>
      <c r="U92" s="122">
        <f t="shared" ca="1" si="33"/>
        <v>0</v>
      </c>
      <c r="V92" s="123" t="s">
        <v>156</v>
      </c>
      <c r="W92" s="121">
        <f ca="1">IF($C92="S",ROUND(IF(TIPOORCAMENTO="Proposto",ORÇAMENTO.CustoUnitario*(1+$AH92),ORÇAMENTO.PrecoUnitarioLicitado),15-13*$AF$10),0)</f>
        <v>0</v>
      </c>
      <c r="X92" s="124">
        <f ca="1">IF($C92="S",IF(Import.TipoArredondamento&lt;&gt;"TransfereGOV",VTOTAL1,SUM(OFFSET(CÁLCULO!$AA$15,ROW($X92)-ROW($X$15),1):OFFSET(CÁLCULO!$AL$15,ROW($X92)-ROW($X$15),-1))),IF($C92=0,0,ROUND(SomaAgrup,15-13*$AF$11)))</f>
        <v>0</v>
      </c>
      <c r="Y92" s="125" t="s">
        <v>245</v>
      </c>
      <c r="Z92" t="str">
        <f t="shared" ref="Z92:Z108" ca="1" si="47">IF(AND($C92="S",$X92&gt;0),IF(ISBLANK($Y92),"RA",LEFT($Y92,2)),"")</f>
        <v/>
      </c>
      <c r="AA92" s="126">
        <f ca="1">IF($C92="S",IF($Z92="CP",$X92,IF($Z92="RA",(($X92)*QCI!$AA$3),0)),SomaAgrup)</f>
        <v>0</v>
      </c>
      <c r="AB92" s="127">
        <f t="shared" ref="AB92:AB119" ca="1" si="48">IF($C92="S",IF($Z92="OU",ROUND($X92,2),0),SomaAgrup)</f>
        <v>0</v>
      </c>
      <c r="AC92" s="128" t="str">
        <f ca="1">IF($N92="","",IF(ORÇAMENTO.Descricao="","DESCRIÇÃO",IF(AND($C92="S",ORÇAMENTO.Unidade=""),"UNIDADE",IF($X92&lt;0,"VALOR NEGATIVO",IF(OR(AND(TIPOORCAMENTO="Proposto",$AG92&lt;&gt;"",$AG92&gt;0,ORÇAMENTO.CustoUnitario&gt;$AG92),AND(TIPOORCAMENTO="LICITADO",ORÇAMENTO.PrecoUnitarioLicitado&gt;$AN92)),"ACIMA REF.","")))))</f>
        <v/>
      </c>
      <c r="AD92" t="str">
        <f ca="1">IF(C92&lt;=CRONO.NivelExibicao,MAX($AD$15:OFFSET(AD92,-1,0))+IF($C92&lt;&gt;1,1,MAX(1,COUNTIF(QCI!$A$13:$A$24,OFFSET($E92,-1,0)))),"")</f>
        <v/>
      </c>
      <c r="AE92" s="7" t="str">
        <f ca="1">IF(AND($C92="S",ORÇAMENTO.CodBarra&lt;&gt;""),IF(ORÇAMENTO.Fonte="",ORÇAMENTO.CodBarra,CONCATENATE(ORÇAMENTO.Fonte," ",ORÇAMENTO.CodBarra)))</f>
        <v>SINAPI-I 34637</v>
      </c>
      <c r="AF92" s="13" t="str">
        <f ca="1">IF(ISERROR(INDIRECT(ORÇAMENTO.BancoRef)),"(abra o arquivo 'Referência "&amp;Excel_BuiltIn_Database&amp;".xlsm)",IF(OR($C92&lt;&gt;"S",ORÇAMENTO.CodBarra=""),"(Sem Código)",IF(ISERROR(MATCH($AE92,INDIRECT(ORÇAMENTO.BancoRef),0)),"(Código não identificado nas referências)",MATCH($AE92,INDIRECT(ORÇAMENTO.BancoRef),0))))</f>
        <v>(abra o arquivo 'Referência 10-2024.xlsm)</v>
      </c>
      <c r="AG92" s="495">
        <f ca="1">ROUND(IF(DESONERACAO="sim",REFERENCIA.Desonerado,REFERENCIA.NaoDesonerado),2)</f>
        <v>0</v>
      </c>
      <c r="AH92" s="496">
        <f t="shared" ref="AH92:AH119" ca="1" si="49">ROUND(IF(ISNUMBER(ORÇAMENTO.OpcaoBDI),ORÇAMENTO.OpcaoBDI,IF(LEFT(ORÇAMENTO.OpcaoBDI,3)="BDI",HLOOKUP(ORÇAMENTO.OpcaoBDI,$F$4:$H$5,2,FALSE),0)),15-11*$AF$9)</f>
        <v>0.20710000000000001</v>
      </c>
      <c r="AJ92" s="498">
        <v>1</v>
      </c>
      <c r="AL92" s="524"/>
      <c r="AM92" s="378">
        <f t="shared" ca="1" si="0"/>
        <v>0</v>
      </c>
      <c r="AN92" s="563">
        <f t="shared" ref="AN92:AN119" ca="1" si="50">ROUND(ORÇAMENTO.CustoUnitario*(1+$AH92),2)</f>
        <v>0</v>
      </c>
    </row>
    <row r="93" spans="1:40" ht="38.25" x14ac:dyDescent="0.2">
      <c r="A93" t="str">
        <f t="shared" si="36"/>
        <v>S</v>
      </c>
      <c r="B93">
        <f t="shared" ca="1" si="37"/>
        <v>2</v>
      </c>
      <c r="C93" t="str">
        <f t="shared" ca="1" si="38"/>
        <v>S</v>
      </c>
      <c r="D93">
        <f t="shared" ca="1" si="39"/>
        <v>0</v>
      </c>
      <c r="E93">
        <f ca="1">IF($C93=1,OFFSET(E93,-1,0)+MAX(1,COUNTIF(QCI!$A$13:$A$24,OFFSET(ORÇAMENTO!E93,-1,0))),OFFSET(E93,-1,0))</f>
        <v>1</v>
      </c>
      <c r="F93">
        <f t="shared" ca="1" si="40"/>
        <v>13</v>
      </c>
      <c r="G93">
        <f t="shared" ca="1" si="41"/>
        <v>0</v>
      </c>
      <c r="H93">
        <f t="shared" ca="1" si="42"/>
        <v>0</v>
      </c>
      <c r="I93">
        <f t="shared" ca="1" si="43"/>
        <v>0</v>
      </c>
      <c r="J93">
        <f t="shared" ca="1" si="35"/>
        <v>0</v>
      </c>
      <c r="K93">
        <f ca="1">IF(OR($C93="S",$C93=0),0,MATCH(OFFSET($D93,0,$C93)+IF($C93&lt;&gt;1,1,COUNTIF(QCI!$A$13:$A$24,ORÇAMENTO!E93)),OFFSET($D93,1,$C93,ROW($C$120)-ROW($C93)),0))</f>
        <v>0</v>
      </c>
      <c r="L93" s="113" t="str">
        <f t="shared" ca="1" si="44"/>
        <v/>
      </c>
      <c r="M93" s="114" t="s">
        <v>199</v>
      </c>
      <c r="N93" s="115" t="str">
        <f t="shared" ca="1" si="45"/>
        <v>Serviço</v>
      </c>
      <c r="O93" s="116" t="str">
        <f t="shared" ca="1" si="46"/>
        <v>-</v>
      </c>
      <c r="P93" s="117" t="s">
        <v>247</v>
      </c>
      <c r="Q93" s="118" t="s">
        <v>520</v>
      </c>
      <c r="R93" s="119" t="str">
        <f ca="1">IF($C93="S",REFERENCIA.Descricao,"(digite a descrição aqui)")</f>
        <v>(abra o arquivo 'Referência 10-2024.xlsm)</v>
      </c>
      <c r="S93" s="120" t="str">
        <f ca="1">REFERENCIA.Unidade</f>
        <v>-</v>
      </c>
      <c r="T93" s="121">
        <f ca="1">OFFSET(CÁLCULO!H$15,ROW($T93)-ROW(T$15),0)</f>
        <v>5</v>
      </c>
      <c r="U93" s="122">
        <f t="shared" ca="1" si="33"/>
        <v>0</v>
      </c>
      <c r="V93" s="123" t="s">
        <v>156</v>
      </c>
      <c r="W93" s="121">
        <f ca="1">IF($C93="S",ROUND(IF(TIPOORCAMENTO="Proposto",ORÇAMENTO.CustoUnitario*(1+$AH93),ORÇAMENTO.PrecoUnitarioLicitado),15-13*$AF$10),0)</f>
        <v>0</v>
      </c>
      <c r="X93" s="124">
        <f ca="1">IF($C93="S",IF(Import.TipoArredondamento&lt;&gt;"TransfereGOV",VTOTAL1,SUM(OFFSET(CÁLCULO!$AA$15,ROW($X93)-ROW($X$15),1):OFFSET(CÁLCULO!$AL$15,ROW($X93)-ROW($X$15),-1))),IF($C93=0,0,ROUND(SomaAgrup,15-13*$AF$11)))</f>
        <v>0</v>
      </c>
      <c r="Y93" s="125" t="s">
        <v>245</v>
      </c>
      <c r="Z93" t="str">
        <f t="shared" ca="1" si="47"/>
        <v/>
      </c>
      <c r="AA93" s="126">
        <f ca="1">IF($C93="S",IF($Z93="CP",$X93,IF($Z93="RA",(($X93)*QCI!$AA$3),0)),SomaAgrup)</f>
        <v>0</v>
      </c>
      <c r="AB93" s="127">
        <f t="shared" ca="1" si="48"/>
        <v>0</v>
      </c>
      <c r="AC93" s="128" t="str">
        <f ca="1">IF($N93="","",IF(ORÇAMENTO.Descricao="","DESCRIÇÃO",IF(AND($C93="S",ORÇAMENTO.Unidade=""),"UNIDADE",IF($X93&lt;0,"VALOR NEGATIVO",IF(OR(AND(TIPOORCAMENTO="Proposto",$AG93&lt;&gt;"",$AG93&gt;0,ORÇAMENTO.CustoUnitario&gt;$AG93),AND(TIPOORCAMENTO="LICITADO",ORÇAMENTO.PrecoUnitarioLicitado&gt;$AN93)),"ACIMA REF.","")))))</f>
        <v/>
      </c>
      <c r="AD93" t="str">
        <f ca="1">IF(C93&lt;=CRONO.NivelExibicao,MAX($AD$15:OFFSET(AD93,-1,0))+IF($C93&lt;&gt;1,1,MAX(1,COUNTIF(QCI!$A$13:$A$24,OFFSET($E93,-1,0)))),"")</f>
        <v/>
      </c>
      <c r="AE93" s="7" t="str">
        <f ca="1">IF(AND($C93="S",ORÇAMENTO.CodBarra&lt;&gt;""),IF(ORÇAMENTO.Fonte="",ORÇAMENTO.CodBarra,CONCATENATE(ORÇAMENTO.Fonte," ",ORÇAMENTO.CodBarra)))</f>
        <v>SINAPI 89576</v>
      </c>
      <c r="AF93" s="13" t="str">
        <f ca="1">IF(ISERROR(INDIRECT(ORÇAMENTO.BancoRef)),"(abra o arquivo 'Referência "&amp;Excel_BuiltIn_Database&amp;".xlsm)",IF(OR($C93&lt;&gt;"S",ORÇAMENTO.CodBarra=""),"(Sem Código)",IF(ISERROR(MATCH($AE93,INDIRECT(ORÇAMENTO.BancoRef),0)),"(Código não identificado nas referências)",MATCH($AE93,INDIRECT(ORÇAMENTO.BancoRef),0))))</f>
        <v>(abra o arquivo 'Referência 10-2024.xlsm)</v>
      </c>
      <c r="AG93" s="495">
        <f ca="1">ROUND(IF(DESONERACAO="sim",REFERENCIA.Desonerado,REFERENCIA.NaoDesonerado),2)</f>
        <v>0</v>
      </c>
      <c r="AH93" s="496">
        <f t="shared" ca="1" si="49"/>
        <v>0.20710000000000001</v>
      </c>
      <c r="AJ93" s="498">
        <v>5</v>
      </c>
      <c r="AL93" s="524"/>
      <c r="AM93" s="378">
        <f t="shared" ca="1" si="0"/>
        <v>0</v>
      </c>
      <c r="AN93" s="563">
        <f t="shared" ca="1" si="50"/>
        <v>0</v>
      </c>
    </row>
    <row r="94" spans="1:40" ht="38.25" x14ac:dyDescent="0.2">
      <c r="A94" t="str">
        <f t="shared" si="36"/>
        <v>S</v>
      </c>
      <c r="B94">
        <f t="shared" ca="1" si="37"/>
        <v>2</v>
      </c>
      <c r="C94" t="str">
        <f t="shared" ca="1" si="38"/>
        <v>S</v>
      </c>
      <c r="D94">
        <f t="shared" ca="1" si="39"/>
        <v>0</v>
      </c>
      <c r="E94">
        <f ca="1">IF($C94=1,OFFSET(E94,-1,0)+MAX(1,COUNTIF(QCI!$A$13:$A$24,OFFSET(ORÇAMENTO!E94,-1,0))),OFFSET(E94,-1,0))</f>
        <v>1</v>
      </c>
      <c r="F94">
        <f t="shared" ca="1" si="40"/>
        <v>13</v>
      </c>
      <c r="G94">
        <f t="shared" ca="1" si="41"/>
        <v>0</v>
      </c>
      <c r="H94">
        <f t="shared" ca="1" si="42"/>
        <v>0</v>
      </c>
      <c r="I94">
        <f t="shared" ca="1" si="43"/>
        <v>0</v>
      </c>
      <c r="J94">
        <f t="shared" ca="1" si="35"/>
        <v>0</v>
      </c>
      <c r="K94">
        <f ca="1">IF(OR($C94="S",$C94=0),0,MATCH(OFFSET($D94,0,$C94)+IF($C94&lt;&gt;1,1,COUNTIF(QCI!$A$13:$A$24,ORÇAMENTO!E94)),OFFSET($D94,1,$C94,ROW($C$120)-ROW($C94)),0))</f>
        <v>0</v>
      </c>
      <c r="L94" s="113" t="str">
        <f t="shared" ca="1" si="44"/>
        <v/>
      </c>
      <c r="M94" s="114" t="s">
        <v>199</v>
      </c>
      <c r="N94" s="115" t="str">
        <f t="shared" ca="1" si="45"/>
        <v>Serviço</v>
      </c>
      <c r="O94" s="116" t="str">
        <f t="shared" ca="1" si="46"/>
        <v>-</v>
      </c>
      <c r="P94" s="117" t="s">
        <v>247</v>
      </c>
      <c r="Q94" s="118" t="s">
        <v>521</v>
      </c>
      <c r="R94" s="119" t="str">
        <f ca="1">IF($C94="S",REFERENCIA.Descricao,"(digite a descrição aqui)")</f>
        <v>(abra o arquivo 'Referência 10-2024.xlsm)</v>
      </c>
      <c r="S94" s="120" t="str">
        <f ca="1">REFERENCIA.Unidade</f>
        <v>-</v>
      </c>
      <c r="T94" s="121">
        <f ca="1">OFFSET(CÁLCULO!H$15,ROW($T94)-ROW(T$15),0)</f>
        <v>15.25</v>
      </c>
      <c r="U94" s="122">
        <f t="shared" ca="1" si="33"/>
        <v>0</v>
      </c>
      <c r="V94" s="123" t="s">
        <v>156</v>
      </c>
      <c r="W94" s="121">
        <f ca="1">IF($C94="S",ROUND(IF(TIPOORCAMENTO="Proposto",ORÇAMENTO.CustoUnitario*(1+$AH94),ORÇAMENTO.PrecoUnitarioLicitado),15-13*$AF$10),0)</f>
        <v>0</v>
      </c>
      <c r="X94" s="124">
        <f ca="1">IF($C94="S",IF(Import.TipoArredondamento&lt;&gt;"TransfereGOV",VTOTAL1,SUM(OFFSET(CÁLCULO!$AA$15,ROW($X94)-ROW($X$15),1):OFFSET(CÁLCULO!$AL$15,ROW($X94)-ROW($X$15),-1))),IF($C94=0,0,ROUND(SomaAgrup,15-13*$AF$11)))</f>
        <v>0</v>
      </c>
      <c r="Y94" s="125" t="s">
        <v>245</v>
      </c>
      <c r="Z94" t="str">
        <f t="shared" ca="1" si="47"/>
        <v/>
      </c>
      <c r="AA94" s="126">
        <f ca="1">IF($C94="S",IF($Z94="CP",$X94,IF($Z94="RA",(($X94)*QCI!$AA$3),0)),SomaAgrup)</f>
        <v>0</v>
      </c>
      <c r="AB94" s="127">
        <f t="shared" ca="1" si="48"/>
        <v>0</v>
      </c>
      <c r="AC94" s="128" t="str">
        <f ca="1">IF($N94="","",IF(ORÇAMENTO.Descricao="","DESCRIÇÃO",IF(AND($C94="S",ORÇAMENTO.Unidade=""),"UNIDADE",IF($X94&lt;0,"VALOR NEGATIVO",IF(OR(AND(TIPOORCAMENTO="Proposto",$AG94&lt;&gt;"",$AG94&gt;0,ORÇAMENTO.CustoUnitario&gt;$AG94),AND(TIPOORCAMENTO="LICITADO",ORÇAMENTO.PrecoUnitarioLicitado&gt;$AN94)),"ACIMA REF.","")))))</f>
        <v/>
      </c>
      <c r="AD94" t="str">
        <f ca="1">IF(C94&lt;=CRONO.NivelExibicao,MAX($AD$15:OFFSET(AD94,-1,0))+IF($C94&lt;&gt;1,1,MAX(1,COUNTIF(QCI!$A$13:$A$24,OFFSET($E94,-1,0)))),"")</f>
        <v/>
      </c>
      <c r="AE94" s="7" t="str">
        <f ca="1">IF(AND($C94="S",ORÇAMENTO.CodBarra&lt;&gt;""),IF(ORÇAMENTO.Fonte="",ORÇAMENTO.CodBarra,CONCATENATE(ORÇAMENTO.Fonte," ",ORÇAMENTO.CodBarra)))</f>
        <v>SINAPI 89714</v>
      </c>
      <c r="AF94" s="13" t="str">
        <f ca="1">IF(ISERROR(INDIRECT(ORÇAMENTO.BancoRef)),"(abra o arquivo 'Referência "&amp;Excel_BuiltIn_Database&amp;".xlsm)",IF(OR($C94&lt;&gt;"S",ORÇAMENTO.CodBarra=""),"(Sem Código)",IF(ISERROR(MATCH($AE94,INDIRECT(ORÇAMENTO.BancoRef),0)),"(Código não identificado nas referências)",MATCH($AE94,INDIRECT(ORÇAMENTO.BancoRef),0))))</f>
        <v>(abra o arquivo 'Referência 10-2024.xlsm)</v>
      </c>
      <c r="AG94" s="495">
        <f ca="1">ROUND(IF(DESONERACAO="sim",REFERENCIA.Desonerado,REFERENCIA.NaoDesonerado),2)</f>
        <v>0</v>
      </c>
      <c r="AH94" s="496">
        <f t="shared" ca="1" si="49"/>
        <v>0.20710000000000001</v>
      </c>
      <c r="AJ94" s="498">
        <f>8.5+2+2+0.3+0.4+0.35+0.3+0.4+0.35+0.65</f>
        <v>15.250000000000002</v>
      </c>
      <c r="AL94" s="524"/>
      <c r="AM94" s="378">
        <f t="shared" ref="AM94:AM119" ca="1" si="51">$X94</f>
        <v>0</v>
      </c>
      <c r="AN94" s="563">
        <f t="shared" ca="1" si="50"/>
        <v>0</v>
      </c>
    </row>
    <row r="95" spans="1:40" ht="38.25" x14ac:dyDescent="0.2">
      <c r="A95" t="str">
        <f t="shared" si="36"/>
        <v>S</v>
      </c>
      <c r="B95">
        <f t="shared" ca="1" si="37"/>
        <v>2</v>
      </c>
      <c r="C95" t="str">
        <f t="shared" ca="1" si="38"/>
        <v>S</v>
      </c>
      <c r="D95">
        <f t="shared" ca="1" si="39"/>
        <v>0</v>
      </c>
      <c r="E95">
        <f ca="1">IF($C95=1,OFFSET(E95,-1,0)+MAX(1,COUNTIF(QCI!$A$13:$A$24,OFFSET(ORÇAMENTO!E95,-1,0))),OFFSET(E95,-1,0))</f>
        <v>1</v>
      </c>
      <c r="F95">
        <f t="shared" ca="1" si="40"/>
        <v>13</v>
      </c>
      <c r="G95">
        <f t="shared" ca="1" si="41"/>
        <v>0</v>
      </c>
      <c r="H95">
        <f t="shared" ca="1" si="42"/>
        <v>0</v>
      </c>
      <c r="I95">
        <f t="shared" ca="1" si="43"/>
        <v>0</v>
      </c>
      <c r="J95">
        <f t="shared" ca="1" si="35"/>
        <v>0</v>
      </c>
      <c r="K95">
        <f ca="1">IF(OR($C95="S",$C95=0),0,MATCH(OFFSET($D95,0,$C95)+IF($C95&lt;&gt;1,1,COUNTIF(QCI!$A$13:$A$24,ORÇAMENTO!E95)),OFFSET($D95,1,$C95,ROW($C$120)-ROW($C95)),0))</f>
        <v>0</v>
      </c>
      <c r="L95" s="113" t="str">
        <f t="shared" ca="1" si="44"/>
        <v/>
      </c>
      <c r="M95" s="114" t="s">
        <v>199</v>
      </c>
      <c r="N95" s="115" t="str">
        <f t="shared" ca="1" si="45"/>
        <v>Serviço</v>
      </c>
      <c r="O95" s="116" t="str">
        <f t="shared" ca="1" si="46"/>
        <v>-</v>
      </c>
      <c r="P95" s="117" t="s">
        <v>247</v>
      </c>
      <c r="Q95" s="118" t="s">
        <v>523</v>
      </c>
      <c r="R95" s="119" t="str">
        <f ca="1">IF($C95="S",REFERENCIA.Descricao,"(digite a descrição aqui)")</f>
        <v>(abra o arquivo 'Referência 10-2024.xlsm)</v>
      </c>
      <c r="S95" s="120" t="str">
        <f ca="1">REFERENCIA.Unidade</f>
        <v>-</v>
      </c>
      <c r="T95" s="121">
        <f ca="1">OFFSET(CÁLCULO!H$15,ROW($T95)-ROW(T$15),0)</f>
        <v>4.5999999999999996</v>
      </c>
      <c r="U95" s="122">
        <f t="shared" ref="U95:U119" ca="1" si="52">AG95</f>
        <v>0</v>
      </c>
      <c r="V95" s="123" t="s">
        <v>156</v>
      </c>
      <c r="W95" s="121">
        <f ca="1">IF($C95="S",ROUND(IF(TIPOORCAMENTO="Proposto",ORÇAMENTO.CustoUnitario*(1+$AH95),ORÇAMENTO.PrecoUnitarioLicitado),15-13*$AF$10),0)</f>
        <v>0</v>
      </c>
      <c r="X95" s="124">
        <f ca="1">IF($C95="S",IF(Import.TipoArredondamento&lt;&gt;"TransfereGOV",VTOTAL1,SUM(OFFSET(CÁLCULO!$AA$15,ROW($X95)-ROW($X$15),1):OFFSET(CÁLCULO!$AL$15,ROW($X95)-ROW($X$15),-1))),IF($C95=0,0,ROUND(SomaAgrup,15-13*$AF$11)))</f>
        <v>0</v>
      </c>
      <c r="Y95" s="125" t="s">
        <v>245</v>
      </c>
      <c r="Z95" t="str">
        <f t="shared" ca="1" si="47"/>
        <v/>
      </c>
      <c r="AA95" s="126">
        <f ca="1">IF($C95="S",IF($Z95="CP",$X95,IF($Z95="RA",(($X95)*QCI!$AA$3),0)),SomaAgrup)</f>
        <v>0</v>
      </c>
      <c r="AB95" s="127">
        <f t="shared" ca="1" si="48"/>
        <v>0</v>
      </c>
      <c r="AC95" s="128" t="str">
        <f ca="1">IF($N95="","",IF(ORÇAMENTO.Descricao="","DESCRIÇÃO",IF(AND($C95="S",ORÇAMENTO.Unidade=""),"UNIDADE",IF($X95&lt;0,"VALOR NEGATIVO",IF(OR(AND(TIPOORCAMENTO="Proposto",$AG95&lt;&gt;"",$AG95&gt;0,ORÇAMENTO.CustoUnitario&gt;$AG95),AND(TIPOORCAMENTO="LICITADO",ORÇAMENTO.PrecoUnitarioLicitado&gt;$AN95)),"ACIMA REF.","")))))</f>
        <v/>
      </c>
      <c r="AD95" t="str">
        <f ca="1">IF(C95&lt;=CRONO.NivelExibicao,MAX($AD$15:OFFSET(AD95,-1,0))+IF($C95&lt;&gt;1,1,MAX(1,COUNTIF(QCI!$A$13:$A$24,OFFSET($E95,-1,0)))),"")</f>
        <v/>
      </c>
      <c r="AE95" s="7" t="str">
        <f ca="1">IF(AND($C95="S",ORÇAMENTO.CodBarra&lt;&gt;""),IF(ORÇAMENTO.Fonte="",ORÇAMENTO.CodBarra,CONCATENATE(ORÇAMENTO.Fonte," ",ORÇAMENTO.CodBarra)))</f>
        <v>SINAPI 89712</v>
      </c>
      <c r="AF95" s="13" t="str">
        <f ca="1">IF(ISERROR(INDIRECT(ORÇAMENTO.BancoRef)),"(abra o arquivo 'Referência "&amp;Excel_BuiltIn_Database&amp;".xlsm)",IF(OR($C95&lt;&gt;"S",ORÇAMENTO.CodBarra=""),"(Sem Código)",IF(ISERROR(MATCH($AE95,INDIRECT(ORÇAMENTO.BancoRef),0)),"(Código não identificado nas referências)",MATCH($AE95,INDIRECT(ORÇAMENTO.BancoRef),0))))</f>
        <v>(abra o arquivo 'Referência 10-2024.xlsm)</v>
      </c>
      <c r="AG95" s="495">
        <f ca="1">ROUND(IF(DESONERACAO="sim",REFERENCIA.Desonerado,REFERENCIA.NaoDesonerado),2)</f>
        <v>0</v>
      </c>
      <c r="AH95" s="496">
        <f t="shared" ca="1" si="49"/>
        <v>0.20710000000000001</v>
      </c>
      <c r="AJ95" s="498">
        <f>(0.3+0.8+0.2+0.35+0.35+0.25+0.2+0.25+1.5+0.2+0.2)</f>
        <v>4.6000000000000005</v>
      </c>
      <c r="AL95" s="524"/>
      <c r="AM95" s="378">
        <f t="shared" ref="AM95:AM102" ca="1" si="53">$X95</f>
        <v>0</v>
      </c>
      <c r="AN95" s="563">
        <f t="shared" ca="1" si="50"/>
        <v>0</v>
      </c>
    </row>
    <row r="96" spans="1:40" ht="38.25" x14ac:dyDescent="0.2">
      <c r="A96" t="str">
        <f t="shared" si="36"/>
        <v>S</v>
      </c>
      <c r="B96">
        <f t="shared" ca="1" si="37"/>
        <v>2</v>
      </c>
      <c r="C96" t="str">
        <f t="shared" ca="1" si="38"/>
        <v>S</v>
      </c>
      <c r="D96">
        <f t="shared" ca="1" si="39"/>
        <v>0</v>
      </c>
      <c r="E96">
        <f ca="1">IF($C96=1,OFFSET(E96,-1,0)+MAX(1,COUNTIF(QCI!$A$13:$A$24,OFFSET(ORÇAMENTO!E96,-1,0))),OFFSET(E96,-1,0))</f>
        <v>1</v>
      </c>
      <c r="F96">
        <f t="shared" ca="1" si="40"/>
        <v>13</v>
      </c>
      <c r="G96">
        <f t="shared" ca="1" si="41"/>
        <v>0</v>
      </c>
      <c r="H96">
        <f t="shared" ca="1" si="42"/>
        <v>0</v>
      </c>
      <c r="I96">
        <f t="shared" ca="1" si="43"/>
        <v>0</v>
      </c>
      <c r="J96">
        <f t="shared" ca="1" si="35"/>
        <v>0</v>
      </c>
      <c r="K96">
        <f ca="1">IF(OR($C96="S",$C96=0),0,MATCH(OFFSET($D96,0,$C96)+IF($C96&lt;&gt;1,1,COUNTIF(QCI!$A$13:$A$24,ORÇAMENTO!E96)),OFFSET($D96,1,$C96,ROW($C$120)-ROW($C96)),0))</f>
        <v>0</v>
      </c>
      <c r="L96" s="113" t="str">
        <f t="shared" ca="1" si="44"/>
        <v/>
      </c>
      <c r="M96" s="114" t="s">
        <v>199</v>
      </c>
      <c r="N96" s="115" t="str">
        <f t="shared" ca="1" si="45"/>
        <v>Serviço</v>
      </c>
      <c r="O96" s="116" t="str">
        <f t="shared" ca="1" si="46"/>
        <v>-</v>
      </c>
      <c r="P96" s="117" t="s">
        <v>247</v>
      </c>
      <c r="Q96" s="118" t="s">
        <v>522</v>
      </c>
      <c r="R96" s="119" t="str">
        <f ca="1">IF($C96="S",REFERENCIA.Descricao,"(digite a descrição aqui)")</f>
        <v>(abra o arquivo 'Referência 10-2024.xlsm)</v>
      </c>
      <c r="S96" s="120" t="str">
        <f ca="1">REFERENCIA.Unidade</f>
        <v>-</v>
      </c>
      <c r="T96" s="121">
        <f ca="1">OFFSET(CÁLCULO!H$15,ROW($T96)-ROW(T$15),0)</f>
        <v>16.850000000000001</v>
      </c>
      <c r="U96" s="122">
        <f t="shared" ca="1" si="52"/>
        <v>0</v>
      </c>
      <c r="V96" s="123" t="s">
        <v>156</v>
      </c>
      <c r="W96" s="121">
        <f ca="1">IF($C96="S",ROUND(IF(TIPOORCAMENTO="Proposto",ORÇAMENTO.CustoUnitario*(1+$AH96),ORÇAMENTO.PrecoUnitarioLicitado),15-13*$AF$10),0)</f>
        <v>0</v>
      </c>
      <c r="X96" s="124">
        <f ca="1">IF($C96="S",IF(Import.TipoArredondamento&lt;&gt;"TransfereGOV",VTOTAL1,SUM(OFFSET(CÁLCULO!$AA$15,ROW($X96)-ROW($X$15),1):OFFSET(CÁLCULO!$AL$15,ROW($X96)-ROW($X$15),-1))),IF($C96=0,0,ROUND(SomaAgrup,15-13*$AF$11)))</f>
        <v>0</v>
      </c>
      <c r="Y96" s="125" t="s">
        <v>245</v>
      </c>
      <c r="Z96" t="str">
        <f t="shared" ca="1" si="47"/>
        <v/>
      </c>
      <c r="AA96" s="126">
        <f ca="1">IF($C96="S",IF($Z96="CP",$X96,IF($Z96="RA",(($X96)*QCI!$AA$3),0)),SomaAgrup)</f>
        <v>0</v>
      </c>
      <c r="AB96" s="127">
        <f t="shared" ca="1" si="48"/>
        <v>0</v>
      </c>
      <c r="AC96" s="128" t="str">
        <f ca="1">IF($N96="","",IF(ORÇAMENTO.Descricao="","DESCRIÇÃO",IF(AND($C96="S",ORÇAMENTO.Unidade=""),"UNIDADE",IF($X96&lt;0,"VALOR NEGATIVO",IF(OR(AND(TIPOORCAMENTO="Proposto",$AG96&lt;&gt;"",$AG96&gt;0,ORÇAMENTO.CustoUnitario&gt;$AG96),AND(TIPOORCAMENTO="LICITADO",ORÇAMENTO.PrecoUnitarioLicitado&gt;$AN96)),"ACIMA REF.","")))))</f>
        <v/>
      </c>
      <c r="AD96" t="str">
        <f ca="1">IF(C96&lt;=CRONO.NivelExibicao,MAX($AD$15:OFFSET(AD96,-1,0))+IF($C96&lt;&gt;1,1,MAX(1,COUNTIF(QCI!$A$13:$A$24,OFFSET($E96,-1,0)))),"")</f>
        <v/>
      </c>
      <c r="AE96" s="7" t="str">
        <f ca="1">IF(AND($C96="S",ORÇAMENTO.CodBarra&lt;&gt;""),IF(ORÇAMENTO.Fonte="",ORÇAMENTO.CodBarra,CONCATENATE(ORÇAMENTO.Fonte," ",ORÇAMENTO.CodBarra)))</f>
        <v>SINAPI 89711</v>
      </c>
      <c r="AF96" s="13" t="str">
        <f ca="1">IF(ISERROR(INDIRECT(ORÇAMENTO.BancoRef)),"(abra o arquivo 'Referência "&amp;Excel_BuiltIn_Database&amp;".xlsm)",IF(OR($C96&lt;&gt;"S",ORÇAMENTO.CodBarra=""),"(Sem Código)",IF(ISERROR(MATCH($AE96,INDIRECT(ORÇAMENTO.BancoRef),0)),"(Código não identificado nas referências)",MATCH($AE96,INDIRECT(ORÇAMENTO.BancoRef),0))))</f>
        <v>(abra o arquivo 'Referência 10-2024.xlsm)</v>
      </c>
      <c r="AG96" s="495">
        <f ca="1">ROUND(IF(DESONERACAO="sim",REFERENCIA.Desonerado,REFERENCIA.NaoDesonerado),2)</f>
        <v>0</v>
      </c>
      <c r="AH96" s="496">
        <f t="shared" ca="1" si="49"/>
        <v>0.20710000000000001</v>
      </c>
      <c r="AJ96" s="498">
        <f>0.9+0.8+0.6+0.8+0.35+0.8+0.3+0.2+3.1+0.6+0.6+0.6+0.6+1+1+1+1+0.4+0.8+0.6+0.8</f>
        <v>16.850000000000001</v>
      </c>
      <c r="AL96" s="524"/>
      <c r="AM96" s="378">
        <f t="shared" ca="1" si="53"/>
        <v>0</v>
      </c>
      <c r="AN96" s="563">
        <f t="shared" ca="1" si="50"/>
        <v>0</v>
      </c>
    </row>
    <row r="97" spans="1:40" ht="38.25" x14ac:dyDescent="0.2">
      <c r="A97" t="str">
        <f t="shared" si="36"/>
        <v>S</v>
      </c>
      <c r="B97">
        <f t="shared" ca="1" si="37"/>
        <v>2</v>
      </c>
      <c r="C97" t="str">
        <f t="shared" ca="1" si="38"/>
        <v>S</v>
      </c>
      <c r="D97">
        <f t="shared" ca="1" si="39"/>
        <v>0</v>
      </c>
      <c r="E97">
        <f ca="1">IF($C97=1,OFFSET(E97,-1,0)+MAX(1,COUNTIF(QCI!$A$13:$A$24,OFFSET(ORÇAMENTO!E97,-1,0))),OFFSET(E97,-1,0))</f>
        <v>1</v>
      </c>
      <c r="F97">
        <f t="shared" ca="1" si="40"/>
        <v>13</v>
      </c>
      <c r="G97">
        <f t="shared" ca="1" si="41"/>
        <v>0</v>
      </c>
      <c r="H97">
        <f t="shared" ca="1" si="42"/>
        <v>0</v>
      </c>
      <c r="I97">
        <f t="shared" ca="1" si="43"/>
        <v>0</v>
      </c>
      <c r="J97">
        <f t="shared" ca="1" si="35"/>
        <v>0</v>
      </c>
      <c r="K97">
        <f ca="1">IF(OR($C97="S",$C97=0),0,MATCH(OFFSET($D97,0,$C97)+IF($C97&lt;&gt;1,1,COUNTIF(QCI!$A$13:$A$24,ORÇAMENTO!E97)),OFFSET($D97,1,$C97,ROW($C$120)-ROW($C97)),0))</f>
        <v>0</v>
      </c>
      <c r="L97" s="113" t="str">
        <f t="shared" ca="1" si="44"/>
        <v/>
      </c>
      <c r="M97" s="114" t="s">
        <v>199</v>
      </c>
      <c r="N97" s="115" t="str">
        <f t="shared" ca="1" si="45"/>
        <v>Serviço</v>
      </c>
      <c r="O97" s="116" t="str">
        <f t="shared" ca="1" si="46"/>
        <v>-</v>
      </c>
      <c r="P97" s="117" t="s">
        <v>247</v>
      </c>
      <c r="Q97" s="118" t="s">
        <v>524</v>
      </c>
      <c r="R97" s="119" t="str">
        <f ca="1">IF($C97="S",REFERENCIA.Descricao,"(digite a descrição aqui)")</f>
        <v>(abra o arquivo 'Referência 10-2024.xlsm)</v>
      </c>
      <c r="S97" s="120" t="str">
        <f ca="1">REFERENCIA.Unidade</f>
        <v>-</v>
      </c>
      <c r="T97" s="121">
        <f ca="1">OFFSET(CÁLCULO!H$15,ROW($T97)-ROW(T$15),0)</f>
        <v>15.2</v>
      </c>
      <c r="U97" s="122">
        <f t="shared" ca="1" si="52"/>
        <v>0</v>
      </c>
      <c r="V97" s="123" t="s">
        <v>156</v>
      </c>
      <c r="W97" s="121">
        <f ca="1">IF($C97="S",ROUND(IF(TIPOORCAMENTO="Proposto",ORÇAMENTO.CustoUnitario*(1+$AH97),ORÇAMENTO.PrecoUnitarioLicitado),15-13*$AF$10),0)</f>
        <v>0</v>
      </c>
      <c r="X97" s="124">
        <f ca="1">IF($C97="S",IF(Import.TipoArredondamento&lt;&gt;"TransfereGOV",VTOTAL1,SUM(OFFSET(CÁLCULO!$AA$15,ROW($X97)-ROW($X$15),1):OFFSET(CÁLCULO!$AL$15,ROW($X97)-ROW($X$15),-1))),IF($C97=0,0,ROUND(SomaAgrup,15-13*$AF$11)))</f>
        <v>0</v>
      </c>
      <c r="Y97" s="125" t="s">
        <v>245</v>
      </c>
      <c r="Z97" t="str">
        <f t="shared" ca="1" si="47"/>
        <v/>
      </c>
      <c r="AA97" s="126">
        <f ca="1">IF($C97="S",IF($Z97="CP",$X97,IF($Z97="RA",(($X97)*QCI!$AA$3),0)),SomaAgrup)</f>
        <v>0</v>
      </c>
      <c r="AB97" s="127">
        <f t="shared" ca="1" si="48"/>
        <v>0</v>
      </c>
      <c r="AC97" s="128" t="str">
        <f ca="1">IF($N97="","",IF(ORÇAMENTO.Descricao="","DESCRIÇÃO",IF(AND($C97="S",ORÇAMENTO.Unidade=""),"UNIDADE",IF($X97&lt;0,"VALOR NEGATIVO",IF(OR(AND(TIPOORCAMENTO="Proposto",$AG97&lt;&gt;"",$AG97&gt;0,ORÇAMENTO.CustoUnitario&gt;$AG97),AND(TIPOORCAMENTO="LICITADO",ORÇAMENTO.PrecoUnitarioLicitado&gt;$AN97)),"ACIMA REF.","")))))</f>
        <v/>
      </c>
      <c r="AD97" t="str">
        <f ca="1">IF(C97&lt;=CRONO.NivelExibicao,MAX($AD$15:OFFSET(AD97,-1,0))+IF($C97&lt;&gt;1,1,MAX(1,COUNTIF(QCI!$A$13:$A$24,OFFSET($E97,-1,0)))),"")</f>
        <v/>
      </c>
      <c r="AE97" s="7" t="str">
        <f ca="1">IF(AND($C97="S",ORÇAMENTO.CodBarra&lt;&gt;""),IF(ORÇAMENTO.Fonte="",ORÇAMENTO.CodBarra,CONCATENATE(ORÇAMENTO.Fonte," ",ORÇAMENTO.CodBarra)))</f>
        <v>SINAPI 89798</v>
      </c>
      <c r="AF97" s="13" t="str">
        <f ca="1">IF(ISERROR(INDIRECT(ORÇAMENTO.BancoRef)),"(abra o arquivo 'Referência "&amp;Excel_BuiltIn_Database&amp;".xlsm)",IF(OR($C97&lt;&gt;"S",ORÇAMENTO.CodBarra=""),"(Sem Código)",IF(ISERROR(MATCH($AE97,INDIRECT(ORÇAMENTO.BancoRef),0)),"(Código não identificado nas referências)",MATCH($AE97,INDIRECT(ORÇAMENTO.BancoRef),0))))</f>
        <v>(abra o arquivo 'Referência 10-2024.xlsm)</v>
      </c>
      <c r="AG97" s="495">
        <f ca="1">ROUND(IF(DESONERACAO="sim",REFERENCIA.Desonerado,REFERENCIA.NaoDesonerado),2)</f>
        <v>0</v>
      </c>
      <c r="AH97" s="496">
        <f t="shared" ca="1" si="49"/>
        <v>0.20710000000000001</v>
      </c>
      <c r="AJ97" s="498">
        <f>(0.7+5+1.33+3.45+1.27+3.45)</f>
        <v>15.2</v>
      </c>
      <c r="AL97" s="524"/>
      <c r="AM97" s="378">
        <f t="shared" ca="1" si="53"/>
        <v>0</v>
      </c>
      <c r="AN97" s="563">
        <f t="shared" ca="1" si="50"/>
        <v>0</v>
      </c>
    </row>
    <row r="98" spans="1:40" ht="25.5" x14ac:dyDescent="0.2">
      <c r="A98" t="str">
        <f t="shared" si="36"/>
        <v>S</v>
      </c>
      <c r="B98">
        <f t="shared" ca="1" si="37"/>
        <v>2</v>
      </c>
      <c r="C98" t="str">
        <f t="shared" ca="1" si="38"/>
        <v>S</v>
      </c>
      <c r="D98">
        <f t="shared" ca="1" si="39"/>
        <v>0</v>
      </c>
      <c r="E98">
        <f ca="1">IF($C98=1,OFFSET(E98,-1,0)+MAX(1,COUNTIF(QCI!$A$13:$A$24,OFFSET(ORÇAMENTO!E98,-1,0))),OFFSET(E98,-1,0))</f>
        <v>1</v>
      </c>
      <c r="F98">
        <f t="shared" ca="1" si="40"/>
        <v>13</v>
      </c>
      <c r="G98">
        <f t="shared" ca="1" si="41"/>
        <v>0</v>
      </c>
      <c r="H98">
        <f t="shared" ca="1" si="42"/>
        <v>0</v>
      </c>
      <c r="I98">
        <f t="shared" ca="1" si="43"/>
        <v>0</v>
      </c>
      <c r="J98">
        <f t="shared" ca="1" si="35"/>
        <v>0</v>
      </c>
      <c r="K98">
        <f ca="1">IF(OR($C98="S",$C98=0),0,MATCH(OFFSET($D98,0,$C98)+IF($C98&lt;&gt;1,1,COUNTIF(QCI!$A$13:$A$24,ORÇAMENTO!E98)),OFFSET($D98,1,$C98,ROW($C$120)-ROW($C98)),0))</f>
        <v>0</v>
      </c>
      <c r="L98" s="113" t="str">
        <f t="shared" ca="1" si="44"/>
        <v/>
      </c>
      <c r="M98" s="114" t="s">
        <v>199</v>
      </c>
      <c r="N98" s="115" t="str">
        <f t="shared" ca="1" si="45"/>
        <v>Serviço</v>
      </c>
      <c r="O98" s="116" t="str">
        <f t="shared" ca="1" si="46"/>
        <v>-</v>
      </c>
      <c r="P98" s="117" t="s">
        <v>247</v>
      </c>
      <c r="Q98" s="118" t="s">
        <v>526</v>
      </c>
      <c r="R98" s="119" t="str">
        <f ca="1">IF($C98="S",REFERENCIA.Descricao,"(digite a descrição aqui)")</f>
        <v>(abra o arquivo 'Referência 10-2024.xlsm)</v>
      </c>
      <c r="S98" s="120" t="str">
        <f ca="1">REFERENCIA.Unidade</f>
        <v>-</v>
      </c>
      <c r="T98" s="121">
        <f ca="1">OFFSET(CÁLCULO!H$15,ROW($T98)-ROW(T$15),0)</f>
        <v>12.41</v>
      </c>
      <c r="U98" s="122">
        <f t="shared" ca="1" si="52"/>
        <v>0</v>
      </c>
      <c r="V98" s="123" t="s">
        <v>156</v>
      </c>
      <c r="W98" s="121">
        <f ca="1">IF($C98="S",ROUND(IF(TIPOORCAMENTO="Proposto",ORÇAMENTO.CustoUnitario*(1+$AH98),ORÇAMENTO.PrecoUnitarioLicitado),15-13*$AF$10),0)</f>
        <v>0</v>
      </c>
      <c r="X98" s="124">
        <f ca="1">IF($C98="S",IF(Import.TipoArredondamento&lt;&gt;"TransfereGOV",VTOTAL1,SUM(OFFSET(CÁLCULO!$AA$15,ROW($X98)-ROW($X$15),1):OFFSET(CÁLCULO!$AL$15,ROW($X98)-ROW($X$15),-1))),IF($C98=0,0,ROUND(SomaAgrup,15-13*$AF$11)))</f>
        <v>0</v>
      </c>
      <c r="Y98" s="125" t="s">
        <v>245</v>
      </c>
      <c r="Z98" t="str">
        <f t="shared" ca="1" si="47"/>
        <v/>
      </c>
      <c r="AA98" s="126">
        <f ca="1">IF($C98="S",IF($Z98="CP",$X98,IF($Z98="RA",(($X98)*QCI!$AA$3),0)),SomaAgrup)</f>
        <v>0</v>
      </c>
      <c r="AB98" s="127">
        <f t="shared" ca="1" si="48"/>
        <v>0</v>
      </c>
      <c r="AC98" s="128" t="str">
        <f ca="1">IF($N98="","",IF(ORÇAMENTO.Descricao="","DESCRIÇÃO",IF(AND($C98="S",ORÇAMENTO.Unidade=""),"UNIDADE",IF($X98&lt;0,"VALOR NEGATIVO",IF(OR(AND(TIPOORCAMENTO="Proposto",$AG98&lt;&gt;"",$AG98&gt;0,ORÇAMENTO.CustoUnitario&gt;$AG98),AND(TIPOORCAMENTO="LICITADO",ORÇAMENTO.PrecoUnitarioLicitado&gt;$AN98)),"ACIMA REF.","")))))</f>
        <v/>
      </c>
      <c r="AD98" t="str">
        <f ca="1">IF(C98&lt;=CRONO.NivelExibicao,MAX($AD$15:OFFSET(AD98,-1,0))+IF($C98&lt;&gt;1,1,MAX(1,COUNTIF(QCI!$A$13:$A$24,OFFSET($E98,-1,0)))),"")</f>
        <v/>
      </c>
      <c r="AE98" s="7" t="str">
        <f ca="1">IF(AND($C98="S",ORÇAMENTO.CodBarra&lt;&gt;""),IF(ORÇAMENTO.Fonte="",ORÇAMENTO.CodBarra,CONCATENATE(ORÇAMENTO.Fonte," ",ORÇAMENTO.CodBarra)))</f>
        <v>SINAPI 89357</v>
      </c>
      <c r="AF98" s="13" t="str">
        <f ca="1">IF(ISERROR(INDIRECT(ORÇAMENTO.BancoRef)),"(abra o arquivo 'Referência "&amp;Excel_BuiltIn_Database&amp;".xlsm)",IF(OR($C98&lt;&gt;"S",ORÇAMENTO.CodBarra=""),"(Sem Código)",IF(ISERROR(MATCH($AE98,INDIRECT(ORÇAMENTO.BancoRef),0)),"(Código não identificado nas referências)",MATCH($AE98,INDIRECT(ORÇAMENTO.BancoRef),0))))</f>
        <v>(abra o arquivo 'Referência 10-2024.xlsm)</v>
      </c>
      <c r="AG98" s="495">
        <f ca="1">ROUND(IF(DESONERACAO="sim",REFERENCIA.Desonerado,REFERENCIA.NaoDesonerado),2)</f>
        <v>0</v>
      </c>
      <c r="AH98" s="496">
        <f t="shared" ca="1" si="49"/>
        <v>0.20710000000000001</v>
      </c>
      <c r="AJ98" s="498">
        <v>12.41</v>
      </c>
      <c r="AL98" s="524"/>
      <c r="AM98" s="378">
        <f t="shared" ca="1" si="53"/>
        <v>0</v>
      </c>
      <c r="AN98" s="563">
        <f t="shared" ca="1" si="50"/>
        <v>0</v>
      </c>
    </row>
    <row r="99" spans="1:40" ht="25.5" x14ac:dyDescent="0.2">
      <c r="A99" t="str">
        <f t="shared" si="36"/>
        <v>S</v>
      </c>
      <c r="B99">
        <f t="shared" ca="1" si="37"/>
        <v>2</v>
      </c>
      <c r="C99" t="str">
        <f t="shared" ca="1" si="38"/>
        <v>S</v>
      </c>
      <c r="D99">
        <f t="shared" ca="1" si="39"/>
        <v>0</v>
      </c>
      <c r="E99">
        <f ca="1">IF($C99=1,OFFSET(E99,-1,0)+MAX(1,COUNTIF(QCI!$A$13:$A$24,OFFSET(ORÇAMENTO!E99,-1,0))),OFFSET(E99,-1,0))</f>
        <v>1</v>
      </c>
      <c r="F99">
        <f t="shared" ca="1" si="40"/>
        <v>13</v>
      </c>
      <c r="G99">
        <f t="shared" ca="1" si="41"/>
        <v>0</v>
      </c>
      <c r="H99">
        <f t="shared" ca="1" si="42"/>
        <v>0</v>
      </c>
      <c r="I99">
        <f t="shared" ca="1" si="43"/>
        <v>0</v>
      </c>
      <c r="J99">
        <f t="shared" ca="1" si="35"/>
        <v>0</v>
      </c>
      <c r="K99">
        <f ca="1">IF(OR($C99="S",$C99=0),0,MATCH(OFFSET($D99,0,$C99)+IF($C99&lt;&gt;1,1,COUNTIF(QCI!$A$13:$A$24,ORÇAMENTO!E99)),OFFSET($D99,1,$C99,ROW($C$120)-ROW($C99)),0))</f>
        <v>0</v>
      </c>
      <c r="L99" s="113" t="str">
        <f t="shared" ca="1" si="44"/>
        <v/>
      </c>
      <c r="M99" s="114" t="s">
        <v>199</v>
      </c>
      <c r="N99" s="115" t="str">
        <f t="shared" ca="1" si="45"/>
        <v>Serviço</v>
      </c>
      <c r="O99" s="116" t="str">
        <f t="shared" ca="1" si="46"/>
        <v>-</v>
      </c>
      <c r="P99" s="117" t="s">
        <v>247</v>
      </c>
      <c r="Q99" s="118" t="s">
        <v>525</v>
      </c>
      <c r="R99" s="119" t="str">
        <f ca="1">IF($C99="S",REFERENCIA.Descricao,"(digite a descrição aqui)")</f>
        <v>(abra o arquivo 'Referência 10-2024.xlsm)</v>
      </c>
      <c r="S99" s="120" t="str">
        <f ca="1">REFERENCIA.Unidade</f>
        <v>-</v>
      </c>
      <c r="T99" s="121">
        <f ca="1">OFFSET(CÁLCULO!H$15,ROW($T99)-ROW(T$15),0)</f>
        <v>36.14</v>
      </c>
      <c r="U99" s="122">
        <f t="shared" ca="1" si="52"/>
        <v>0</v>
      </c>
      <c r="V99" s="123" t="s">
        <v>156</v>
      </c>
      <c r="W99" s="121">
        <f ca="1">IF($C99="S",ROUND(IF(TIPOORCAMENTO="Proposto",ORÇAMENTO.CustoUnitario*(1+$AH99),ORÇAMENTO.PrecoUnitarioLicitado),15-13*$AF$10),0)</f>
        <v>0</v>
      </c>
      <c r="X99" s="124">
        <f ca="1">IF($C99="S",IF(Import.TipoArredondamento&lt;&gt;"TransfereGOV",VTOTAL1,SUM(OFFSET(CÁLCULO!$AA$15,ROW($X99)-ROW($X$15),1):OFFSET(CÁLCULO!$AL$15,ROW($X99)-ROW($X$15),-1))),IF($C99=0,0,ROUND(SomaAgrup,15-13*$AF$11)))</f>
        <v>0</v>
      </c>
      <c r="Y99" s="125" t="s">
        <v>245</v>
      </c>
      <c r="Z99" t="str">
        <f t="shared" ca="1" si="47"/>
        <v/>
      </c>
      <c r="AA99" s="126">
        <f ca="1">IF($C99="S",IF($Z99="CP",$X99,IF($Z99="RA",(($X99)*QCI!$AA$3),0)),SomaAgrup)</f>
        <v>0</v>
      </c>
      <c r="AB99" s="127">
        <f t="shared" ca="1" si="48"/>
        <v>0</v>
      </c>
      <c r="AC99" s="128" t="str">
        <f ca="1">IF($N99="","",IF(ORÇAMENTO.Descricao="","DESCRIÇÃO",IF(AND($C99="S",ORÇAMENTO.Unidade=""),"UNIDADE",IF($X99&lt;0,"VALOR NEGATIVO",IF(OR(AND(TIPOORCAMENTO="Proposto",$AG99&lt;&gt;"",$AG99&gt;0,ORÇAMENTO.CustoUnitario&gt;$AG99),AND(TIPOORCAMENTO="LICITADO",ORÇAMENTO.PrecoUnitarioLicitado&gt;$AN99)),"ACIMA REF.","")))))</f>
        <v/>
      </c>
      <c r="AD99" t="str">
        <f ca="1">IF(C99&lt;=CRONO.NivelExibicao,MAX($AD$15:OFFSET(AD99,-1,0))+IF($C99&lt;&gt;1,1,MAX(1,COUNTIF(QCI!$A$13:$A$24,OFFSET($E99,-1,0)))),"")</f>
        <v/>
      </c>
      <c r="AE99" s="7" t="str">
        <f ca="1">IF(AND($C99="S",ORÇAMENTO.CodBarra&lt;&gt;""),IF(ORÇAMENTO.Fonte="",ORÇAMENTO.CodBarra,CONCATENATE(ORÇAMENTO.Fonte," ",ORÇAMENTO.CodBarra)))</f>
        <v>SINAPI 89356</v>
      </c>
      <c r="AF99" s="13" t="str">
        <f ca="1">IF(ISERROR(INDIRECT(ORÇAMENTO.BancoRef)),"(abra o arquivo 'Referência "&amp;Excel_BuiltIn_Database&amp;".xlsm)",IF(OR($C99&lt;&gt;"S",ORÇAMENTO.CodBarra=""),"(Sem Código)",IF(ISERROR(MATCH($AE99,INDIRECT(ORÇAMENTO.BancoRef),0)),"(Código não identificado nas referências)",MATCH($AE99,INDIRECT(ORÇAMENTO.BancoRef),0))))</f>
        <v>(abra o arquivo 'Referência 10-2024.xlsm)</v>
      </c>
      <c r="AG99" s="495">
        <f ca="1">ROUND(IF(DESONERACAO="sim",REFERENCIA.Desonerado,REFERENCIA.NaoDesonerado),2)</f>
        <v>0</v>
      </c>
      <c r="AH99" s="496">
        <f t="shared" ca="1" si="49"/>
        <v>0.20710000000000001</v>
      </c>
      <c r="AJ99" s="498">
        <v>36.14</v>
      </c>
      <c r="AL99" s="524"/>
      <c r="AM99" s="378">
        <f t="shared" ca="1" si="53"/>
        <v>0</v>
      </c>
      <c r="AN99" s="563">
        <f t="shared" ca="1" si="50"/>
        <v>0</v>
      </c>
    </row>
    <row r="100" spans="1:40" ht="25.5" x14ac:dyDescent="0.2">
      <c r="A100" t="str">
        <f t="shared" si="36"/>
        <v>S</v>
      </c>
      <c r="B100">
        <f t="shared" ca="1" si="37"/>
        <v>2</v>
      </c>
      <c r="C100" t="str">
        <f t="shared" ca="1" si="38"/>
        <v>S</v>
      </c>
      <c r="D100">
        <f t="shared" ca="1" si="39"/>
        <v>0</v>
      </c>
      <c r="E100">
        <f ca="1">IF($C100=1,OFFSET(E100,-1,0)+MAX(1,COUNTIF(QCI!$A$13:$A$24,OFFSET(ORÇAMENTO!E100,-1,0))),OFFSET(E100,-1,0))</f>
        <v>1</v>
      </c>
      <c r="F100">
        <f t="shared" ca="1" si="40"/>
        <v>13</v>
      </c>
      <c r="G100">
        <f t="shared" ca="1" si="41"/>
        <v>0</v>
      </c>
      <c r="H100">
        <f t="shared" ca="1" si="42"/>
        <v>0</v>
      </c>
      <c r="I100">
        <f t="shared" ca="1" si="43"/>
        <v>0</v>
      </c>
      <c r="J100">
        <f t="shared" ca="1" si="35"/>
        <v>0</v>
      </c>
      <c r="K100">
        <f ca="1">IF(OR($C100="S",$C100=0),0,MATCH(OFFSET($D100,0,$C100)+IF($C100&lt;&gt;1,1,COUNTIF(QCI!$A$13:$A$24,ORÇAMENTO!E100)),OFFSET($D100,1,$C100,ROW($C$120)-ROW($C100)),0))</f>
        <v>0</v>
      </c>
      <c r="L100" s="113" t="str">
        <f t="shared" ca="1" si="44"/>
        <v/>
      </c>
      <c r="M100" s="114" t="s">
        <v>199</v>
      </c>
      <c r="N100" s="115" t="str">
        <f t="shared" ca="1" si="45"/>
        <v>Serviço</v>
      </c>
      <c r="O100" s="116" t="str">
        <f t="shared" ca="1" si="46"/>
        <v>-</v>
      </c>
      <c r="P100" s="117" t="s">
        <v>247</v>
      </c>
      <c r="Q100" s="118" t="s">
        <v>527</v>
      </c>
      <c r="R100" s="119" t="str">
        <f ca="1">IF($C100="S",REFERENCIA.Descricao,"(digite a descrição aqui)")</f>
        <v>(abra o arquivo 'Referência 10-2024.xlsm)</v>
      </c>
      <c r="S100" s="120" t="str">
        <f ca="1">REFERENCIA.Unidade</f>
        <v>-</v>
      </c>
      <c r="T100" s="121">
        <f ca="1">OFFSET(CÁLCULO!H$15,ROW($T100)-ROW(T$15),0)</f>
        <v>2</v>
      </c>
      <c r="U100" s="122">
        <f t="shared" ca="1" si="52"/>
        <v>0</v>
      </c>
      <c r="V100" s="123" t="s">
        <v>156</v>
      </c>
      <c r="W100" s="121">
        <f ca="1">IF($C100="S",ROUND(IF(TIPOORCAMENTO="Proposto",ORÇAMENTO.CustoUnitario*(1+$AH100),ORÇAMENTO.PrecoUnitarioLicitado),15-13*$AF$10),0)</f>
        <v>0</v>
      </c>
      <c r="X100" s="124">
        <f ca="1">IF($C100="S",IF(Import.TipoArredondamento&lt;&gt;"TransfereGOV",VTOTAL1,SUM(OFFSET(CÁLCULO!$AA$15,ROW($X100)-ROW($X$15),1):OFFSET(CÁLCULO!$AL$15,ROW($X100)-ROW($X$15),-1))),IF($C100=0,0,ROUND(SomaAgrup,15-13*$AF$11)))</f>
        <v>0</v>
      </c>
      <c r="Y100" s="125" t="s">
        <v>245</v>
      </c>
      <c r="Z100" t="str">
        <f t="shared" ca="1" si="47"/>
        <v/>
      </c>
      <c r="AA100" s="126">
        <f ca="1">IF($C100="S",IF($Z100="CP",$X100,IF($Z100="RA",(($X100)*QCI!$AA$3),0)),SomaAgrup)</f>
        <v>0</v>
      </c>
      <c r="AB100" s="127">
        <f t="shared" ca="1" si="48"/>
        <v>0</v>
      </c>
      <c r="AC100" s="128" t="str">
        <f ca="1">IF($N100="","",IF(ORÇAMENTO.Descricao="","DESCRIÇÃO",IF(AND($C100="S",ORÇAMENTO.Unidade=""),"UNIDADE",IF($X100&lt;0,"VALOR NEGATIVO",IF(OR(AND(TIPOORCAMENTO="Proposto",$AG100&lt;&gt;"",$AG100&gt;0,ORÇAMENTO.CustoUnitario&gt;$AG100),AND(TIPOORCAMENTO="LICITADO",ORÇAMENTO.PrecoUnitarioLicitado&gt;$AN100)),"ACIMA REF.","")))))</f>
        <v/>
      </c>
      <c r="AD100" t="str">
        <f ca="1">IF(C100&lt;=CRONO.NivelExibicao,MAX($AD$15:OFFSET(AD100,-1,0))+IF($C100&lt;&gt;1,1,MAX(1,COUNTIF(QCI!$A$13:$A$24,OFFSET($E100,-1,0)))),"")</f>
        <v/>
      </c>
      <c r="AE100" s="7" t="str">
        <f ca="1">IF(AND($C100="S",ORÇAMENTO.CodBarra&lt;&gt;""),IF(ORÇAMENTO.Fonte="",ORÇAMENTO.CodBarra,CONCATENATE(ORÇAMENTO.Fonte," ",ORÇAMENTO.CodBarra)))</f>
        <v>SINAPI 97897</v>
      </c>
      <c r="AF100" s="13" t="str">
        <f ca="1">IF(ISERROR(INDIRECT(ORÇAMENTO.BancoRef)),"(abra o arquivo 'Referência "&amp;Excel_BuiltIn_Database&amp;".xlsm)",IF(OR($C100&lt;&gt;"S",ORÇAMENTO.CodBarra=""),"(Sem Código)",IF(ISERROR(MATCH($AE100,INDIRECT(ORÇAMENTO.BancoRef),0)),"(Código não identificado nas referências)",MATCH($AE100,INDIRECT(ORÇAMENTO.BancoRef),0))))</f>
        <v>(abra o arquivo 'Referência 10-2024.xlsm)</v>
      </c>
      <c r="AG100" s="495">
        <f ca="1">ROUND(IF(DESONERACAO="sim",REFERENCIA.Desonerado,REFERENCIA.NaoDesonerado),2)</f>
        <v>0</v>
      </c>
      <c r="AH100" s="496">
        <f t="shared" ca="1" si="49"/>
        <v>0.20710000000000001</v>
      </c>
      <c r="AJ100" s="498">
        <v>2</v>
      </c>
      <c r="AL100" s="524"/>
      <c r="AM100" s="378">
        <f t="shared" ca="1" si="53"/>
        <v>0</v>
      </c>
      <c r="AN100" s="563">
        <f t="shared" ca="1" si="50"/>
        <v>0</v>
      </c>
    </row>
    <row r="101" spans="1:40" ht="38.25" x14ac:dyDescent="0.2">
      <c r="A101" t="str">
        <f t="shared" si="36"/>
        <v>S</v>
      </c>
      <c r="B101">
        <f t="shared" ca="1" si="37"/>
        <v>2</v>
      </c>
      <c r="C101" t="str">
        <f t="shared" ca="1" si="38"/>
        <v>S</v>
      </c>
      <c r="D101">
        <f t="shared" ca="1" si="39"/>
        <v>0</v>
      </c>
      <c r="E101">
        <f ca="1">IF($C101=1,OFFSET(E101,-1,0)+MAX(1,COUNTIF(QCI!$A$13:$A$24,OFFSET(ORÇAMENTO!E101,-1,0))),OFFSET(E101,-1,0))</f>
        <v>1</v>
      </c>
      <c r="F101">
        <f t="shared" ca="1" si="40"/>
        <v>13</v>
      </c>
      <c r="G101">
        <f t="shared" ca="1" si="41"/>
        <v>0</v>
      </c>
      <c r="H101">
        <f t="shared" ca="1" si="42"/>
        <v>0</v>
      </c>
      <c r="I101">
        <f t="shared" ca="1" si="43"/>
        <v>0</v>
      </c>
      <c r="J101">
        <f t="shared" ca="1" si="35"/>
        <v>0</v>
      </c>
      <c r="K101">
        <f ca="1">IF(OR($C101="S",$C101=0),0,MATCH(OFFSET($D101,0,$C101)+IF($C101&lt;&gt;1,1,COUNTIF(QCI!$A$13:$A$24,ORÇAMENTO!E101)),OFFSET($D101,1,$C101,ROW($C$120)-ROW($C101)),0))</f>
        <v>0</v>
      </c>
      <c r="L101" s="113" t="str">
        <f t="shared" ca="1" si="44"/>
        <v/>
      </c>
      <c r="M101" s="114" t="s">
        <v>199</v>
      </c>
      <c r="N101" s="115" t="str">
        <f t="shared" ca="1" si="45"/>
        <v>Serviço</v>
      </c>
      <c r="O101" s="116" t="str">
        <f t="shared" ca="1" si="46"/>
        <v>-</v>
      </c>
      <c r="P101" s="117" t="s">
        <v>247</v>
      </c>
      <c r="Q101" s="118" t="s">
        <v>528</v>
      </c>
      <c r="R101" s="119" t="str">
        <f ca="1">IF($C101="S",REFERENCIA.Descricao,"(digite a descrição aqui)")</f>
        <v>(abra o arquivo 'Referência 10-2024.xlsm)</v>
      </c>
      <c r="S101" s="120" t="str">
        <f ca="1">REFERENCIA.Unidade</f>
        <v>-</v>
      </c>
      <c r="T101" s="121">
        <f ca="1">OFFSET(CÁLCULO!H$15,ROW($T101)-ROW(T$15),0)</f>
        <v>1</v>
      </c>
      <c r="U101" s="122">
        <f t="shared" ca="1" si="52"/>
        <v>0</v>
      </c>
      <c r="V101" s="123" t="s">
        <v>156</v>
      </c>
      <c r="W101" s="121">
        <f ca="1">IF($C101="S",ROUND(IF(TIPOORCAMENTO="Proposto",ORÇAMENTO.CustoUnitario*(1+$AH101),ORÇAMENTO.PrecoUnitarioLicitado),15-13*$AF$10),0)</f>
        <v>0</v>
      </c>
      <c r="X101" s="124">
        <f ca="1">IF($C101="S",IF(Import.TipoArredondamento&lt;&gt;"TransfereGOV",VTOTAL1,SUM(OFFSET(CÁLCULO!$AA$15,ROW($X101)-ROW($X$15),1):OFFSET(CÁLCULO!$AL$15,ROW($X101)-ROW($X$15),-1))),IF($C101=0,0,ROUND(SomaAgrup,15-13*$AF$11)))</f>
        <v>0</v>
      </c>
      <c r="Y101" s="125" t="s">
        <v>245</v>
      </c>
      <c r="Z101" t="str">
        <f t="shared" ca="1" si="47"/>
        <v/>
      </c>
      <c r="AA101" s="126">
        <f ca="1">IF($C101="S",IF($Z101="CP",$X101,IF($Z101="RA",(($X101)*QCI!$AA$3),0)),SomaAgrup)</f>
        <v>0</v>
      </c>
      <c r="AB101" s="127">
        <f t="shared" ca="1" si="48"/>
        <v>0</v>
      </c>
      <c r="AC101" s="128" t="str">
        <f ca="1">IF($N101="","",IF(ORÇAMENTO.Descricao="","DESCRIÇÃO",IF(AND($C101="S",ORÇAMENTO.Unidade=""),"UNIDADE",IF($X101&lt;0,"VALOR NEGATIVO",IF(OR(AND(TIPOORCAMENTO="Proposto",$AG101&lt;&gt;"",$AG101&gt;0,ORÇAMENTO.CustoUnitario&gt;$AG101),AND(TIPOORCAMENTO="LICITADO",ORÇAMENTO.PrecoUnitarioLicitado&gt;$AN101)),"ACIMA REF.","")))))</f>
        <v/>
      </c>
      <c r="AD101" t="str">
        <f ca="1">IF(C101&lt;=CRONO.NivelExibicao,MAX($AD$15:OFFSET(AD101,-1,0))+IF($C101&lt;&gt;1,1,MAX(1,COUNTIF(QCI!$A$13:$A$24,OFFSET($E101,-1,0)))),"")</f>
        <v/>
      </c>
      <c r="AE101" s="7" t="str">
        <f ca="1">IF(AND($C101="S",ORÇAMENTO.CodBarra&lt;&gt;""),IF(ORÇAMENTO.Fonte="",ORÇAMENTO.CodBarra,CONCATENATE(ORÇAMENTO.Fonte," ",ORÇAMENTO.CodBarra)))</f>
        <v>SINAPI 98053</v>
      </c>
      <c r="AF101" s="13" t="str">
        <f ca="1">IF(ISERROR(INDIRECT(ORÇAMENTO.BancoRef)),"(abra o arquivo 'Referência "&amp;Excel_BuiltIn_Database&amp;".xlsm)",IF(OR($C101&lt;&gt;"S",ORÇAMENTO.CodBarra=""),"(Sem Código)",IF(ISERROR(MATCH($AE101,INDIRECT(ORÇAMENTO.BancoRef),0)),"(Código não identificado nas referências)",MATCH($AE101,INDIRECT(ORÇAMENTO.BancoRef),0))))</f>
        <v>(abra o arquivo 'Referência 10-2024.xlsm)</v>
      </c>
      <c r="AG101" s="495">
        <f ca="1">ROUND(IF(DESONERACAO="sim",REFERENCIA.Desonerado,REFERENCIA.NaoDesonerado),2)</f>
        <v>0</v>
      </c>
      <c r="AH101" s="496">
        <f t="shared" ca="1" si="49"/>
        <v>0.20710000000000001</v>
      </c>
      <c r="AJ101" s="498">
        <v>1</v>
      </c>
      <c r="AL101" s="524"/>
      <c r="AM101" s="378">
        <f t="shared" ca="1" si="53"/>
        <v>0</v>
      </c>
      <c r="AN101" s="563">
        <f t="shared" ca="1" si="50"/>
        <v>0</v>
      </c>
    </row>
    <row r="102" spans="1:40" ht="38.25" x14ac:dyDescent="0.2">
      <c r="A102" t="str">
        <f t="shared" si="36"/>
        <v>S</v>
      </c>
      <c r="B102">
        <f t="shared" ca="1" si="37"/>
        <v>2</v>
      </c>
      <c r="C102" t="str">
        <f t="shared" ca="1" si="38"/>
        <v>S</v>
      </c>
      <c r="D102">
        <f t="shared" ca="1" si="39"/>
        <v>0</v>
      </c>
      <c r="E102">
        <f ca="1">IF($C102=1,OFFSET(E102,-1,0)+MAX(1,COUNTIF(QCI!$A$13:$A$24,OFFSET(ORÇAMENTO!E102,-1,0))),OFFSET(E102,-1,0))</f>
        <v>1</v>
      </c>
      <c r="F102">
        <f t="shared" ca="1" si="40"/>
        <v>13</v>
      </c>
      <c r="G102">
        <f t="shared" ca="1" si="41"/>
        <v>0</v>
      </c>
      <c r="H102">
        <f t="shared" ca="1" si="42"/>
        <v>0</v>
      </c>
      <c r="I102">
        <f t="shared" ca="1" si="43"/>
        <v>0</v>
      </c>
      <c r="J102">
        <f t="shared" ca="1" si="35"/>
        <v>0</v>
      </c>
      <c r="K102">
        <f ca="1">IF(OR($C102="S",$C102=0),0,MATCH(OFFSET($D102,0,$C102)+IF($C102&lt;&gt;1,1,COUNTIF(QCI!$A$13:$A$24,ORÇAMENTO!E102)),OFFSET($D102,1,$C102,ROW($C$120)-ROW($C102)),0))</f>
        <v>0</v>
      </c>
      <c r="L102" s="113" t="str">
        <f t="shared" ca="1" si="44"/>
        <v/>
      </c>
      <c r="M102" s="114" t="s">
        <v>199</v>
      </c>
      <c r="N102" s="115" t="str">
        <f t="shared" ca="1" si="45"/>
        <v>Serviço</v>
      </c>
      <c r="O102" s="116" t="str">
        <f t="shared" ca="1" si="46"/>
        <v>-</v>
      </c>
      <c r="P102" s="117" t="s">
        <v>247</v>
      </c>
      <c r="Q102" s="118" t="s">
        <v>529</v>
      </c>
      <c r="R102" s="119" t="str">
        <f ca="1">IF($C102="S",REFERENCIA.Descricao,"(digite a descrição aqui)")</f>
        <v>(abra o arquivo 'Referência 10-2024.xlsm)</v>
      </c>
      <c r="S102" s="120" t="str">
        <f ca="1">REFERENCIA.Unidade</f>
        <v>-</v>
      </c>
      <c r="T102" s="121">
        <f ca="1">OFFSET(CÁLCULO!H$15,ROW($T102)-ROW(T$15),0)</f>
        <v>1</v>
      </c>
      <c r="U102" s="122">
        <f t="shared" ca="1" si="52"/>
        <v>0</v>
      </c>
      <c r="V102" s="123" t="s">
        <v>156</v>
      </c>
      <c r="W102" s="121">
        <f ca="1">IF($C102="S",ROUND(IF(TIPOORCAMENTO="Proposto",ORÇAMENTO.CustoUnitario*(1+$AH102),ORÇAMENTO.PrecoUnitarioLicitado),15-13*$AF$10),0)</f>
        <v>0</v>
      </c>
      <c r="X102" s="124">
        <f ca="1">IF($C102="S",IF(Import.TipoArredondamento&lt;&gt;"TransfereGOV",VTOTAL1,SUM(OFFSET(CÁLCULO!$AA$15,ROW($X102)-ROW($X$15),1):OFFSET(CÁLCULO!$AL$15,ROW($X102)-ROW($X$15),-1))),IF($C102=0,0,ROUND(SomaAgrup,15-13*$AF$11)))</f>
        <v>0</v>
      </c>
      <c r="Y102" s="125" t="s">
        <v>245</v>
      </c>
      <c r="Z102" t="str">
        <f t="shared" ca="1" si="47"/>
        <v/>
      </c>
      <c r="AA102" s="126">
        <f ca="1">IF($C102="S",IF($Z102="CP",$X102,IF($Z102="RA",(($X102)*QCI!$AA$3),0)),SomaAgrup)</f>
        <v>0</v>
      </c>
      <c r="AB102" s="127">
        <f t="shared" ca="1" si="48"/>
        <v>0</v>
      </c>
      <c r="AC102" s="128" t="str">
        <f ca="1">IF($N102="","",IF(ORÇAMENTO.Descricao="","DESCRIÇÃO",IF(AND($C102="S",ORÇAMENTO.Unidade=""),"UNIDADE",IF($X102&lt;0,"VALOR NEGATIVO",IF(OR(AND(TIPOORCAMENTO="Proposto",$AG102&lt;&gt;"",$AG102&gt;0,ORÇAMENTO.CustoUnitario&gt;$AG102),AND(TIPOORCAMENTO="LICITADO",ORÇAMENTO.PrecoUnitarioLicitado&gt;$AN102)),"ACIMA REF.","")))))</f>
        <v/>
      </c>
      <c r="AD102" t="str">
        <f ca="1">IF(C102&lt;=CRONO.NivelExibicao,MAX($AD$15:OFFSET(AD102,-1,0))+IF($C102&lt;&gt;1,1,MAX(1,COUNTIF(QCI!$A$13:$A$24,OFFSET($E102,-1,0)))),"")</f>
        <v/>
      </c>
      <c r="AE102" s="7" t="str">
        <f ca="1">IF(AND($C102="S",ORÇAMENTO.CodBarra&lt;&gt;""),IF(ORÇAMENTO.Fonte="",ORÇAMENTO.CodBarra,CONCATENATE(ORÇAMENTO.Fonte," ",ORÇAMENTO.CodBarra)))</f>
        <v>SINAPI 98059</v>
      </c>
      <c r="AF102" s="13" t="str">
        <f ca="1">IF(ISERROR(INDIRECT(ORÇAMENTO.BancoRef)),"(abra o arquivo 'Referência "&amp;Excel_BuiltIn_Database&amp;".xlsm)",IF(OR($C102&lt;&gt;"S",ORÇAMENTO.CodBarra=""),"(Sem Código)",IF(ISERROR(MATCH($AE102,INDIRECT(ORÇAMENTO.BancoRef),0)),"(Código não identificado nas referências)",MATCH($AE102,INDIRECT(ORÇAMENTO.BancoRef),0))))</f>
        <v>(abra o arquivo 'Referência 10-2024.xlsm)</v>
      </c>
      <c r="AG102" s="495">
        <f ca="1">ROUND(IF(DESONERACAO="sim",REFERENCIA.Desonerado,REFERENCIA.NaoDesonerado),2)</f>
        <v>0</v>
      </c>
      <c r="AH102" s="496">
        <f t="shared" ca="1" si="49"/>
        <v>0.20710000000000001</v>
      </c>
      <c r="AJ102" s="498">
        <v>1</v>
      </c>
      <c r="AL102" s="524"/>
      <c r="AM102" s="378">
        <f t="shared" ca="1" si="53"/>
        <v>0</v>
      </c>
      <c r="AN102" s="563">
        <f t="shared" ca="1" si="50"/>
        <v>0</v>
      </c>
    </row>
    <row r="103" spans="1:40" x14ac:dyDescent="0.2">
      <c r="A103">
        <f t="shared" si="36"/>
        <v>2</v>
      </c>
      <c r="B103">
        <f t="shared" ca="1" si="37"/>
        <v>2</v>
      </c>
      <c r="C103">
        <f t="shared" ca="1" si="38"/>
        <v>2</v>
      </c>
      <c r="D103">
        <f t="shared" ca="1" si="39"/>
        <v>17</v>
      </c>
      <c r="E103">
        <f ca="1">IF($C103=1,OFFSET(E103,-1,0)+MAX(1,COUNTIF(QCI!$A$13:$A$24,OFFSET(ORÇAMENTO!E103,-1,0))),OFFSET(E103,-1,0))</f>
        <v>1</v>
      </c>
      <c r="F103">
        <f t="shared" ca="1" si="40"/>
        <v>14</v>
      </c>
      <c r="G103">
        <f t="shared" ca="1" si="41"/>
        <v>0</v>
      </c>
      <c r="H103">
        <f t="shared" ca="1" si="42"/>
        <v>0</v>
      </c>
      <c r="I103">
        <f t="shared" ca="1" si="43"/>
        <v>0</v>
      </c>
      <c r="J103">
        <f t="shared" ca="1" si="35"/>
        <v>17</v>
      </c>
      <c r="K103" t="e">
        <f ca="1">IF(OR($C103="S",$C103=0),0,MATCH(OFFSET($D103,0,$C103)+IF($C103&lt;&gt;1,1,COUNTIF(QCI!$A$13:$A$24,ORÇAMENTO!E103)),OFFSET($D103,1,$C103,ROW($C$120)-ROW($C103)),0))</f>
        <v>#N/A</v>
      </c>
      <c r="L103" s="113" t="str">
        <f t="shared" ca="1" si="44"/>
        <v>F</v>
      </c>
      <c r="M103" s="114" t="s">
        <v>196</v>
      </c>
      <c r="N103" s="115" t="str">
        <f t="shared" ca="1" si="45"/>
        <v>Nível 2</v>
      </c>
      <c r="O103" s="116" t="str">
        <f t="shared" ca="1" si="46"/>
        <v>1.14.</v>
      </c>
      <c r="P103" s="117" t="s">
        <v>247</v>
      </c>
      <c r="Q103" s="118"/>
      <c r="R103" s="119" t="s">
        <v>501</v>
      </c>
      <c r="S103" s="120" t="str">
        <f ca="1">REFERENCIA.Unidade</f>
        <v>-</v>
      </c>
      <c r="T103" s="121">
        <f ca="1">OFFSET(CÁLCULO!H$15,ROW($T103)-ROW(T$15),0)</f>
        <v>0</v>
      </c>
      <c r="U103" s="122">
        <f t="shared" ca="1" si="52"/>
        <v>0</v>
      </c>
      <c r="V103" s="123" t="s">
        <v>156</v>
      </c>
      <c r="W103" s="121">
        <f ca="1">IF($C103="S",ROUND(IF(TIPOORCAMENTO="Proposto",ORÇAMENTO.CustoUnitario*(1+$AH103),ORÇAMENTO.PrecoUnitarioLicitado),15-13*$AF$10),0)</f>
        <v>0</v>
      </c>
      <c r="X103" s="124">
        <f ca="1">IF($C103="S",IF(Import.TipoArredondamento&lt;&gt;"TransfereGOV",VTOTAL1,SUM(OFFSET(CÁLCULO!$AA$15,ROW($X103)-ROW($X$15),1):OFFSET(CÁLCULO!$AL$15,ROW($X103)-ROW($X$15),-1))),IF($C103=0,0,ROUND(SomaAgrup,15-13*$AF$11)))</f>
        <v>0</v>
      </c>
      <c r="Y103" s="125" t="s">
        <v>245</v>
      </c>
      <c r="Z103" t="str">
        <f t="shared" ca="1" si="47"/>
        <v/>
      </c>
      <c r="AA103" s="126">
        <f ca="1">IF($C103="S",IF($Z103="CP",$X103,IF($Z103="RA",(($X103)*QCI!$AA$3),0)),SomaAgrup)</f>
        <v>0</v>
      </c>
      <c r="AB103" s="127">
        <f t="shared" ca="1" si="48"/>
        <v>0</v>
      </c>
      <c r="AC103" s="128" t="str">
        <f ca="1">IF($N103="","",IF(ORÇAMENTO.Descricao="","DESCRIÇÃO",IF(AND($C103="S",ORÇAMENTO.Unidade=""),"UNIDADE",IF($X103&lt;0,"VALOR NEGATIVO",IF(OR(AND(TIPOORCAMENTO="Proposto",$AG103&lt;&gt;"",$AG103&gt;0,ORÇAMENTO.CustoUnitario&gt;$AG103),AND(TIPOORCAMENTO="LICITADO",ORÇAMENTO.PrecoUnitarioLicitado&gt;$AN103)),"ACIMA REF.","")))))</f>
        <v/>
      </c>
      <c r="AD103">
        <f ca="1">IF(C103&lt;=CRONO.NivelExibicao,MAX($AD$15:OFFSET(AD103,-1,0))+IF($C103&lt;&gt;1,1,MAX(1,COUNTIF(QCI!$A$13:$A$24,OFFSET($E103,-1,0)))),"")</f>
        <v>15</v>
      </c>
      <c r="AE103" s="7" t="b">
        <f ca="1">IF(AND($C103="S",ORÇAMENTO.CodBarra&lt;&gt;""),IF(ORÇAMENTO.Fonte="",ORÇAMENTO.CodBarra,CONCATENATE(ORÇAMENTO.Fonte," ",ORÇAMENTO.CodBarra)))</f>
        <v>0</v>
      </c>
      <c r="AF103" s="13" t="str">
        <f ca="1">IF(ISERROR(INDIRECT(ORÇAMENTO.BancoRef)),"(abra o arquivo 'Referência "&amp;Excel_BuiltIn_Database&amp;".xlsm)",IF(OR($C103&lt;&gt;"S",ORÇAMENTO.CodBarra=""),"(Sem Código)",IF(ISERROR(MATCH($AE103,INDIRECT(ORÇAMENTO.BancoRef),0)),"(Código não identificado nas referências)",MATCH($AE103,INDIRECT(ORÇAMENTO.BancoRef),0))))</f>
        <v>(abra o arquivo 'Referência 10-2024.xlsm)</v>
      </c>
      <c r="AG103" s="495">
        <f ca="1">ROUND(IF(DESONERACAO="sim",REFERENCIA.Desonerado,REFERENCIA.NaoDesonerado),2)</f>
        <v>0</v>
      </c>
      <c r="AH103" s="496">
        <f t="shared" ca="1" si="49"/>
        <v>0.20710000000000001</v>
      </c>
      <c r="AJ103" s="498"/>
      <c r="AL103" s="524"/>
      <c r="AM103" s="378">
        <f t="shared" ca="1" si="51"/>
        <v>0</v>
      </c>
      <c r="AN103" s="563">
        <f t="shared" ca="1" si="50"/>
        <v>0</v>
      </c>
    </row>
    <row r="104" spans="1:40" ht="38.25" x14ac:dyDescent="0.2">
      <c r="A104" t="str">
        <f t="shared" si="36"/>
        <v>S</v>
      </c>
      <c r="B104">
        <f t="shared" ca="1" si="37"/>
        <v>2</v>
      </c>
      <c r="C104" t="str">
        <f t="shared" ca="1" si="38"/>
        <v>S</v>
      </c>
      <c r="D104">
        <f t="shared" ca="1" si="39"/>
        <v>0</v>
      </c>
      <c r="E104">
        <f ca="1">IF($C104=1,OFFSET(E104,-1,0)+MAX(1,COUNTIF(QCI!$A$13:$A$24,OFFSET(ORÇAMENTO!E104,-1,0))),OFFSET(E104,-1,0))</f>
        <v>1</v>
      </c>
      <c r="F104">
        <f t="shared" ca="1" si="40"/>
        <v>14</v>
      </c>
      <c r="G104">
        <f t="shared" ca="1" si="41"/>
        <v>0</v>
      </c>
      <c r="H104">
        <f t="shared" ca="1" si="42"/>
        <v>0</v>
      </c>
      <c r="I104">
        <f t="shared" ca="1" si="43"/>
        <v>0</v>
      </c>
      <c r="J104">
        <f t="shared" ca="1" si="35"/>
        <v>0</v>
      </c>
      <c r="K104">
        <f ca="1">IF(OR($C104="S",$C104=0),0,MATCH(OFFSET($D104,0,$C104)+IF($C104&lt;&gt;1,1,COUNTIF(QCI!$A$13:$A$24,ORÇAMENTO!E104)),OFFSET($D104,1,$C104,ROW($C$120)-ROW($C104)),0))</f>
        <v>0</v>
      </c>
      <c r="L104" s="113" t="str">
        <f t="shared" ca="1" si="44"/>
        <v/>
      </c>
      <c r="M104" s="114" t="s">
        <v>199</v>
      </c>
      <c r="N104" s="115" t="str">
        <f t="shared" ca="1" si="45"/>
        <v>Serviço</v>
      </c>
      <c r="O104" s="116" t="str">
        <f t="shared" ca="1" si="46"/>
        <v>-</v>
      </c>
      <c r="P104" s="117" t="s">
        <v>457</v>
      </c>
      <c r="Q104" s="118" t="s">
        <v>460</v>
      </c>
      <c r="R104" s="119" t="str">
        <f ca="1">IF($C104="S",REFERENCIA.Descricao,"(digite a descrição aqui)")</f>
        <v>(abra o arquivo 'Referência 10-2024.xlsm)</v>
      </c>
      <c r="S104" s="120" t="str">
        <f ca="1">REFERENCIA.Unidade</f>
        <v>-</v>
      </c>
      <c r="T104" s="121">
        <f ca="1">OFFSET(CÁLCULO!H$15,ROW($T104)-ROW(T$15),0)</f>
        <v>1</v>
      </c>
      <c r="U104" s="122">
        <f t="shared" ca="1" si="52"/>
        <v>0</v>
      </c>
      <c r="V104" s="123" t="s">
        <v>156</v>
      </c>
      <c r="W104" s="121">
        <f ca="1">IF($C104="S",ROUND(IF(TIPOORCAMENTO="Proposto",ORÇAMENTO.CustoUnitario*(1+$AH104),ORÇAMENTO.PrecoUnitarioLicitado),15-13*$AF$10),0)</f>
        <v>0</v>
      </c>
      <c r="X104" s="124">
        <f ca="1">IF($C104="S",IF(Import.TipoArredondamento&lt;&gt;"TransfereGOV",VTOTAL1,SUM(OFFSET(CÁLCULO!$AA$15,ROW($X104)-ROW($X$15),1):OFFSET(CÁLCULO!$AL$15,ROW($X104)-ROW($X$15),-1))),IF($C104=0,0,ROUND(SomaAgrup,15-13*$AF$11)))</f>
        <v>0</v>
      </c>
      <c r="Y104" s="125" t="s">
        <v>245</v>
      </c>
      <c r="Z104" t="str">
        <f t="shared" ca="1" si="47"/>
        <v/>
      </c>
      <c r="AA104" s="126">
        <f ca="1">IF($C104="S",IF($Z104="CP",$X104,IF($Z104="RA",(($X104)*QCI!$AA$3),0)),SomaAgrup)</f>
        <v>0</v>
      </c>
      <c r="AB104" s="127">
        <f t="shared" ca="1" si="48"/>
        <v>0</v>
      </c>
      <c r="AC104" s="128" t="str">
        <f ca="1">IF($N104="","",IF(ORÇAMENTO.Descricao="","DESCRIÇÃO",IF(AND($C104="S",ORÇAMENTO.Unidade=""),"UNIDADE",IF($X104&lt;0,"VALOR NEGATIVO",IF(OR(AND(TIPOORCAMENTO="Proposto",$AG104&lt;&gt;"",$AG104&gt;0,ORÇAMENTO.CustoUnitario&gt;$AG104),AND(TIPOORCAMENTO="LICITADO",ORÇAMENTO.PrecoUnitarioLicitado&gt;$AN104)),"ACIMA REF.","")))))</f>
        <v/>
      </c>
      <c r="AD104" t="str">
        <f ca="1">IF(C104&lt;=CRONO.NivelExibicao,MAX($AD$15:OFFSET(AD104,-1,0))+IF($C104&lt;&gt;1,1,MAX(1,COUNTIF(QCI!$A$13:$A$24,OFFSET($E104,-1,0)))),"")</f>
        <v/>
      </c>
      <c r="AE104" s="7" t="str">
        <f ca="1">IF(AND($C104="S",ORÇAMENTO.CodBarra&lt;&gt;""),IF(ORÇAMENTO.Fonte="",ORÇAMENTO.CodBarra,CONCATENATE(ORÇAMENTO.Fonte," ",ORÇAMENTO.CodBarra)))</f>
        <v>Composição COMP-02</v>
      </c>
      <c r="AF104" s="13" t="str">
        <f ca="1">IF(ISERROR(INDIRECT(ORÇAMENTO.BancoRef)),"(abra o arquivo 'Referência "&amp;Excel_BuiltIn_Database&amp;".xlsm)",IF(OR($C104&lt;&gt;"S",ORÇAMENTO.CodBarra=""),"(Sem Código)",IF(ISERROR(MATCH($AE104,INDIRECT(ORÇAMENTO.BancoRef),0)),"(Código não identificado nas referências)",MATCH($AE104,INDIRECT(ORÇAMENTO.BancoRef),0))))</f>
        <v>(abra o arquivo 'Referência 10-2024.xlsm)</v>
      </c>
      <c r="AG104" s="495">
        <f ca="1">ROUND(IF(DESONERACAO="sim",REFERENCIA.Desonerado,REFERENCIA.NaoDesonerado),2)</f>
        <v>0</v>
      </c>
      <c r="AH104" s="496">
        <f t="shared" ca="1" si="49"/>
        <v>0.20710000000000001</v>
      </c>
      <c r="AJ104" s="498">
        <v>1</v>
      </c>
      <c r="AL104" s="524"/>
      <c r="AM104" s="378">
        <f t="shared" ca="1" si="51"/>
        <v>0</v>
      </c>
      <c r="AN104" s="563">
        <f t="shared" ca="1" si="50"/>
        <v>0</v>
      </c>
    </row>
    <row r="105" spans="1:40" ht="38.25" x14ac:dyDescent="0.2">
      <c r="A105" t="str">
        <f t="shared" si="36"/>
        <v>S</v>
      </c>
      <c r="B105">
        <f t="shared" ca="1" si="37"/>
        <v>2</v>
      </c>
      <c r="C105" t="str">
        <f t="shared" ca="1" si="38"/>
        <v>S</v>
      </c>
      <c r="D105">
        <f t="shared" ca="1" si="39"/>
        <v>0</v>
      </c>
      <c r="E105">
        <f ca="1">IF($C105=1,OFFSET(E105,-1,0)+MAX(1,COUNTIF(QCI!$A$13:$A$24,OFFSET(ORÇAMENTO!E105,-1,0))),OFFSET(E105,-1,0))</f>
        <v>1</v>
      </c>
      <c r="F105">
        <f t="shared" ca="1" si="40"/>
        <v>14</v>
      </c>
      <c r="G105">
        <f t="shared" ca="1" si="41"/>
        <v>0</v>
      </c>
      <c r="H105">
        <f t="shared" ca="1" si="42"/>
        <v>0</v>
      </c>
      <c r="I105">
        <f t="shared" ca="1" si="43"/>
        <v>0</v>
      </c>
      <c r="J105">
        <f t="shared" ca="1" si="35"/>
        <v>0</v>
      </c>
      <c r="K105">
        <f ca="1">IF(OR($C105="S",$C105=0),0,MATCH(OFFSET($D105,0,$C105)+IF($C105&lt;&gt;1,1,COUNTIF(QCI!$A$13:$A$24,ORÇAMENTO!E105)),OFFSET($D105,1,$C105,ROW($C$120)-ROW($C105)),0))</f>
        <v>0</v>
      </c>
      <c r="L105" s="113" t="str">
        <f t="shared" ca="1" si="44"/>
        <v/>
      </c>
      <c r="M105" s="114" t="s">
        <v>199</v>
      </c>
      <c r="N105" s="115" t="str">
        <f t="shared" ca="1" si="45"/>
        <v>Serviço</v>
      </c>
      <c r="O105" s="116" t="str">
        <f t="shared" ca="1" si="46"/>
        <v>-</v>
      </c>
      <c r="P105" s="117" t="s">
        <v>247</v>
      </c>
      <c r="Q105" s="118" t="s">
        <v>530</v>
      </c>
      <c r="R105" s="119" t="str">
        <f ca="1">IF($C105="S",REFERENCIA.Descricao,"(digite a descrição aqui)")</f>
        <v>(abra o arquivo 'Referência 10-2024.xlsm)</v>
      </c>
      <c r="S105" s="120" t="str">
        <f ca="1">REFERENCIA.Unidade</f>
        <v>-</v>
      </c>
      <c r="T105" s="121">
        <f ca="1">OFFSET(CÁLCULO!H$15,ROW($T105)-ROW(T$15),0)</f>
        <v>60</v>
      </c>
      <c r="U105" s="122">
        <f t="shared" ca="1" si="52"/>
        <v>0</v>
      </c>
      <c r="V105" s="123" t="s">
        <v>156</v>
      </c>
      <c r="W105" s="121">
        <f ca="1">IF($C105="S",ROUND(IF(TIPOORCAMENTO="Proposto",ORÇAMENTO.CustoUnitario*(1+$AH105),ORÇAMENTO.PrecoUnitarioLicitado),15-13*$AF$10),0)</f>
        <v>0</v>
      </c>
      <c r="X105" s="124">
        <f ca="1">IF($C105="S",IF(Import.TipoArredondamento&lt;&gt;"TransfereGOV",VTOTAL1,SUM(OFFSET(CÁLCULO!$AA$15,ROW($X105)-ROW($X$15),1):OFFSET(CÁLCULO!$AL$15,ROW($X105)-ROW($X$15),-1))),IF($C105=0,0,ROUND(SomaAgrup,15-13*$AF$11)))</f>
        <v>0</v>
      </c>
      <c r="Y105" s="125" t="s">
        <v>245</v>
      </c>
      <c r="Z105" t="str">
        <f t="shared" ca="1" si="47"/>
        <v/>
      </c>
      <c r="AA105" s="126">
        <f ca="1">IF($C105="S",IF($Z105="CP",$X105,IF($Z105="RA",(($X105)*QCI!$AA$3),0)),SomaAgrup)</f>
        <v>0</v>
      </c>
      <c r="AB105" s="127">
        <f t="shared" ca="1" si="48"/>
        <v>0</v>
      </c>
      <c r="AC105" s="128" t="str">
        <f ca="1">IF($N105="","",IF(ORÇAMENTO.Descricao="","DESCRIÇÃO",IF(AND($C105="S",ORÇAMENTO.Unidade=""),"UNIDADE",IF($X105&lt;0,"VALOR NEGATIVO",IF(OR(AND(TIPOORCAMENTO="Proposto",$AG105&lt;&gt;"",$AG105&gt;0,ORÇAMENTO.CustoUnitario&gt;$AG105),AND(TIPOORCAMENTO="LICITADO",ORÇAMENTO.PrecoUnitarioLicitado&gt;$AN105)),"ACIMA REF.","")))))</f>
        <v/>
      </c>
      <c r="AD105" t="str">
        <f ca="1">IF(C105&lt;=CRONO.NivelExibicao,MAX($AD$15:OFFSET(AD105,-1,0))+IF($C105&lt;&gt;1,1,MAX(1,COUNTIF(QCI!$A$13:$A$24,OFFSET($E105,-1,0)))),"")</f>
        <v/>
      </c>
      <c r="AE105" s="7" t="str">
        <f ca="1">IF(AND($C105="S",ORÇAMENTO.CodBarra&lt;&gt;""),IF(ORÇAMENTO.Fonte="",ORÇAMENTO.CodBarra,CONCATENATE(ORÇAMENTO.Fonte," ",ORÇAMENTO.CodBarra)))</f>
        <v>SINAPI 91834</v>
      </c>
      <c r="AF105" s="13" t="str">
        <f ca="1">IF(ISERROR(INDIRECT(ORÇAMENTO.BancoRef)),"(abra o arquivo 'Referência "&amp;Excel_BuiltIn_Database&amp;".xlsm)",IF(OR($C105&lt;&gt;"S",ORÇAMENTO.CodBarra=""),"(Sem Código)",IF(ISERROR(MATCH($AE105,INDIRECT(ORÇAMENTO.BancoRef),0)),"(Código não identificado nas referências)",MATCH($AE105,INDIRECT(ORÇAMENTO.BancoRef),0))))</f>
        <v>(abra o arquivo 'Referência 10-2024.xlsm)</v>
      </c>
      <c r="AG105" s="495">
        <f ca="1">ROUND(IF(DESONERACAO="sim",REFERENCIA.Desonerado,REFERENCIA.NaoDesonerado),2)</f>
        <v>0</v>
      </c>
      <c r="AH105" s="496">
        <f t="shared" ca="1" si="49"/>
        <v>0.20710000000000001</v>
      </c>
      <c r="AJ105" s="498">
        <v>60</v>
      </c>
      <c r="AL105" s="524"/>
      <c r="AM105" s="378">
        <f t="shared" ca="1" si="51"/>
        <v>0</v>
      </c>
      <c r="AN105" s="563">
        <f t="shared" ca="1" si="50"/>
        <v>0</v>
      </c>
    </row>
    <row r="106" spans="1:40" ht="38.25" x14ac:dyDescent="0.2">
      <c r="A106" t="str">
        <f t="shared" si="36"/>
        <v>S</v>
      </c>
      <c r="B106">
        <f t="shared" ca="1" si="37"/>
        <v>2</v>
      </c>
      <c r="C106" t="str">
        <f t="shared" ca="1" si="38"/>
        <v>S</v>
      </c>
      <c r="D106">
        <f t="shared" ca="1" si="39"/>
        <v>0</v>
      </c>
      <c r="E106">
        <f ca="1">IF($C106=1,OFFSET(E106,-1,0)+MAX(1,COUNTIF(QCI!$A$13:$A$24,OFFSET(ORÇAMENTO!E106,-1,0))),OFFSET(E106,-1,0))</f>
        <v>1</v>
      </c>
      <c r="F106">
        <f t="shared" ca="1" si="40"/>
        <v>14</v>
      </c>
      <c r="G106">
        <f t="shared" ca="1" si="41"/>
        <v>0</v>
      </c>
      <c r="H106">
        <f t="shared" ca="1" si="42"/>
        <v>0</v>
      </c>
      <c r="I106">
        <f t="shared" ca="1" si="43"/>
        <v>0</v>
      </c>
      <c r="J106">
        <f t="shared" ca="1" si="35"/>
        <v>0</v>
      </c>
      <c r="K106">
        <f ca="1">IF(OR($C106="S",$C106=0),0,MATCH(OFFSET($D106,0,$C106)+IF($C106&lt;&gt;1,1,COUNTIF(QCI!$A$13:$A$24,ORÇAMENTO!E106)),OFFSET($D106,1,$C106,ROW($C$120)-ROW($C106)),0))</f>
        <v>0</v>
      </c>
      <c r="L106" s="113" t="str">
        <f t="shared" ca="1" si="44"/>
        <v/>
      </c>
      <c r="M106" s="114" t="s">
        <v>199</v>
      </c>
      <c r="N106" s="115" t="str">
        <f t="shared" ca="1" si="45"/>
        <v>Serviço</v>
      </c>
      <c r="O106" s="116" t="str">
        <f t="shared" ca="1" si="46"/>
        <v>-</v>
      </c>
      <c r="P106" s="117" t="s">
        <v>247</v>
      </c>
      <c r="Q106" s="118" t="s">
        <v>534</v>
      </c>
      <c r="R106" s="119" t="str">
        <f ca="1">IF($C106="S",REFERENCIA.Descricao,"(digite a descrição aqui)")</f>
        <v>(abra o arquivo 'Referência 10-2024.xlsm)</v>
      </c>
      <c r="S106" s="120" t="str">
        <f ca="1">REFERENCIA.Unidade</f>
        <v>-</v>
      </c>
      <c r="T106" s="121">
        <f ca="1">OFFSET(CÁLCULO!H$15,ROW($T106)-ROW(T$15),0)</f>
        <v>18</v>
      </c>
      <c r="U106" s="122">
        <f t="shared" ca="1" si="52"/>
        <v>0</v>
      </c>
      <c r="V106" s="123" t="s">
        <v>156</v>
      </c>
      <c r="W106" s="121">
        <f ca="1">IF($C106="S",ROUND(IF(TIPOORCAMENTO="Proposto",ORÇAMENTO.CustoUnitario*(1+$AH106),ORÇAMENTO.PrecoUnitarioLicitado),15-13*$AF$10),0)</f>
        <v>0</v>
      </c>
      <c r="X106" s="124">
        <f ca="1">IF($C106="S",IF(Import.TipoArredondamento&lt;&gt;"TransfereGOV",VTOTAL1,SUM(OFFSET(CÁLCULO!$AA$15,ROW($X106)-ROW($X$15),1):OFFSET(CÁLCULO!$AL$15,ROW($X106)-ROW($X$15),-1))),IF($C106=0,0,ROUND(SomaAgrup,15-13*$AF$11)))</f>
        <v>0</v>
      </c>
      <c r="Y106" s="125" t="s">
        <v>245</v>
      </c>
      <c r="Z106" t="str">
        <f t="shared" ca="1" si="47"/>
        <v/>
      </c>
      <c r="AA106" s="126">
        <f ca="1">IF($C106="S",IF($Z106="CP",$X106,IF($Z106="RA",(($X106)*QCI!$AA$3),0)),SomaAgrup)</f>
        <v>0</v>
      </c>
      <c r="AB106" s="127">
        <f t="shared" ca="1" si="48"/>
        <v>0</v>
      </c>
      <c r="AC106" s="128" t="str">
        <f ca="1">IF($N106="","",IF(ORÇAMENTO.Descricao="","DESCRIÇÃO",IF(AND($C106="S",ORÇAMENTO.Unidade=""),"UNIDADE",IF($X106&lt;0,"VALOR NEGATIVO",IF(OR(AND(TIPOORCAMENTO="Proposto",$AG106&lt;&gt;"",$AG106&gt;0,ORÇAMENTO.CustoUnitario&gt;$AG106),AND(TIPOORCAMENTO="LICITADO",ORÇAMENTO.PrecoUnitarioLicitado&gt;$AN106)),"ACIMA REF.","")))))</f>
        <v/>
      </c>
      <c r="AD106" t="str">
        <f ca="1">IF(C106&lt;=CRONO.NivelExibicao,MAX($AD$15:OFFSET(AD106,-1,0))+IF($C106&lt;&gt;1,1,MAX(1,COUNTIF(QCI!$A$13:$A$24,OFFSET($E106,-1,0)))),"")</f>
        <v/>
      </c>
      <c r="AE106" s="7" t="str">
        <f ca="1">IF(AND($C106="S",ORÇAMENTO.CodBarra&lt;&gt;""),IF(ORÇAMENTO.Fonte="",ORÇAMENTO.CodBarra,CONCATENATE(ORÇAMENTO.Fonte," ",ORÇAMENTO.CodBarra)))</f>
        <v>SINAPI 97667</v>
      </c>
      <c r="AF106" s="13" t="str">
        <f ca="1">IF(ISERROR(INDIRECT(ORÇAMENTO.BancoRef)),"(abra o arquivo 'Referência "&amp;Excel_BuiltIn_Database&amp;".xlsm)",IF(OR($C106&lt;&gt;"S",ORÇAMENTO.CodBarra=""),"(Sem Código)",IF(ISERROR(MATCH($AE106,INDIRECT(ORÇAMENTO.BancoRef),0)),"(Código não identificado nas referências)",MATCH($AE106,INDIRECT(ORÇAMENTO.BancoRef),0))))</f>
        <v>(abra o arquivo 'Referência 10-2024.xlsm)</v>
      </c>
      <c r="AG106" s="495">
        <f ca="1">ROUND(IF(DESONERACAO="sim",REFERENCIA.Desonerado,REFERENCIA.NaoDesonerado),2)</f>
        <v>0</v>
      </c>
      <c r="AH106" s="496">
        <f t="shared" ca="1" si="49"/>
        <v>0.20710000000000001</v>
      </c>
      <c r="AJ106" s="498">
        <v>18</v>
      </c>
      <c r="AL106" s="524"/>
      <c r="AM106" s="378">
        <f t="shared" ca="1" si="51"/>
        <v>0</v>
      </c>
      <c r="AN106" s="563">
        <f t="shared" ca="1" si="50"/>
        <v>0</v>
      </c>
    </row>
    <row r="107" spans="1:40" ht="38.25" x14ac:dyDescent="0.2">
      <c r="A107" t="str">
        <f t="shared" si="36"/>
        <v>S</v>
      </c>
      <c r="B107">
        <f t="shared" ca="1" si="37"/>
        <v>2</v>
      </c>
      <c r="C107" t="str">
        <f t="shared" ca="1" si="38"/>
        <v>S</v>
      </c>
      <c r="D107">
        <f t="shared" ca="1" si="39"/>
        <v>0</v>
      </c>
      <c r="E107">
        <f ca="1">IF($C107=1,OFFSET(E107,-1,0)+MAX(1,COUNTIF(QCI!$A$13:$A$24,OFFSET(ORÇAMENTO!E107,-1,0))),OFFSET(E107,-1,0))</f>
        <v>1</v>
      </c>
      <c r="F107">
        <f t="shared" ca="1" si="40"/>
        <v>14</v>
      </c>
      <c r="G107">
        <f t="shared" ca="1" si="41"/>
        <v>0</v>
      </c>
      <c r="H107">
        <f t="shared" ca="1" si="42"/>
        <v>0</v>
      </c>
      <c r="I107">
        <f t="shared" ca="1" si="43"/>
        <v>0</v>
      </c>
      <c r="J107">
        <f t="shared" ca="1" si="35"/>
        <v>0</v>
      </c>
      <c r="K107">
        <f ca="1">IF(OR($C107="S",$C107=0),0,MATCH(OFFSET($D107,0,$C107)+IF($C107&lt;&gt;1,1,COUNTIF(QCI!$A$13:$A$24,ORÇAMENTO!E107)),OFFSET($D107,1,$C107,ROW($C$120)-ROW($C107)),0))</f>
        <v>0</v>
      </c>
      <c r="L107" s="113" t="str">
        <f t="shared" ca="1" si="44"/>
        <v/>
      </c>
      <c r="M107" s="114" t="s">
        <v>199</v>
      </c>
      <c r="N107" s="115" t="str">
        <f t="shared" ca="1" si="45"/>
        <v>Serviço</v>
      </c>
      <c r="O107" s="116" t="str">
        <f t="shared" ca="1" si="46"/>
        <v>-</v>
      </c>
      <c r="P107" s="117" t="s">
        <v>247</v>
      </c>
      <c r="Q107" s="118" t="s">
        <v>533</v>
      </c>
      <c r="R107" s="119" t="str">
        <f ca="1">IF($C107="S",REFERENCIA.Descricao,"(digite a descrição aqui)")</f>
        <v>(abra o arquivo 'Referência 10-2024.xlsm)</v>
      </c>
      <c r="S107" s="120" t="str">
        <f ca="1">REFERENCIA.Unidade</f>
        <v>-</v>
      </c>
      <c r="T107" s="121">
        <f ca="1">OFFSET(CÁLCULO!H$15,ROW($T107)-ROW(T$15),0)</f>
        <v>44.6</v>
      </c>
      <c r="U107" s="122">
        <f t="shared" ca="1" si="52"/>
        <v>0</v>
      </c>
      <c r="V107" s="123" t="s">
        <v>156</v>
      </c>
      <c r="W107" s="121">
        <f ca="1">IF($C107="S",ROUND(IF(TIPOORCAMENTO="Proposto",ORÇAMENTO.CustoUnitario*(1+$AH107),ORÇAMENTO.PrecoUnitarioLicitado),15-13*$AF$10),0)</f>
        <v>0</v>
      </c>
      <c r="X107" s="124">
        <f ca="1">IF($C107="S",IF(Import.TipoArredondamento&lt;&gt;"TransfereGOV",VTOTAL1,SUM(OFFSET(CÁLCULO!$AA$15,ROW($X107)-ROW($X$15),1):OFFSET(CÁLCULO!$AL$15,ROW($X107)-ROW($X$15),-1))),IF($C107=0,0,ROUND(SomaAgrup,15-13*$AF$11)))</f>
        <v>0</v>
      </c>
      <c r="Y107" s="125" t="s">
        <v>245</v>
      </c>
      <c r="Z107" t="str">
        <f t="shared" ca="1" si="47"/>
        <v/>
      </c>
      <c r="AA107" s="126">
        <f ca="1">IF($C107="S",IF($Z107="CP",$X107,IF($Z107="RA",(($X107)*QCI!$AA$3),0)),SomaAgrup)</f>
        <v>0</v>
      </c>
      <c r="AB107" s="127">
        <f t="shared" ca="1" si="48"/>
        <v>0</v>
      </c>
      <c r="AC107" s="128" t="str">
        <f ca="1">IF($N107="","",IF(ORÇAMENTO.Descricao="","DESCRIÇÃO",IF(AND($C107="S",ORÇAMENTO.Unidade=""),"UNIDADE",IF($X107&lt;0,"VALOR NEGATIVO",IF(OR(AND(TIPOORCAMENTO="Proposto",$AG107&lt;&gt;"",$AG107&gt;0,ORÇAMENTO.CustoUnitario&gt;$AG107),AND(TIPOORCAMENTO="LICITADO",ORÇAMENTO.PrecoUnitarioLicitado&gt;$AN107)),"ACIMA REF.","")))))</f>
        <v/>
      </c>
      <c r="AD107" t="str">
        <f ca="1">IF(C107&lt;=CRONO.NivelExibicao,MAX($AD$15:OFFSET(AD107,-1,0))+IF($C107&lt;&gt;1,1,MAX(1,COUNTIF(QCI!$A$13:$A$24,OFFSET($E107,-1,0)))),"")</f>
        <v/>
      </c>
      <c r="AE107" s="7" t="str">
        <f ca="1">IF(AND($C107="S",ORÇAMENTO.CodBarra&lt;&gt;""),IF(ORÇAMENTO.Fonte="",ORÇAMENTO.CodBarra,CONCATENATE(ORÇAMENTO.Fonte," ",ORÇAMENTO.CodBarra)))</f>
        <v>SINAPI 91925</v>
      </c>
      <c r="AF107" s="13" t="str">
        <f ca="1">IF(ISERROR(INDIRECT(ORÇAMENTO.BancoRef)),"(abra o arquivo 'Referência "&amp;Excel_BuiltIn_Database&amp;".xlsm)",IF(OR($C107&lt;&gt;"S",ORÇAMENTO.CodBarra=""),"(Sem Código)",IF(ISERROR(MATCH($AE107,INDIRECT(ORÇAMENTO.BancoRef),0)),"(Código não identificado nas referências)",MATCH($AE107,INDIRECT(ORÇAMENTO.BancoRef),0))))</f>
        <v>(abra o arquivo 'Referência 10-2024.xlsm)</v>
      </c>
      <c r="AG107" s="495">
        <f ca="1">ROUND(IF(DESONERACAO="sim",REFERENCIA.Desonerado,REFERENCIA.NaoDesonerado),2)</f>
        <v>0</v>
      </c>
      <c r="AH107" s="496">
        <f t="shared" ca="1" si="49"/>
        <v>0.20710000000000001</v>
      </c>
      <c r="AJ107" s="498">
        <f>21.6+11.2+11.8</f>
        <v>44.599999999999994</v>
      </c>
      <c r="AL107" s="524"/>
      <c r="AM107" s="378">
        <f t="shared" ca="1" si="51"/>
        <v>0</v>
      </c>
      <c r="AN107" s="563">
        <f t="shared" ca="1" si="50"/>
        <v>0</v>
      </c>
    </row>
    <row r="108" spans="1:40" ht="38.25" x14ac:dyDescent="0.2">
      <c r="A108" t="str">
        <f t="shared" si="36"/>
        <v>S</v>
      </c>
      <c r="B108">
        <f t="shared" ca="1" si="37"/>
        <v>2</v>
      </c>
      <c r="C108" t="str">
        <f t="shared" ca="1" si="38"/>
        <v>S</v>
      </c>
      <c r="D108">
        <f t="shared" ca="1" si="39"/>
        <v>0</v>
      </c>
      <c r="E108">
        <f ca="1">IF($C108=1,OFFSET(E108,-1,0)+MAX(1,COUNTIF(QCI!$A$13:$A$24,OFFSET(ORÇAMENTO!E108,-1,0))),OFFSET(E108,-1,0))</f>
        <v>1</v>
      </c>
      <c r="F108">
        <f t="shared" ca="1" si="40"/>
        <v>14</v>
      </c>
      <c r="G108">
        <f t="shared" ca="1" si="41"/>
        <v>0</v>
      </c>
      <c r="H108">
        <f t="shared" ca="1" si="42"/>
        <v>0</v>
      </c>
      <c r="I108">
        <f t="shared" ca="1" si="43"/>
        <v>0</v>
      </c>
      <c r="J108">
        <f t="shared" ca="1" si="35"/>
        <v>0</v>
      </c>
      <c r="K108">
        <f ca="1">IF(OR($C108="S",$C108=0),0,MATCH(OFFSET($D108,0,$C108)+IF($C108&lt;&gt;1,1,COUNTIF(QCI!$A$13:$A$24,ORÇAMENTO!E108)),OFFSET($D108,1,$C108,ROW($C$120)-ROW($C108)),0))</f>
        <v>0</v>
      </c>
      <c r="L108" s="113" t="str">
        <f t="shared" ca="1" si="44"/>
        <v/>
      </c>
      <c r="M108" s="114" t="s">
        <v>199</v>
      </c>
      <c r="N108" s="115" t="str">
        <f t="shared" ca="1" si="45"/>
        <v>Serviço</v>
      </c>
      <c r="O108" s="116" t="str">
        <f t="shared" ca="1" si="46"/>
        <v>-</v>
      </c>
      <c r="P108" s="117" t="s">
        <v>247</v>
      </c>
      <c r="Q108" s="118" t="s">
        <v>531</v>
      </c>
      <c r="R108" s="119" t="str">
        <f ca="1">IF($C108="S",REFERENCIA.Descricao,"(digite a descrição aqui)")</f>
        <v>(abra o arquivo 'Referência 10-2024.xlsm)</v>
      </c>
      <c r="S108" s="120" t="str">
        <f ca="1">REFERENCIA.Unidade</f>
        <v>-</v>
      </c>
      <c r="T108" s="121">
        <f ca="1">OFFSET(CÁLCULO!H$15,ROW($T108)-ROW(T$15),0)</f>
        <v>94.8</v>
      </c>
      <c r="U108" s="122">
        <f t="shared" ca="1" si="52"/>
        <v>0</v>
      </c>
      <c r="V108" s="123" t="s">
        <v>156</v>
      </c>
      <c r="W108" s="121">
        <f ca="1">IF($C108="S",ROUND(IF(TIPOORCAMENTO="Proposto",ORÇAMENTO.CustoUnitario*(1+$AH108),ORÇAMENTO.PrecoUnitarioLicitado),15-13*$AF$10),0)</f>
        <v>0</v>
      </c>
      <c r="X108" s="124">
        <f ca="1">IF($C108="S",IF(Import.TipoArredondamento&lt;&gt;"TransfereGOV",VTOTAL1,SUM(OFFSET(CÁLCULO!$AA$15,ROW($X108)-ROW($X$15),1):OFFSET(CÁLCULO!$AL$15,ROW($X108)-ROW($X$15),-1))),IF($C108=0,0,ROUND(SomaAgrup,15-13*$AF$11)))</f>
        <v>0</v>
      </c>
      <c r="Y108" s="125" t="s">
        <v>245</v>
      </c>
      <c r="Z108" t="str">
        <f t="shared" ca="1" si="47"/>
        <v/>
      </c>
      <c r="AA108" s="126">
        <f ca="1">IF($C108="S",IF($Z108="CP",$X108,IF($Z108="RA",(($X108)*QCI!$AA$3),0)),SomaAgrup)</f>
        <v>0</v>
      </c>
      <c r="AB108" s="127">
        <f t="shared" ca="1" si="48"/>
        <v>0</v>
      </c>
      <c r="AC108" s="128" t="str">
        <f ca="1">IF($N108="","",IF(ORÇAMENTO.Descricao="","DESCRIÇÃO",IF(AND($C108="S",ORÇAMENTO.Unidade=""),"UNIDADE",IF($X108&lt;0,"VALOR NEGATIVO",IF(OR(AND(TIPOORCAMENTO="Proposto",$AG108&lt;&gt;"",$AG108&gt;0,ORÇAMENTO.CustoUnitario&gt;$AG108),AND(TIPOORCAMENTO="LICITADO",ORÇAMENTO.PrecoUnitarioLicitado&gt;$AN108)),"ACIMA REF.","")))))</f>
        <v/>
      </c>
      <c r="AD108" t="str">
        <f ca="1">IF(C108&lt;=CRONO.NivelExibicao,MAX($AD$15:OFFSET(AD108,-1,0))+IF($C108&lt;&gt;1,1,MAX(1,COUNTIF(QCI!$A$13:$A$24,OFFSET($E108,-1,0)))),"")</f>
        <v/>
      </c>
      <c r="AE108" s="7" t="str">
        <f ca="1">IF(AND($C108="S",ORÇAMENTO.CodBarra&lt;&gt;""),IF(ORÇAMENTO.Fonte="",ORÇAMENTO.CodBarra,CONCATENATE(ORÇAMENTO.Fonte," ",ORÇAMENTO.CodBarra)))</f>
        <v>SINAPI 91927</v>
      </c>
      <c r="AF108" s="13" t="str">
        <f ca="1">IF(ISERROR(INDIRECT(ORÇAMENTO.BancoRef)),"(abra o arquivo 'Referência "&amp;Excel_BuiltIn_Database&amp;".xlsm)",IF(OR($C108&lt;&gt;"S",ORÇAMENTO.CodBarra=""),"(Sem Código)",IF(ISERROR(MATCH($AE108,INDIRECT(ORÇAMENTO.BancoRef),0)),"(Código não identificado nas referências)",MATCH($AE108,INDIRECT(ORÇAMENTO.BancoRef),0))))</f>
        <v>(abra o arquivo 'Referência 10-2024.xlsm)</v>
      </c>
      <c r="AG108" s="495">
        <f ca="1">ROUND(IF(DESONERACAO="sim",REFERENCIA.Desonerado,REFERENCIA.NaoDesonerado),2)</f>
        <v>0</v>
      </c>
      <c r="AH108" s="496">
        <f t="shared" ca="1" si="49"/>
        <v>0.20710000000000001</v>
      </c>
      <c r="AJ108" s="498">
        <f>3.6+28+31.6+31.6</f>
        <v>94.800000000000011</v>
      </c>
      <c r="AL108" s="524"/>
      <c r="AM108" s="378">
        <f t="shared" ca="1" si="51"/>
        <v>0</v>
      </c>
      <c r="AN108" s="563">
        <f t="shared" ca="1" si="50"/>
        <v>0</v>
      </c>
    </row>
    <row r="109" spans="1:40" ht="38.25" x14ac:dyDescent="0.2">
      <c r="A109" t="str">
        <f t="shared" si="36"/>
        <v>S</v>
      </c>
      <c r="B109">
        <f ca="1">IF(OR(C109="s",C109=0),OFFSET(B109,-1,0),C109)</f>
        <v>2</v>
      </c>
      <c r="C109" t="str">
        <f ca="1">IF(OFFSET(C109,-1,0)="L",1,IF(OFFSET(C109,-1,0)=1,2,IF(OR(A109="s",A109=0),"S",IF(AND(OFFSET(C109,-1,0)=2,A109=4),3,IF(AND(OR(OFFSET(C109,-1,0)="s",OFFSET(C109,-1,0)=0),A109&lt;&gt;"s",A109&gt;OFFSET(B109,-1,0)),OFFSET(B109,-1,0),A109)))))</f>
        <v>S</v>
      </c>
      <c r="D109">
        <f ca="1">IF(OR(C109="S",C109=0),0,IF(ISERROR(K109),J109,SMALL(J109:K109,1)))</f>
        <v>0</v>
      </c>
      <c r="E109">
        <f ca="1">IF($C109=1,OFFSET(E109,-1,0)+MAX(1,COUNTIF(QCI!$A$13:$A$24,OFFSET(ORÇAMENTO!E109,-1,0))),OFFSET(E109,-1,0))</f>
        <v>1</v>
      </c>
      <c r="F109">
        <f ca="1">IF($C109=1,0,IF($C109=2,OFFSET(F109,-1,0)+1,OFFSET(F109,-1,0)))</f>
        <v>14</v>
      </c>
      <c r="G109">
        <f ca="1">IF(AND($C109&lt;=2,$C109&lt;&gt;0),0,IF($C109=3,OFFSET(G109,-1,0)+1,OFFSET(G109,-1,0)))</f>
        <v>0</v>
      </c>
      <c r="H109">
        <f ca="1">IF(AND($C109&lt;=3,$C109&lt;&gt;0),0,IF($C109=4,OFFSET(H109,-1,0)+1,OFFSET(H109,-1,0)))</f>
        <v>0</v>
      </c>
      <c r="I109">
        <f ca="1">IF(AND($C109&lt;=4,$C109&lt;&gt;0),0,IF(AND($C109="S",$X109&gt;0),OFFSET(I109,-1,0)+1,OFFSET(I109,-1,0)))</f>
        <v>0</v>
      </c>
      <c r="J109">
        <f t="shared" ca="1" si="35"/>
        <v>0</v>
      </c>
      <c r="K109">
        <f ca="1">IF(OR($C109="S",$C109=0),0,MATCH(OFFSET($D109,0,$C109)+IF($C109&lt;&gt;1,1,COUNTIF(QCI!$A$13:$A$24,ORÇAMENTO!E109)),OFFSET($D109,1,$C109,ROW($C$120)-ROW($C109)),0))</f>
        <v>0</v>
      </c>
      <c r="L109" s="113" t="str">
        <f ca="1">IF(OR($X109&gt;0,$C109=1,$C109=2,$C109=3,$C109=4),"F","")</f>
        <v/>
      </c>
      <c r="M109" s="114" t="s">
        <v>199</v>
      </c>
      <c r="N109" s="115" t="str">
        <f ca="1">CHOOSE(1+LOG(1+2*(C109=1)+4*(C109=2)+8*(C109=3)+16*(C109=4)+32*(C109="S"),2),"","Meta","Nível 2","Nível 3","Nível 4","Serviço")</f>
        <v>Serviço</v>
      </c>
      <c r="O109" s="116" t="str">
        <f ca="1">IF(OR($C109=0,$L109=""),"-",CONCATENATE(E109&amp;".",IF(AND($A$5&gt;=2,$C109&gt;=2),F109&amp;".",""),IF(AND($A$5&gt;=3,$C109&gt;=3),G109&amp;".",""),IF(AND($A$5&gt;=4,$C109&gt;=4),H109&amp;".",""),IF($C109="S",I109&amp;".","")))</f>
        <v>-</v>
      </c>
      <c r="P109" s="117" t="s">
        <v>247</v>
      </c>
      <c r="Q109" s="118" t="s">
        <v>532</v>
      </c>
      <c r="R109" s="119" t="str">
        <f ca="1">IF($C109="S",REFERENCIA.Descricao,"(digite a descrição aqui)")</f>
        <v>(abra o arquivo 'Referência 10-2024.xlsm)</v>
      </c>
      <c r="S109" s="120" t="str">
        <f ca="1">REFERENCIA.Unidade</f>
        <v>-</v>
      </c>
      <c r="T109" s="121">
        <f ca="1">OFFSET(CÁLCULO!H$15,ROW($T109)-ROW(T$15),0)</f>
        <v>51</v>
      </c>
      <c r="U109" s="122">
        <f t="shared" ca="1" si="52"/>
        <v>0</v>
      </c>
      <c r="V109" s="123" t="s">
        <v>156</v>
      </c>
      <c r="W109" s="121">
        <f ca="1">IF($C109="S",ROUND(IF(TIPOORCAMENTO="Proposto",ORÇAMENTO.CustoUnitario*(1+$AH109),ORÇAMENTO.PrecoUnitarioLicitado),15-13*$AF$10),0)</f>
        <v>0</v>
      </c>
      <c r="X109" s="124">
        <f ca="1">IF($C109="S",IF(Import.TipoArredondamento&lt;&gt;"TransfereGOV",VTOTAL1,SUM(OFFSET(CÁLCULO!$AA$15,ROW($X109)-ROW($X$15),1):OFFSET(CÁLCULO!$AL$15,ROW($X109)-ROW($X$15),-1))),IF($C109=0,0,ROUND(SomaAgrup,15-13*$AF$11)))</f>
        <v>0</v>
      </c>
      <c r="Y109" s="125" t="s">
        <v>245</v>
      </c>
      <c r="Z109" t="str">
        <f ca="1">IF(AND($C109="S",$X109&gt;0),IF(ISBLANK($Y109),"RA",LEFT($Y109,2)),"")</f>
        <v/>
      </c>
      <c r="AA109" s="126">
        <f ca="1">IF($C109="S",IF($Z109="CP",$X109,IF($Z109="RA",(($X109)*QCI!$AA$3),0)),SomaAgrup)</f>
        <v>0</v>
      </c>
      <c r="AB109" s="127">
        <f t="shared" ca="1" si="48"/>
        <v>0</v>
      </c>
      <c r="AC109" s="128" t="str">
        <f ca="1">IF($N109="","",IF(ORÇAMENTO.Descricao="","DESCRIÇÃO",IF(AND($C109="S",ORÇAMENTO.Unidade=""),"UNIDADE",IF($X109&lt;0,"VALOR NEGATIVO",IF(OR(AND(TIPOORCAMENTO="Proposto",$AG109&lt;&gt;"",$AG109&gt;0,ORÇAMENTO.CustoUnitario&gt;$AG109),AND(TIPOORCAMENTO="LICITADO",ORÇAMENTO.PrecoUnitarioLicitado&gt;$AN109)),"ACIMA REF.","")))))</f>
        <v/>
      </c>
      <c r="AD109" t="str">
        <f ca="1">IF(C109&lt;=CRONO.NivelExibicao,MAX($AD$15:OFFSET(AD109,-1,0))+IF($C109&lt;&gt;1,1,MAX(1,COUNTIF(QCI!$A$13:$A$24,OFFSET($E109,-1,0)))),"")</f>
        <v/>
      </c>
      <c r="AE109" s="7" t="str">
        <f ca="1">IF(AND($C109="S",ORÇAMENTO.CodBarra&lt;&gt;""),IF(ORÇAMENTO.Fonte="",ORÇAMENTO.CodBarra,CONCATENATE(ORÇAMENTO.Fonte," ",ORÇAMENTO.CodBarra)))</f>
        <v>SINAPI 91929</v>
      </c>
      <c r="AF109" s="13" t="str">
        <f ca="1">IF(ISERROR(INDIRECT(ORÇAMENTO.BancoRef)),"(abra o arquivo 'Referência "&amp;Excel_BuiltIn_Database&amp;".xlsm)",IF(OR($C109&lt;&gt;"S",ORÇAMENTO.CodBarra=""),"(Sem Código)",IF(ISERROR(MATCH($AE109,INDIRECT(ORÇAMENTO.BancoRef),0)),"(Código não identificado nas referências)",MATCH($AE109,INDIRECT(ORÇAMENTO.BancoRef),0))))</f>
        <v>(abra o arquivo 'Referência 10-2024.xlsm)</v>
      </c>
      <c r="AG109" s="495">
        <f ca="1">ROUND(IF(DESONERACAO="sim",REFERENCIA.Desonerado,REFERENCIA.NaoDesonerado),2)</f>
        <v>0</v>
      </c>
      <c r="AH109" s="496">
        <f t="shared" ca="1" si="49"/>
        <v>0.20710000000000001</v>
      </c>
      <c r="AJ109" s="498">
        <f>12.2+4.8+17+17</f>
        <v>51</v>
      </c>
      <c r="AL109" s="524"/>
      <c r="AM109" s="378">
        <f t="shared" ca="1" si="51"/>
        <v>0</v>
      </c>
      <c r="AN109" s="563">
        <f t="shared" ca="1" si="50"/>
        <v>0</v>
      </c>
    </row>
    <row r="110" spans="1:40" ht="25.5" x14ac:dyDescent="0.2">
      <c r="A110" t="str">
        <f t="shared" si="36"/>
        <v>S</v>
      </c>
      <c r="B110">
        <f t="shared" ref="B110:B119" ca="1" si="54">IF(OR(C110="s",C110=0),OFFSET(B110,-1,0),C110)</f>
        <v>2</v>
      </c>
      <c r="C110" t="str">
        <f t="shared" ref="C110:C119" ca="1" si="55">IF(OFFSET(C110,-1,0)="L",1,IF(OFFSET(C110,-1,0)=1,2,IF(OR(A110="s",A110=0),"S",IF(AND(OFFSET(C110,-1,0)=2,A110=4),3,IF(AND(OR(OFFSET(C110,-1,0)="s",OFFSET(C110,-1,0)=0),A110&lt;&gt;"s",A110&gt;OFFSET(B110,-1,0)),OFFSET(B110,-1,0),A110)))))</f>
        <v>S</v>
      </c>
      <c r="D110">
        <f t="shared" ref="D110:D119" ca="1" si="56">IF(OR(C110="S",C110=0),0,IF(ISERROR(K110),J110,SMALL(J110:K110,1)))</f>
        <v>0</v>
      </c>
      <c r="E110">
        <f ca="1">IF($C110=1,OFFSET(E110,-1,0)+MAX(1,COUNTIF(QCI!$A$13:$A$24,OFFSET(ORÇAMENTO!E110,-1,0))),OFFSET(E110,-1,0))</f>
        <v>1</v>
      </c>
      <c r="F110">
        <f t="shared" ref="F110:F119" ca="1" si="57">IF($C110=1,0,IF($C110=2,OFFSET(F110,-1,0)+1,OFFSET(F110,-1,0)))</f>
        <v>14</v>
      </c>
      <c r="G110">
        <f t="shared" ref="G110:G119" ca="1" si="58">IF(AND($C110&lt;=2,$C110&lt;&gt;0),0,IF($C110=3,OFFSET(G110,-1,0)+1,OFFSET(G110,-1,0)))</f>
        <v>0</v>
      </c>
      <c r="H110">
        <f t="shared" ref="H110:H119" ca="1" si="59">IF(AND($C110&lt;=3,$C110&lt;&gt;0),0,IF($C110=4,OFFSET(H110,-1,0)+1,OFFSET(H110,-1,0)))</f>
        <v>0</v>
      </c>
      <c r="I110">
        <f t="shared" ref="I110:I119" ca="1" si="60">IF(AND($C110&lt;=4,$C110&lt;&gt;0),0,IF(AND($C110="S",$X110&gt;0),OFFSET(I110,-1,0)+1,OFFSET(I110,-1,0)))</f>
        <v>0</v>
      </c>
      <c r="J110">
        <f t="shared" ca="1" si="35"/>
        <v>0</v>
      </c>
      <c r="K110">
        <f ca="1">IF(OR($C110="S",$C110=0),0,MATCH(OFFSET($D110,0,$C110)+IF($C110&lt;&gt;1,1,COUNTIF(QCI!$A$13:$A$24,ORÇAMENTO!E110)),OFFSET($D110,1,$C110,ROW($C$120)-ROW($C110)),0))</f>
        <v>0</v>
      </c>
      <c r="L110" s="113" t="str">
        <f t="shared" ref="L110:L119" ca="1" si="61">IF(OR($X110&gt;0,$C110=1,$C110=2,$C110=3,$C110=4),"F","")</f>
        <v/>
      </c>
      <c r="M110" s="114" t="s">
        <v>199</v>
      </c>
      <c r="N110" s="115" t="str">
        <f t="shared" ref="N110:N119" ca="1" si="62">CHOOSE(1+LOG(1+2*(C110=1)+4*(C110=2)+8*(C110=3)+16*(C110=4)+32*(C110="S"),2),"","Meta","Nível 2","Nível 3","Nível 4","Serviço")</f>
        <v>Serviço</v>
      </c>
      <c r="O110" s="116" t="str">
        <f t="shared" ref="O110:O119" ca="1" si="63">IF(OR($C110=0,$L110=""),"-",CONCATENATE(E110&amp;".",IF(AND($A$5&gt;=2,$C110&gt;=2),F110&amp;".",""),IF(AND($A$5&gt;=3,$C110&gt;=3),G110&amp;".",""),IF(AND($A$5&gt;=4,$C110&gt;=4),H110&amp;".",""),IF($C110="S",I110&amp;".","")))</f>
        <v>-</v>
      </c>
      <c r="P110" s="117" t="s">
        <v>456</v>
      </c>
      <c r="Q110" s="118" t="s">
        <v>535</v>
      </c>
      <c r="R110" s="119" t="str">
        <f ca="1">IF($C110="S",REFERENCIA.Descricao,"(digite a descrição aqui)")</f>
        <v>(abra o arquivo 'Referência 10-2024.xlsm)</v>
      </c>
      <c r="S110" s="120" t="str">
        <f ca="1">REFERENCIA.Unidade</f>
        <v>-</v>
      </c>
      <c r="T110" s="121">
        <f ca="1">OFFSET(CÁLCULO!H$15,ROW($T110)-ROW(T$15),0)</f>
        <v>3</v>
      </c>
      <c r="U110" s="122">
        <f t="shared" ca="1" si="52"/>
        <v>0</v>
      </c>
      <c r="V110" s="123" t="s">
        <v>156</v>
      </c>
      <c r="W110" s="121">
        <f ca="1">IF($C110="S",ROUND(IF(TIPOORCAMENTO="Proposto",ORÇAMENTO.CustoUnitario*(1+$AH110),ORÇAMENTO.PrecoUnitarioLicitado),15-13*$AF$10),0)</f>
        <v>0</v>
      </c>
      <c r="X110" s="124">
        <f ca="1">IF($C110="S",IF(Import.TipoArredondamento&lt;&gt;"TransfereGOV",VTOTAL1,SUM(OFFSET(CÁLCULO!$AA$15,ROW($X110)-ROW($X$15),1):OFFSET(CÁLCULO!$AL$15,ROW($X110)-ROW($X$15),-1))),IF($C110=0,0,ROUND(SomaAgrup,15-13*$AF$11)))</f>
        <v>0</v>
      </c>
      <c r="Y110" s="125" t="s">
        <v>245</v>
      </c>
      <c r="Z110" t="str">
        <f t="shared" ref="Z110:Z119" ca="1" si="64">IF(AND($C110="S",$X110&gt;0),IF(ISBLANK($Y110),"RA",LEFT($Y110,2)),"")</f>
        <v/>
      </c>
      <c r="AA110" s="126">
        <f ca="1">IF($C110="S",IF($Z110="CP",$X110,IF($Z110="RA",(($X110)*QCI!$AA$3),0)),SomaAgrup)</f>
        <v>0</v>
      </c>
      <c r="AB110" s="127">
        <f t="shared" ca="1" si="48"/>
        <v>0</v>
      </c>
      <c r="AC110" s="128" t="str">
        <f ca="1">IF($N110="","",IF(ORÇAMENTO.Descricao="","DESCRIÇÃO",IF(AND($C110="S",ORÇAMENTO.Unidade=""),"UNIDADE",IF($X110&lt;0,"VALOR NEGATIVO",IF(OR(AND(TIPOORCAMENTO="Proposto",$AG110&lt;&gt;"",$AG110&gt;0,ORÇAMENTO.CustoUnitario&gt;$AG110),AND(TIPOORCAMENTO="LICITADO",ORÇAMENTO.PrecoUnitarioLicitado&gt;$AN110)),"ACIMA REF.","")))))</f>
        <v/>
      </c>
      <c r="AD110" t="str">
        <f ca="1">IF(C110&lt;=CRONO.NivelExibicao,MAX($AD$15:OFFSET(AD110,-1,0))+IF($C110&lt;&gt;1,1,MAX(1,COUNTIF(QCI!$A$13:$A$24,OFFSET($E110,-1,0)))),"")</f>
        <v/>
      </c>
      <c r="AE110" s="7" t="str">
        <f ca="1">IF(AND($C110="S",ORÇAMENTO.CodBarra&lt;&gt;""),IF(ORÇAMENTO.Fonte="",ORÇAMENTO.CodBarra,CONCATENATE(ORÇAMENTO.Fonte," ",ORÇAMENTO.CodBarra)))</f>
        <v>SINAPI-I 39471</v>
      </c>
      <c r="AF110" s="13" t="str">
        <f ca="1">IF(ISERROR(INDIRECT(ORÇAMENTO.BancoRef)),"(abra o arquivo 'Referência "&amp;Excel_BuiltIn_Database&amp;".xlsm)",IF(OR($C110&lt;&gt;"S",ORÇAMENTO.CodBarra=""),"(Sem Código)",IF(ISERROR(MATCH($AE110,INDIRECT(ORÇAMENTO.BancoRef),0)),"(Código não identificado nas referências)",MATCH($AE110,INDIRECT(ORÇAMENTO.BancoRef),0))))</f>
        <v>(abra o arquivo 'Referência 10-2024.xlsm)</v>
      </c>
      <c r="AG110" s="495">
        <f ca="1">ROUND(IF(DESONERACAO="sim",REFERENCIA.Desonerado,REFERENCIA.NaoDesonerado),2)</f>
        <v>0</v>
      </c>
      <c r="AH110" s="496">
        <f t="shared" ca="1" si="49"/>
        <v>0.20710000000000001</v>
      </c>
      <c r="AJ110" s="498">
        <v>3</v>
      </c>
      <c r="AL110" s="524"/>
      <c r="AM110" s="378">
        <f t="shared" ca="1" si="51"/>
        <v>0</v>
      </c>
      <c r="AN110" s="563">
        <f t="shared" ca="1" si="50"/>
        <v>0</v>
      </c>
    </row>
    <row r="111" spans="1:40" ht="25.5" x14ac:dyDescent="0.2">
      <c r="A111" t="str">
        <f t="shared" si="36"/>
        <v>S</v>
      </c>
      <c r="B111">
        <f t="shared" ca="1" si="54"/>
        <v>2</v>
      </c>
      <c r="C111" t="str">
        <f t="shared" ca="1" si="55"/>
        <v>S</v>
      </c>
      <c r="D111">
        <f t="shared" ca="1" si="56"/>
        <v>0</v>
      </c>
      <c r="E111">
        <f ca="1">IF($C111=1,OFFSET(E111,-1,0)+MAX(1,COUNTIF(QCI!$A$13:$A$24,OFFSET(ORÇAMENTO!E111,-1,0))),OFFSET(E111,-1,0))</f>
        <v>1</v>
      </c>
      <c r="F111">
        <f t="shared" ca="1" si="57"/>
        <v>14</v>
      </c>
      <c r="G111">
        <f t="shared" ca="1" si="58"/>
        <v>0</v>
      </c>
      <c r="H111">
        <f t="shared" ca="1" si="59"/>
        <v>0</v>
      </c>
      <c r="I111">
        <f t="shared" ca="1" si="60"/>
        <v>0</v>
      </c>
      <c r="J111">
        <f t="shared" ca="1" si="35"/>
        <v>0</v>
      </c>
      <c r="K111">
        <f ca="1">IF(OR($C111="S",$C111=0),0,MATCH(OFFSET($D111,0,$C111)+IF($C111&lt;&gt;1,1,COUNTIF(QCI!$A$13:$A$24,ORÇAMENTO!E111)),OFFSET($D111,1,$C111,ROW($C$120)-ROW($C111)),0))</f>
        <v>0</v>
      </c>
      <c r="L111" s="113" t="str">
        <f t="shared" ca="1" si="61"/>
        <v/>
      </c>
      <c r="M111" s="114" t="s">
        <v>199</v>
      </c>
      <c r="N111" s="115" t="str">
        <f t="shared" ca="1" si="62"/>
        <v>Serviço</v>
      </c>
      <c r="O111" s="116" t="str">
        <f t="shared" ca="1" si="63"/>
        <v>-</v>
      </c>
      <c r="P111" s="117" t="s">
        <v>247</v>
      </c>
      <c r="Q111" s="118" t="s">
        <v>536</v>
      </c>
      <c r="R111" s="119" t="str">
        <f ca="1">IF($C111="S",REFERENCIA.Descricao,"(digite a descrição aqui)")</f>
        <v>(abra o arquivo 'Referência 10-2024.xlsm)</v>
      </c>
      <c r="S111" s="120" t="str">
        <f ca="1">REFERENCIA.Unidade</f>
        <v>-</v>
      </c>
      <c r="T111" s="121">
        <f ca="1">OFFSET(CÁLCULO!H$15,ROW($T111)-ROW(T$15),0)</f>
        <v>1</v>
      </c>
      <c r="U111" s="122">
        <f t="shared" ca="1" si="52"/>
        <v>0</v>
      </c>
      <c r="V111" s="123" t="s">
        <v>156</v>
      </c>
      <c r="W111" s="121">
        <f ca="1">IF($C111="S",ROUND(IF(TIPOORCAMENTO="Proposto",ORÇAMENTO.CustoUnitario*(1+$AH111),ORÇAMENTO.PrecoUnitarioLicitado),15-13*$AF$10),0)</f>
        <v>0</v>
      </c>
      <c r="X111" s="124">
        <f ca="1">IF($C111="S",IF(Import.TipoArredondamento&lt;&gt;"TransfereGOV",VTOTAL1,SUM(OFFSET(CÁLCULO!$AA$15,ROW($X111)-ROW($X$15),1):OFFSET(CÁLCULO!$AL$15,ROW($X111)-ROW($X$15),-1))),IF($C111=0,0,ROUND(SomaAgrup,15-13*$AF$11)))</f>
        <v>0</v>
      </c>
      <c r="Y111" s="125" t="s">
        <v>245</v>
      </c>
      <c r="Z111" t="str">
        <f t="shared" ca="1" si="64"/>
        <v/>
      </c>
      <c r="AA111" s="126">
        <f ca="1">IF($C111="S",IF($Z111="CP",$X111,IF($Z111="RA",(($X111)*QCI!$AA$3),0)),SomaAgrup)</f>
        <v>0</v>
      </c>
      <c r="AB111" s="127">
        <f t="shared" ca="1" si="48"/>
        <v>0</v>
      </c>
      <c r="AC111" s="128" t="str">
        <f ca="1">IF($N111="","",IF(ORÇAMENTO.Descricao="","DESCRIÇÃO",IF(AND($C111="S",ORÇAMENTO.Unidade=""),"UNIDADE",IF($X111&lt;0,"VALOR NEGATIVO",IF(OR(AND(TIPOORCAMENTO="Proposto",$AG111&lt;&gt;"",$AG111&gt;0,ORÇAMENTO.CustoUnitario&gt;$AG111),AND(TIPOORCAMENTO="LICITADO",ORÇAMENTO.PrecoUnitarioLicitado&gt;$AN111)),"ACIMA REF.","")))))</f>
        <v/>
      </c>
      <c r="AD111" t="str">
        <f ca="1">IF(C111&lt;=CRONO.NivelExibicao,MAX($AD$15:OFFSET(AD111,-1,0))+IF($C111&lt;&gt;1,1,MAX(1,COUNTIF(QCI!$A$13:$A$24,OFFSET($E111,-1,0)))),"")</f>
        <v/>
      </c>
      <c r="AE111" s="7" t="str">
        <f ca="1">IF(AND($C111="S",ORÇAMENTO.CodBarra&lt;&gt;""),IF(ORÇAMENTO.Fonte="",ORÇAMENTO.CodBarra,CONCATENATE(ORÇAMENTO.Fonte," ",ORÇAMENTO.CodBarra)))</f>
        <v>SINAPI 93666</v>
      </c>
      <c r="AF111" s="13" t="str">
        <f ca="1">IF(ISERROR(INDIRECT(ORÇAMENTO.BancoRef)),"(abra o arquivo 'Referência "&amp;Excel_BuiltIn_Database&amp;".xlsm)",IF(OR($C111&lt;&gt;"S",ORÇAMENTO.CodBarra=""),"(Sem Código)",IF(ISERROR(MATCH($AE111,INDIRECT(ORÇAMENTO.BancoRef),0)),"(Código não identificado nas referências)",MATCH($AE111,INDIRECT(ORÇAMENTO.BancoRef),0))))</f>
        <v>(abra o arquivo 'Referência 10-2024.xlsm)</v>
      </c>
      <c r="AG111" s="495">
        <f ca="1">ROUND(IF(DESONERACAO="sim",REFERENCIA.Desonerado,REFERENCIA.NaoDesonerado),2)</f>
        <v>0</v>
      </c>
      <c r="AH111" s="496">
        <f t="shared" ca="1" si="49"/>
        <v>0.20710000000000001</v>
      </c>
      <c r="AJ111" s="498">
        <v>1</v>
      </c>
      <c r="AL111" s="524"/>
      <c r="AM111" s="378">
        <f t="shared" ca="1" si="51"/>
        <v>0</v>
      </c>
      <c r="AN111" s="563">
        <f t="shared" ca="1" si="50"/>
        <v>0</v>
      </c>
    </row>
    <row r="112" spans="1:40" ht="25.5" x14ac:dyDescent="0.2">
      <c r="A112" t="str">
        <f t="shared" si="36"/>
        <v>S</v>
      </c>
      <c r="B112">
        <f t="shared" ca="1" si="54"/>
        <v>2</v>
      </c>
      <c r="C112" t="str">
        <f t="shared" ca="1" si="55"/>
        <v>S</v>
      </c>
      <c r="D112">
        <f t="shared" ca="1" si="56"/>
        <v>0</v>
      </c>
      <c r="E112">
        <f ca="1">IF($C112=1,OFFSET(E112,-1,0)+MAX(1,COUNTIF(QCI!$A$13:$A$24,OFFSET(ORÇAMENTO!E112,-1,0))),OFFSET(E112,-1,0))</f>
        <v>1</v>
      </c>
      <c r="F112">
        <f t="shared" ca="1" si="57"/>
        <v>14</v>
      </c>
      <c r="G112">
        <f t="shared" ca="1" si="58"/>
        <v>0</v>
      </c>
      <c r="H112">
        <f t="shared" ca="1" si="59"/>
        <v>0</v>
      </c>
      <c r="I112">
        <f t="shared" ca="1" si="60"/>
        <v>0</v>
      </c>
      <c r="J112">
        <f t="shared" ref="J112:J119" ca="1" si="65">IF(OR($C112="S",$C112=0),0,MATCH(0,OFFSET($D112,1,$C112,ROW($C$120)-ROW($C112)),0))</f>
        <v>0</v>
      </c>
      <c r="K112">
        <f ca="1">IF(OR($C112="S",$C112=0),0,MATCH(OFFSET($D112,0,$C112)+IF($C112&lt;&gt;1,1,COUNTIF(QCI!$A$13:$A$24,ORÇAMENTO!E112)),OFFSET($D112,1,$C112,ROW($C$120)-ROW($C112)),0))</f>
        <v>0</v>
      </c>
      <c r="L112" s="113" t="str">
        <f t="shared" ca="1" si="61"/>
        <v/>
      </c>
      <c r="M112" s="114" t="s">
        <v>199</v>
      </c>
      <c r="N112" s="115" t="str">
        <f t="shared" ca="1" si="62"/>
        <v>Serviço</v>
      </c>
      <c r="O112" s="116" t="str">
        <f t="shared" ca="1" si="63"/>
        <v>-</v>
      </c>
      <c r="P112" s="117" t="s">
        <v>247</v>
      </c>
      <c r="Q112" s="118" t="s">
        <v>537</v>
      </c>
      <c r="R112" s="119" t="str">
        <f ca="1">IF($C112="S",REFERENCIA.Descricao,"(digite a descrição aqui)")</f>
        <v>(abra o arquivo 'Referência 10-2024.xlsm)</v>
      </c>
      <c r="S112" s="120" t="str">
        <f ca="1">REFERENCIA.Unidade</f>
        <v>-</v>
      </c>
      <c r="T112" s="121">
        <f ca="1">OFFSET(CÁLCULO!H$15,ROW($T112)-ROW(T$15),0)</f>
        <v>1</v>
      </c>
      <c r="U112" s="122">
        <f t="shared" ca="1" si="52"/>
        <v>0</v>
      </c>
      <c r="V112" s="123" t="s">
        <v>156</v>
      </c>
      <c r="W112" s="121">
        <f ca="1">IF($C112="S",ROUND(IF(TIPOORCAMENTO="Proposto",ORÇAMENTO.CustoUnitario*(1+$AH112),ORÇAMENTO.PrecoUnitarioLicitado),15-13*$AF$10),0)</f>
        <v>0</v>
      </c>
      <c r="X112" s="124">
        <f ca="1">IF($C112="S",IF(Import.TipoArredondamento&lt;&gt;"TransfereGOV",VTOTAL1,SUM(OFFSET(CÁLCULO!$AA$15,ROW($X112)-ROW($X$15),1):OFFSET(CÁLCULO!$AL$15,ROW($X112)-ROW($X$15),-1))),IF($C112=0,0,ROUND(SomaAgrup,15-13*$AF$11)))</f>
        <v>0</v>
      </c>
      <c r="Y112" s="125" t="s">
        <v>245</v>
      </c>
      <c r="Z112" t="str">
        <f t="shared" ca="1" si="64"/>
        <v/>
      </c>
      <c r="AA112" s="126">
        <f ca="1">IF($C112="S",IF($Z112="CP",$X112,IF($Z112="RA",(($X112)*QCI!$AA$3),0)),SomaAgrup)</f>
        <v>0</v>
      </c>
      <c r="AB112" s="127">
        <f t="shared" ca="1" si="48"/>
        <v>0</v>
      </c>
      <c r="AC112" s="128" t="str">
        <f ca="1">IF($N112="","",IF(ORÇAMENTO.Descricao="","DESCRIÇÃO",IF(AND($C112="S",ORÇAMENTO.Unidade=""),"UNIDADE",IF($X112&lt;0,"VALOR NEGATIVO",IF(OR(AND(TIPOORCAMENTO="Proposto",$AG112&lt;&gt;"",$AG112&gt;0,ORÇAMENTO.CustoUnitario&gt;$AG112),AND(TIPOORCAMENTO="LICITADO",ORÇAMENTO.PrecoUnitarioLicitado&gt;$AN112)),"ACIMA REF.","")))))</f>
        <v/>
      </c>
      <c r="AD112" t="str">
        <f ca="1">IF(C112&lt;=CRONO.NivelExibicao,MAX($AD$15:OFFSET(AD112,-1,0))+IF($C112&lt;&gt;1,1,MAX(1,COUNTIF(QCI!$A$13:$A$24,OFFSET($E112,-1,0)))),"")</f>
        <v/>
      </c>
      <c r="AE112" s="7" t="str">
        <f ca="1">IF(AND($C112="S",ORÇAMENTO.CodBarra&lt;&gt;""),IF(ORÇAMENTO.Fonte="",ORÇAMENTO.CodBarra,CONCATENATE(ORÇAMENTO.Fonte," ",ORÇAMENTO.CodBarra)))</f>
        <v>SINAPI 93653</v>
      </c>
      <c r="AF112" s="13" t="str">
        <f ca="1">IF(ISERROR(INDIRECT(ORÇAMENTO.BancoRef)),"(abra o arquivo 'Referência "&amp;Excel_BuiltIn_Database&amp;".xlsm)",IF(OR($C112&lt;&gt;"S",ORÇAMENTO.CodBarra=""),"(Sem Código)",IF(ISERROR(MATCH($AE112,INDIRECT(ORÇAMENTO.BancoRef),0)),"(Código não identificado nas referências)",MATCH($AE112,INDIRECT(ORÇAMENTO.BancoRef),0))))</f>
        <v>(abra o arquivo 'Referência 10-2024.xlsm)</v>
      </c>
      <c r="AG112" s="495">
        <f ca="1">ROUND(IF(DESONERACAO="sim",REFERENCIA.Desonerado,REFERENCIA.NaoDesonerado),2)</f>
        <v>0</v>
      </c>
      <c r="AH112" s="496">
        <f t="shared" ca="1" si="49"/>
        <v>0.20710000000000001</v>
      </c>
      <c r="AJ112" s="498">
        <v>1</v>
      </c>
      <c r="AL112" s="524"/>
      <c r="AM112" s="378">
        <f t="shared" ca="1" si="51"/>
        <v>0</v>
      </c>
      <c r="AN112" s="563">
        <f t="shared" ca="1" si="50"/>
        <v>0</v>
      </c>
    </row>
    <row r="113" spans="1:40" ht="25.5" x14ac:dyDescent="0.2">
      <c r="A113" t="str">
        <f t="shared" si="36"/>
        <v>S</v>
      </c>
      <c r="B113">
        <f t="shared" ca="1" si="54"/>
        <v>2</v>
      </c>
      <c r="C113" t="str">
        <f t="shared" ca="1" si="55"/>
        <v>S</v>
      </c>
      <c r="D113">
        <f t="shared" ca="1" si="56"/>
        <v>0</v>
      </c>
      <c r="E113">
        <f ca="1">IF($C113=1,OFFSET(E113,-1,0)+MAX(1,COUNTIF(QCI!$A$13:$A$24,OFFSET(ORÇAMENTO!E113,-1,0))),OFFSET(E113,-1,0))</f>
        <v>1</v>
      </c>
      <c r="F113">
        <f t="shared" ca="1" si="57"/>
        <v>14</v>
      </c>
      <c r="G113">
        <f t="shared" ca="1" si="58"/>
        <v>0</v>
      </c>
      <c r="H113">
        <f t="shared" ca="1" si="59"/>
        <v>0</v>
      </c>
      <c r="I113">
        <f t="shared" ca="1" si="60"/>
        <v>0</v>
      </c>
      <c r="J113">
        <f t="shared" ca="1" si="65"/>
        <v>0</v>
      </c>
      <c r="K113">
        <f ca="1">IF(OR($C113="S",$C113=0),0,MATCH(OFFSET($D113,0,$C113)+IF($C113&lt;&gt;1,1,COUNTIF(QCI!$A$13:$A$24,ORÇAMENTO!E113)),OFFSET($D113,1,$C113,ROW($C$120)-ROW($C113)),0))</f>
        <v>0</v>
      </c>
      <c r="L113" s="113" t="str">
        <f t="shared" ca="1" si="61"/>
        <v/>
      </c>
      <c r="M113" s="114" t="s">
        <v>199</v>
      </c>
      <c r="N113" s="115" t="str">
        <f t="shared" ca="1" si="62"/>
        <v>Serviço</v>
      </c>
      <c r="O113" s="116" t="str">
        <f t="shared" ca="1" si="63"/>
        <v>-</v>
      </c>
      <c r="P113" s="117" t="s">
        <v>247</v>
      </c>
      <c r="Q113" s="118" t="s">
        <v>538</v>
      </c>
      <c r="R113" s="119" t="str">
        <f ca="1">IF($C113="S",REFERENCIA.Descricao,"(digite a descrição aqui)")</f>
        <v>(abra o arquivo 'Referência 10-2024.xlsm)</v>
      </c>
      <c r="S113" s="120" t="str">
        <f ca="1">REFERENCIA.Unidade</f>
        <v>-</v>
      </c>
      <c r="T113" s="121">
        <f ca="1">OFFSET(CÁLCULO!H$15,ROW($T113)-ROW(T$15),0)</f>
        <v>1</v>
      </c>
      <c r="U113" s="122">
        <f t="shared" ca="1" si="52"/>
        <v>0</v>
      </c>
      <c r="V113" s="123" t="s">
        <v>156</v>
      </c>
      <c r="W113" s="121">
        <f ca="1">IF($C113="S",ROUND(IF(TIPOORCAMENTO="Proposto",ORÇAMENTO.CustoUnitario*(1+$AH113),ORÇAMENTO.PrecoUnitarioLicitado),15-13*$AF$10),0)</f>
        <v>0</v>
      </c>
      <c r="X113" s="124">
        <f ca="1">IF($C113="S",IF(Import.TipoArredondamento&lt;&gt;"TransfereGOV",VTOTAL1,SUM(OFFSET(CÁLCULO!$AA$15,ROW($X113)-ROW($X$15),1):OFFSET(CÁLCULO!$AL$15,ROW($X113)-ROW($X$15),-1))),IF($C113=0,0,ROUND(SomaAgrup,15-13*$AF$11)))</f>
        <v>0</v>
      </c>
      <c r="Y113" s="125" t="s">
        <v>245</v>
      </c>
      <c r="Z113" t="str">
        <f t="shared" ca="1" si="64"/>
        <v/>
      </c>
      <c r="AA113" s="126">
        <f ca="1">IF($C113="S",IF($Z113="CP",$X113,IF($Z113="RA",(($X113)*QCI!$AA$3),0)),SomaAgrup)</f>
        <v>0</v>
      </c>
      <c r="AB113" s="127">
        <f t="shared" ca="1" si="48"/>
        <v>0</v>
      </c>
      <c r="AC113" s="128" t="str">
        <f ca="1">IF($N113="","",IF(ORÇAMENTO.Descricao="","DESCRIÇÃO",IF(AND($C113="S",ORÇAMENTO.Unidade=""),"UNIDADE",IF($X113&lt;0,"VALOR NEGATIVO",IF(OR(AND(TIPOORCAMENTO="Proposto",$AG113&lt;&gt;"",$AG113&gt;0,ORÇAMENTO.CustoUnitario&gt;$AG113),AND(TIPOORCAMENTO="LICITADO",ORÇAMENTO.PrecoUnitarioLicitado&gt;$AN113)),"ACIMA REF.","")))))</f>
        <v/>
      </c>
      <c r="AD113" t="str">
        <f ca="1">IF(C113&lt;=CRONO.NivelExibicao,MAX($AD$15:OFFSET(AD113,-1,0))+IF($C113&lt;&gt;1,1,MAX(1,COUNTIF(QCI!$A$13:$A$24,OFFSET($E113,-1,0)))),"")</f>
        <v/>
      </c>
      <c r="AE113" s="7" t="str">
        <f ca="1">IF(AND($C113="S",ORÇAMENTO.CodBarra&lt;&gt;""),IF(ORÇAMENTO.Fonte="",ORÇAMENTO.CodBarra,CONCATENATE(ORÇAMENTO.Fonte," ",ORÇAMENTO.CodBarra)))</f>
        <v>SINAPI 93655</v>
      </c>
      <c r="AF113" s="13" t="str">
        <f ca="1">IF(ISERROR(INDIRECT(ORÇAMENTO.BancoRef)),"(abra o arquivo 'Referência "&amp;Excel_BuiltIn_Database&amp;".xlsm)",IF(OR($C113&lt;&gt;"S",ORÇAMENTO.CodBarra=""),"(Sem Código)",IF(ISERROR(MATCH($AE113,INDIRECT(ORÇAMENTO.BancoRef),0)),"(Código não identificado nas referências)",MATCH($AE113,INDIRECT(ORÇAMENTO.BancoRef),0))))</f>
        <v>(abra o arquivo 'Referência 10-2024.xlsm)</v>
      </c>
      <c r="AG113" s="495">
        <f ca="1">ROUND(IF(DESONERACAO="sim",REFERENCIA.Desonerado,REFERENCIA.NaoDesonerado),2)</f>
        <v>0</v>
      </c>
      <c r="AH113" s="496">
        <f t="shared" ca="1" si="49"/>
        <v>0.20710000000000001</v>
      </c>
      <c r="AJ113" s="498">
        <v>1</v>
      </c>
      <c r="AL113" s="524"/>
      <c r="AM113" s="378">
        <f t="shared" ca="1" si="51"/>
        <v>0</v>
      </c>
      <c r="AN113" s="563">
        <f t="shared" ca="1" si="50"/>
        <v>0</v>
      </c>
    </row>
    <row r="114" spans="1:40" ht="25.5" x14ac:dyDescent="0.2">
      <c r="A114" t="str">
        <f t="shared" si="36"/>
        <v>S</v>
      </c>
      <c r="B114">
        <f t="shared" ca="1" si="54"/>
        <v>2</v>
      </c>
      <c r="C114" t="str">
        <f t="shared" ca="1" si="55"/>
        <v>S</v>
      </c>
      <c r="D114">
        <f t="shared" ca="1" si="56"/>
        <v>0</v>
      </c>
      <c r="E114">
        <f ca="1">IF($C114=1,OFFSET(E114,-1,0)+MAX(1,COUNTIF(QCI!$A$13:$A$24,OFFSET(ORÇAMENTO!E114,-1,0))),OFFSET(E114,-1,0))</f>
        <v>1</v>
      </c>
      <c r="F114">
        <f t="shared" ca="1" si="57"/>
        <v>14</v>
      </c>
      <c r="G114">
        <f t="shared" ca="1" si="58"/>
        <v>0</v>
      </c>
      <c r="H114">
        <f t="shared" ca="1" si="59"/>
        <v>0</v>
      </c>
      <c r="I114">
        <f t="shared" ca="1" si="60"/>
        <v>0</v>
      </c>
      <c r="J114">
        <f t="shared" ca="1" si="65"/>
        <v>0</v>
      </c>
      <c r="K114">
        <f ca="1">IF(OR($C114="S",$C114=0),0,MATCH(OFFSET($D114,0,$C114)+IF($C114&lt;&gt;1,1,COUNTIF(QCI!$A$13:$A$24,ORÇAMENTO!E114)),OFFSET($D114,1,$C114,ROW($C$120)-ROW($C114)),0))</f>
        <v>0</v>
      </c>
      <c r="L114" s="113" t="str">
        <f t="shared" ca="1" si="61"/>
        <v/>
      </c>
      <c r="M114" s="114" t="s">
        <v>199</v>
      </c>
      <c r="N114" s="115" t="str">
        <f t="shared" ca="1" si="62"/>
        <v>Serviço</v>
      </c>
      <c r="O114" s="116" t="str">
        <f t="shared" ca="1" si="63"/>
        <v>-</v>
      </c>
      <c r="P114" s="117" t="s">
        <v>247</v>
      </c>
      <c r="Q114" s="118" t="s">
        <v>543</v>
      </c>
      <c r="R114" s="119" t="str">
        <f ca="1">IF($C114="S",REFERENCIA.Descricao,"(digite a descrição aqui)")</f>
        <v>(abra o arquivo 'Referência 10-2024.xlsm)</v>
      </c>
      <c r="S114" s="120" t="str">
        <f ca="1">REFERENCIA.Unidade</f>
        <v>-</v>
      </c>
      <c r="T114" s="121">
        <f ca="1">OFFSET(CÁLCULO!H$15,ROW($T114)-ROW(T$15),0)</f>
        <v>3</v>
      </c>
      <c r="U114" s="122">
        <f t="shared" ca="1" si="52"/>
        <v>0</v>
      </c>
      <c r="V114" s="123" t="s">
        <v>156</v>
      </c>
      <c r="W114" s="121">
        <f ca="1">IF($C114="S",ROUND(IF(TIPOORCAMENTO="Proposto",ORÇAMENTO.CustoUnitario*(1+$AH114),ORÇAMENTO.PrecoUnitarioLicitado),15-13*$AF$10),0)</f>
        <v>0</v>
      </c>
      <c r="X114" s="124">
        <f ca="1">IF($C114="S",IF(Import.TipoArredondamento&lt;&gt;"TransfereGOV",VTOTAL1,SUM(OFFSET(CÁLCULO!$AA$15,ROW($X114)-ROW($X$15),1):OFFSET(CÁLCULO!$AL$15,ROW($X114)-ROW($X$15),-1))),IF($C114=0,0,ROUND(SomaAgrup,15-13*$AF$11)))</f>
        <v>0</v>
      </c>
      <c r="Y114" s="125" t="s">
        <v>245</v>
      </c>
      <c r="Z114" t="str">
        <f t="shared" ca="1" si="64"/>
        <v/>
      </c>
      <c r="AA114" s="126">
        <f ca="1">IF($C114="S",IF($Z114="CP",$X114,IF($Z114="RA",(($X114)*QCI!$AA$3),0)),SomaAgrup)</f>
        <v>0</v>
      </c>
      <c r="AB114" s="127">
        <f t="shared" ca="1" si="48"/>
        <v>0</v>
      </c>
      <c r="AC114" s="128" t="str">
        <f ca="1">IF($N114="","",IF(ORÇAMENTO.Descricao="","DESCRIÇÃO",IF(AND($C114="S",ORÇAMENTO.Unidade=""),"UNIDADE",IF($X114&lt;0,"VALOR NEGATIVO",IF(OR(AND(TIPOORCAMENTO="Proposto",$AG114&lt;&gt;"",$AG114&gt;0,ORÇAMENTO.CustoUnitario&gt;$AG114),AND(TIPOORCAMENTO="LICITADO",ORÇAMENTO.PrecoUnitarioLicitado&gt;$AN114)),"ACIMA REF.","")))))</f>
        <v/>
      </c>
      <c r="AD114" t="str">
        <f ca="1">IF(C114&lt;=CRONO.NivelExibicao,MAX($AD$15:OFFSET(AD114,-1,0))+IF($C114&lt;&gt;1,1,MAX(1,COUNTIF(QCI!$A$13:$A$24,OFFSET($E114,-1,0)))),"")</f>
        <v/>
      </c>
      <c r="AE114" s="7" t="str">
        <f ca="1">IF(AND($C114="S",ORÇAMENTO.CodBarra&lt;&gt;""),IF(ORÇAMENTO.Fonte="",ORÇAMENTO.CodBarra,CONCATENATE(ORÇAMENTO.Fonte," ",ORÇAMENTO.CodBarra)))</f>
        <v>SINAPI 93664</v>
      </c>
      <c r="AF114" s="13" t="str">
        <f ca="1">IF(ISERROR(INDIRECT(ORÇAMENTO.BancoRef)),"(abra o arquivo 'Referência "&amp;Excel_BuiltIn_Database&amp;".xlsm)",IF(OR($C114&lt;&gt;"S",ORÇAMENTO.CodBarra=""),"(Sem Código)",IF(ISERROR(MATCH($AE114,INDIRECT(ORÇAMENTO.BancoRef),0)),"(Código não identificado nas referências)",MATCH($AE114,INDIRECT(ORÇAMENTO.BancoRef),0))))</f>
        <v>(abra o arquivo 'Referência 10-2024.xlsm)</v>
      </c>
      <c r="AG114" s="495">
        <f ca="1">ROUND(IF(DESONERACAO="sim",REFERENCIA.Desonerado,REFERENCIA.NaoDesonerado),2)</f>
        <v>0</v>
      </c>
      <c r="AH114" s="496">
        <f t="shared" ca="1" si="49"/>
        <v>0.20710000000000001</v>
      </c>
      <c r="AJ114" s="498">
        <v>3</v>
      </c>
      <c r="AL114" s="524"/>
      <c r="AM114" s="378">
        <f t="shared" ca="1" si="51"/>
        <v>0</v>
      </c>
      <c r="AN114" s="563">
        <f t="shared" ca="1" si="50"/>
        <v>0</v>
      </c>
    </row>
    <row r="115" spans="1:40" ht="38.25" x14ac:dyDescent="0.2">
      <c r="A115" t="str">
        <f t="shared" si="36"/>
        <v>S</v>
      </c>
      <c r="B115">
        <f t="shared" ca="1" si="54"/>
        <v>2</v>
      </c>
      <c r="C115" t="str">
        <f t="shared" ca="1" si="55"/>
        <v>S</v>
      </c>
      <c r="D115">
        <f t="shared" ca="1" si="56"/>
        <v>0</v>
      </c>
      <c r="E115">
        <f ca="1">IF($C115=1,OFFSET(E115,-1,0)+MAX(1,COUNTIF(QCI!$A$13:$A$24,OFFSET(ORÇAMENTO!E115,-1,0))),OFFSET(E115,-1,0))</f>
        <v>1</v>
      </c>
      <c r="F115">
        <f t="shared" ca="1" si="57"/>
        <v>14</v>
      </c>
      <c r="G115">
        <f t="shared" ca="1" si="58"/>
        <v>0</v>
      </c>
      <c r="H115">
        <f t="shared" ca="1" si="59"/>
        <v>0</v>
      </c>
      <c r="I115">
        <f t="shared" ca="1" si="60"/>
        <v>0</v>
      </c>
      <c r="J115">
        <f t="shared" ca="1" si="65"/>
        <v>0</v>
      </c>
      <c r="K115">
        <f ca="1">IF(OR($C115="S",$C115=0),0,MATCH(OFFSET($D115,0,$C115)+IF($C115&lt;&gt;1,1,COUNTIF(QCI!$A$13:$A$24,ORÇAMENTO!E115)),OFFSET($D115,1,$C115,ROW($C$120)-ROW($C115)),0))</f>
        <v>0</v>
      </c>
      <c r="L115" s="113" t="str">
        <f t="shared" ca="1" si="61"/>
        <v/>
      </c>
      <c r="M115" s="114" t="s">
        <v>199</v>
      </c>
      <c r="N115" s="115" t="str">
        <f t="shared" ca="1" si="62"/>
        <v>Serviço</v>
      </c>
      <c r="O115" s="116" t="str">
        <f t="shared" ca="1" si="63"/>
        <v>-</v>
      </c>
      <c r="P115" s="117" t="s">
        <v>247</v>
      </c>
      <c r="Q115" s="118" t="s">
        <v>539</v>
      </c>
      <c r="R115" s="119" t="str">
        <f ca="1">IF($C115="S",REFERENCIA.Descricao,"(digite a descrição aqui)")</f>
        <v>(abra o arquivo 'Referência 10-2024.xlsm)</v>
      </c>
      <c r="S115" s="120" t="str">
        <f ca="1">REFERENCIA.Unidade</f>
        <v>-</v>
      </c>
      <c r="T115" s="121">
        <f ca="1">OFFSET(CÁLCULO!H$15,ROW($T115)-ROW(T$15),0)</f>
        <v>3</v>
      </c>
      <c r="U115" s="122">
        <f t="shared" ca="1" si="52"/>
        <v>0</v>
      </c>
      <c r="V115" s="123" t="s">
        <v>156</v>
      </c>
      <c r="W115" s="121">
        <f ca="1">IF($C115="S",ROUND(IF(TIPOORCAMENTO="Proposto",ORÇAMENTO.CustoUnitario*(1+$AH115),ORÇAMENTO.PrecoUnitarioLicitado),15-13*$AF$10),0)</f>
        <v>0</v>
      </c>
      <c r="X115" s="124">
        <f ca="1">IF($C115="S",IF(Import.TipoArredondamento&lt;&gt;"TransfereGOV",VTOTAL1,SUM(OFFSET(CÁLCULO!$AA$15,ROW($X115)-ROW($X$15),1):OFFSET(CÁLCULO!$AL$15,ROW($X115)-ROW($X$15),-1))),IF($C115=0,0,ROUND(SomaAgrup,15-13*$AF$11)))</f>
        <v>0</v>
      </c>
      <c r="Y115" s="125" t="s">
        <v>245</v>
      </c>
      <c r="Z115" t="str">
        <f t="shared" ca="1" si="64"/>
        <v/>
      </c>
      <c r="AA115" s="126">
        <f ca="1">IF($C115="S",IF($Z115="CP",$X115,IF($Z115="RA",(($X115)*QCI!$AA$3),0)),SomaAgrup)</f>
        <v>0</v>
      </c>
      <c r="AB115" s="127">
        <f t="shared" ca="1" si="48"/>
        <v>0</v>
      </c>
      <c r="AC115" s="128" t="str">
        <f ca="1">IF($N115="","",IF(ORÇAMENTO.Descricao="","DESCRIÇÃO",IF(AND($C115="S",ORÇAMENTO.Unidade=""),"UNIDADE",IF($X115&lt;0,"VALOR NEGATIVO",IF(OR(AND(TIPOORCAMENTO="Proposto",$AG115&lt;&gt;"",$AG115&gt;0,ORÇAMENTO.CustoUnitario&gt;$AG115),AND(TIPOORCAMENTO="LICITADO",ORÇAMENTO.PrecoUnitarioLicitado&gt;$AN115)),"ACIMA REF.","")))))</f>
        <v/>
      </c>
      <c r="AD115" t="str">
        <f ca="1">IF(C115&lt;=CRONO.NivelExibicao,MAX($AD$15:OFFSET(AD115,-1,0))+IF($C115&lt;&gt;1,1,MAX(1,COUNTIF(QCI!$A$13:$A$24,OFFSET($E115,-1,0)))),"")</f>
        <v/>
      </c>
      <c r="AE115" s="7" t="str">
        <f ca="1">IF(AND($C115="S",ORÇAMENTO.CodBarra&lt;&gt;""),IF(ORÇAMENTO.Fonte="",ORÇAMENTO.CodBarra,CONCATENATE(ORÇAMENTO.Fonte," ",ORÇAMENTO.CodBarra)))</f>
        <v>SINAPI 92023</v>
      </c>
      <c r="AF115" s="13" t="str">
        <f ca="1">IF(ISERROR(INDIRECT(ORÇAMENTO.BancoRef)),"(abra o arquivo 'Referência "&amp;Excel_BuiltIn_Database&amp;".xlsm)",IF(OR($C115&lt;&gt;"S",ORÇAMENTO.CodBarra=""),"(Sem Código)",IF(ISERROR(MATCH($AE115,INDIRECT(ORÇAMENTO.BancoRef),0)),"(Código não identificado nas referências)",MATCH($AE115,INDIRECT(ORÇAMENTO.BancoRef),0))))</f>
        <v>(abra o arquivo 'Referência 10-2024.xlsm)</v>
      </c>
      <c r="AG115" s="495">
        <f ca="1">ROUND(IF(DESONERACAO="sim",REFERENCIA.Desonerado,REFERENCIA.NaoDesonerado),2)</f>
        <v>0</v>
      </c>
      <c r="AH115" s="496">
        <f t="shared" ca="1" si="49"/>
        <v>0.20710000000000001</v>
      </c>
      <c r="AJ115" s="498">
        <v>3</v>
      </c>
      <c r="AL115" s="524"/>
      <c r="AM115" s="378">
        <f t="shared" ca="1" si="51"/>
        <v>0</v>
      </c>
      <c r="AN115" s="563">
        <f t="shared" ca="1" si="50"/>
        <v>0</v>
      </c>
    </row>
    <row r="116" spans="1:40" ht="25.5" x14ac:dyDescent="0.2">
      <c r="A116" t="str">
        <f t="shared" si="36"/>
        <v>S</v>
      </c>
      <c r="B116">
        <f t="shared" ca="1" si="54"/>
        <v>2</v>
      </c>
      <c r="C116" t="str">
        <f t="shared" ca="1" si="55"/>
        <v>S</v>
      </c>
      <c r="D116">
        <f t="shared" ca="1" si="56"/>
        <v>0</v>
      </c>
      <c r="E116">
        <f ca="1">IF($C116=1,OFFSET(E116,-1,0)+MAX(1,COUNTIF(QCI!$A$13:$A$24,OFFSET(ORÇAMENTO!E116,-1,0))),OFFSET(E116,-1,0))</f>
        <v>1</v>
      </c>
      <c r="F116">
        <f t="shared" ca="1" si="57"/>
        <v>14</v>
      </c>
      <c r="G116">
        <f t="shared" ca="1" si="58"/>
        <v>0</v>
      </c>
      <c r="H116">
        <f t="shared" ca="1" si="59"/>
        <v>0</v>
      </c>
      <c r="I116">
        <f t="shared" ca="1" si="60"/>
        <v>0</v>
      </c>
      <c r="J116">
        <f t="shared" ca="1" si="65"/>
        <v>0</v>
      </c>
      <c r="K116">
        <f ca="1">IF(OR($C116="S",$C116=0),0,MATCH(OFFSET($D116,0,$C116)+IF($C116&lt;&gt;1,1,COUNTIF(QCI!$A$13:$A$24,ORÇAMENTO!E116)),OFFSET($D116,1,$C116,ROW($C$120)-ROW($C116)),0))</f>
        <v>0</v>
      </c>
      <c r="L116" s="113" t="str">
        <f t="shared" ca="1" si="61"/>
        <v/>
      </c>
      <c r="M116" s="114" t="s">
        <v>199</v>
      </c>
      <c r="N116" s="115" t="str">
        <f t="shared" ca="1" si="62"/>
        <v>Serviço</v>
      </c>
      <c r="O116" s="116" t="str">
        <f t="shared" ca="1" si="63"/>
        <v>-</v>
      </c>
      <c r="P116" s="117" t="s">
        <v>247</v>
      </c>
      <c r="Q116" s="118" t="s">
        <v>540</v>
      </c>
      <c r="R116" s="119" t="str">
        <f ca="1">IF($C116="S",REFERENCIA.Descricao,"(digite a descrição aqui)")</f>
        <v>(abra o arquivo 'Referência 10-2024.xlsm)</v>
      </c>
      <c r="S116" s="120" t="str">
        <f ca="1">REFERENCIA.Unidade</f>
        <v>-</v>
      </c>
      <c r="T116" s="121">
        <f ca="1">OFFSET(CÁLCULO!H$15,ROW($T116)-ROW(T$15),0)</f>
        <v>3</v>
      </c>
      <c r="U116" s="122">
        <f t="shared" ca="1" si="52"/>
        <v>0</v>
      </c>
      <c r="V116" s="123" t="s">
        <v>156</v>
      </c>
      <c r="W116" s="121">
        <f ca="1">IF($C116="S",ROUND(IF(TIPOORCAMENTO="Proposto",ORÇAMENTO.CustoUnitario*(1+$AH116),ORÇAMENTO.PrecoUnitarioLicitado),15-13*$AF$10),0)</f>
        <v>0</v>
      </c>
      <c r="X116" s="124">
        <f ca="1">IF($C116="S",IF(Import.TipoArredondamento&lt;&gt;"TransfereGOV",VTOTAL1,SUM(OFFSET(CÁLCULO!$AA$15,ROW($X116)-ROW($X$15),1):OFFSET(CÁLCULO!$AL$15,ROW($X116)-ROW($X$15),-1))),IF($C116=0,0,ROUND(SomaAgrup,15-13*$AF$11)))</f>
        <v>0</v>
      </c>
      <c r="Y116" s="125" t="s">
        <v>245</v>
      </c>
      <c r="Z116" t="str">
        <f t="shared" ca="1" si="64"/>
        <v/>
      </c>
      <c r="AA116" s="126">
        <f ca="1">IF($C116="S",IF($Z116="CP",$X116,IF($Z116="RA",(($X116)*QCI!$AA$3),0)),SomaAgrup)</f>
        <v>0</v>
      </c>
      <c r="AB116" s="127">
        <f t="shared" ca="1" si="48"/>
        <v>0</v>
      </c>
      <c r="AC116" s="128" t="str">
        <f ca="1">IF($N116="","",IF(ORÇAMENTO.Descricao="","DESCRIÇÃO",IF(AND($C116="S",ORÇAMENTO.Unidade=""),"UNIDADE",IF($X116&lt;0,"VALOR NEGATIVO",IF(OR(AND(TIPOORCAMENTO="Proposto",$AG116&lt;&gt;"",$AG116&gt;0,ORÇAMENTO.CustoUnitario&gt;$AG116),AND(TIPOORCAMENTO="LICITADO",ORÇAMENTO.PrecoUnitarioLicitado&gt;$AN116)),"ACIMA REF.","")))))</f>
        <v/>
      </c>
      <c r="AD116" t="str">
        <f ca="1">IF(C116&lt;=CRONO.NivelExibicao,MAX($AD$15:OFFSET(AD116,-1,0))+IF($C116&lt;&gt;1,1,MAX(1,COUNTIF(QCI!$A$13:$A$24,OFFSET($E116,-1,0)))),"")</f>
        <v/>
      </c>
      <c r="AE116" s="7" t="str">
        <f ca="1">IF(AND($C116="S",ORÇAMENTO.CodBarra&lt;&gt;""),IF(ORÇAMENTO.Fonte="",ORÇAMENTO.CodBarra,CONCATENATE(ORÇAMENTO.Fonte," ",ORÇAMENTO.CodBarra)))</f>
        <v>SINAPI 91992</v>
      </c>
      <c r="AF116" s="13" t="str">
        <f ca="1">IF(ISERROR(INDIRECT(ORÇAMENTO.BancoRef)),"(abra o arquivo 'Referência "&amp;Excel_BuiltIn_Database&amp;".xlsm)",IF(OR($C116&lt;&gt;"S",ORÇAMENTO.CodBarra=""),"(Sem Código)",IF(ISERROR(MATCH($AE116,INDIRECT(ORÇAMENTO.BancoRef),0)),"(Código não identificado nas referências)",MATCH($AE116,INDIRECT(ORÇAMENTO.BancoRef),0))))</f>
        <v>(abra o arquivo 'Referência 10-2024.xlsm)</v>
      </c>
      <c r="AG116" s="495">
        <f ca="1">ROUND(IF(DESONERACAO="sim",REFERENCIA.Desonerado,REFERENCIA.NaoDesonerado),2)</f>
        <v>0</v>
      </c>
      <c r="AH116" s="496">
        <f t="shared" ca="1" si="49"/>
        <v>0.20710000000000001</v>
      </c>
      <c r="AJ116" s="498">
        <v>3</v>
      </c>
      <c r="AL116" s="524"/>
      <c r="AM116" s="378">
        <f t="shared" ca="1" si="51"/>
        <v>0</v>
      </c>
      <c r="AN116" s="563">
        <f t="shared" ca="1" si="50"/>
        <v>0</v>
      </c>
    </row>
    <row r="117" spans="1:40" ht="25.5" x14ac:dyDescent="0.2">
      <c r="A117" t="str">
        <f t="shared" si="36"/>
        <v>S</v>
      </c>
      <c r="B117">
        <f t="shared" ca="1" si="54"/>
        <v>2</v>
      </c>
      <c r="C117" t="str">
        <f t="shared" ca="1" si="55"/>
        <v>S</v>
      </c>
      <c r="D117">
        <f t="shared" ca="1" si="56"/>
        <v>0</v>
      </c>
      <c r="E117">
        <f ca="1">IF($C117=1,OFFSET(E117,-1,0)+MAX(1,COUNTIF(QCI!$A$13:$A$24,OFFSET(ORÇAMENTO!E117,-1,0))),OFFSET(E117,-1,0))</f>
        <v>1</v>
      </c>
      <c r="F117">
        <f t="shared" ca="1" si="57"/>
        <v>14</v>
      </c>
      <c r="G117">
        <f t="shared" ca="1" si="58"/>
        <v>0</v>
      </c>
      <c r="H117">
        <f t="shared" ca="1" si="59"/>
        <v>0</v>
      </c>
      <c r="I117">
        <f t="shared" ca="1" si="60"/>
        <v>0</v>
      </c>
      <c r="J117">
        <f t="shared" ca="1" si="65"/>
        <v>0</v>
      </c>
      <c r="K117">
        <f ca="1">IF(OR($C117="S",$C117=0),0,MATCH(OFFSET($D117,0,$C117)+IF($C117&lt;&gt;1,1,COUNTIF(QCI!$A$13:$A$24,ORÇAMENTO!E117)),OFFSET($D117,1,$C117,ROW($C$120)-ROW($C117)),0))</f>
        <v>0</v>
      </c>
      <c r="L117" s="113" t="str">
        <f t="shared" ca="1" si="61"/>
        <v/>
      </c>
      <c r="M117" s="114" t="s">
        <v>199</v>
      </c>
      <c r="N117" s="115" t="str">
        <f t="shared" ca="1" si="62"/>
        <v>Serviço</v>
      </c>
      <c r="O117" s="116" t="str">
        <f t="shared" ca="1" si="63"/>
        <v>-</v>
      </c>
      <c r="P117" s="117" t="s">
        <v>247</v>
      </c>
      <c r="Q117" s="118" t="s">
        <v>541</v>
      </c>
      <c r="R117" s="119" t="str">
        <f ca="1">IF($C117="S",REFERENCIA.Descricao,"(digite a descrição aqui)")</f>
        <v>(abra o arquivo 'Referência 10-2024.xlsm)</v>
      </c>
      <c r="S117" s="120" t="str">
        <f ca="1">REFERENCIA.Unidade</f>
        <v>-</v>
      </c>
      <c r="T117" s="121">
        <f ca="1">OFFSET(CÁLCULO!H$15,ROW($T117)-ROW(T$15),0)</f>
        <v>2</v>
      </c>
      <c r="U117" s="122">
        <f t="shared" ca="1" si="52"/>
        <v>0</v>
      </c>
      <c r="V117" s="123" t="s">
        <v>156</v>
      </c>
      <c r="W117" s="121">
        <f ca="1">IF($C117="S",ROUND(IF(TIPOORCAMENTO="Proposto",ORÇAMENTO.CustoUnitario*(1+$AH117),ORÇAMENTO.PrecoUnitarioLicitado),15-13*$AF$10),0)</f>
        <v>0</v>
      </c>
      <c r="X117" s="124">
        <f ca="1">IF($C117="S",IF(Import.TipoArredondamento&lt;&gt;"TransfereGOV",VTOTAL1,SUM(OFFSET(CÁLCULO!$AA$15,ROW($X117)-ROW($X$15),1):OFFSET(CÁLCULO!$AL$15,ROW($X117)-ROW($X$15),-1))),IF($C117=0,0,ROUND(SomaAgrup,15-13*$AF$11)))</f>
        <v>0</v>
      </c>
      <c r="Y117" s="125" t="s">
        <v>245</v>
      </c>
      <c r="Z117" t="str">
        <f t="shared" ca="1" si="64"/>
        <v/>
      </c>
      <c r="AA117" s="126">
        <f ca="1">IF($C117="S",IF($Z117="CP",$X117,IF($Z117="RA",(($X117)*QCI!$AA$3),0)),SomaAgrup)</f>
        <v>0</v>
      </c>
      <c r="AB117" s="127">
        <f t="shared" ca="1" si="48"/>
        <v>0</v>
      </c>
      <c r="AC117" s="128" t="str">
        <f ca="1">IF($N117="","",IF(ORÇAMENTO.Descricao="","DESCRIÇÃO",IF(AND($C117="S",ORÇAMENTO.Unidade=""),"UNIDADE",IF($X117&lt;0,"VALOR NEGATIVO",IF(OR(AND(TIPOORCAMENTO="Proposto",$AG117&lt;&gt;"",$AG117&gt;0,ORÇAMENTO.CustoUnitario&gt;$AG117),AND(TIPOORCAMENTO="LICITADO",ORÇAMENTO.PrecoUnitarioLicitado&gt;$AN117)),"ACIMA REF.","")))))</f>
        <v/>
      </c>
      <c r="AD117" t="str">
        <f ca="1">IF(C117&lt;=CRONO.NivelExibicao,MAX($AD$15:OFFSET(AD117,-1,0))+IF($C117&lt;&gt;1,1,MAX(1,COUNTIF(QCI!$A$13:$A$24,OFFSET($E117,-1,0)))),"")</f>
        <v/>
      </c>
      <c r="AE117" s="7" t="str">
        <f ca="1">IF(AND($C117="S",ORÇAMENTO.CodBarra&lt;&gt;""),IF(ORÇAMENTO.Fonte="",ORÇAMENTO.CodBarra,CONCATENATE(ORÇAMENTO.Fonte," ",ORÇAMENTO.CodBarra)))</f>
        <v>SINAPI 91996</v>
      </c>
      <c r="AF117" s="13" t="str">
        <f ca="1">IF(ISERROR(INDIRECT(ORÇAMENTO.BancoRef)),"(abra o arquivo 'Referência "&amp;Excel_BuiltIn_Database&amp;".xlsm)",IF(OR($C117&lt;&gt;"S",ORÇAMENTO.CodBarra=""),"(Sem Código)",IF(ISERROR(MATCH($AE117,INDIRECT(ORÇAMENTO.BancoRef),0)),"(Código não identificado nas referências)",MATCH($AE117,INDIRECT(ORÇAMENTO.BancoRef),0))))</f>
        <v>(abra o arquivo 'Referência 10-2024.xlsm)</v>
      </c>
      <c r="AG117" s="495">
        <f ca="1">ROUND(IF(DESONERACAO="sim",REFERENCIA.Desonerado,REFERENCIA.NaoDesonerado),2)</f>
        <v>0</v>
      </c>
      <c r="AH117" s="496">
        <f t="shared" ca="1" si="49"/>
        <v>0.20710000000000001</v>
      </c>
      <c r="AJ117" s="498">
        <v>2</v>
      </c>
      <c r="AL117" s="524"/>
      <c r="AM117" s="378">
        <f t="shared" ca="1" si="51"/>
        <v>0</v>
      </c>
      <c r="AN117" s="563">
        <f t="shared" ca="1" si="50"/>
        <v>0</v>
      </c>
    </row>
    <row r="118" spans="1:40" x14ac:dyDescent="0.2">
      <c r="A118" t="str">
        <f t="shared" si="36"/>
        <v>S</v>
      </c>
      <c r="B118">
        <f t="shared" ca="1" si="54"/>
        <v>2</v>
      </c>
      <c r="C118" t="str">
        <f t="shared" ca="1" si="55"/>
        <v>S</v>
      </c>
      <c r="D118">
        <f t="shared" ca="1" si="56"/>
        <v>0</v>
      </c>
      <c r="E118">
        <f ca="1">IF($C118=1,OFFSET(E118,-1,0)+MAX(1,COUNTIF(QCI!$A$13:$A$24,OFFSET(ORÇAMENTO!E118,-1,0))),OFFSET(E118,-1,0))</f>
        <v>1</v>
      </c>
      <c r="F118">
        <f t="shared" ca="1" si="57"/>
        <v>14</v>
      </c>
      <c r="G118">
        <f t="shared" ca="1" si="58"/>
        <v>0</v>
      </c>
      <c r="H118">
        <f t="shared" ca="1" si="59"/>
        <v>0</v>
      </c>
      <c r="I118">
        <f t="shared" ca="1" si="60"/>
        <v>0</v>
      </c>
      <c r="J118">
        <f t="shared" ca="1" si="65"/>
        <v>0</v>
      </c>
      <c r="K118">
        <f ca="1">IF(OR($C118="S",$C118=0),0,MATCH(OFFSET($D118,0,$C118)+IF($C118&lt;&gt;1,1,COUNTIF(QCI!$A$13:$A$24,ORÇAMENTO!E118)),OFFSET($D118,1,$C118,ROW($C$120)-ROW($C118)),0))</f>
        <v>0</v>
      </c>
      <c r="L118" s="113" t="str">
        <f t="shared" ca="1" si="61"/>
        <v/>
      </c>
      <c r="M118" s="114" t="s">
        <v>199</v>
      </c>
      <c r="N118" s="115" t="str">
        <f t="shared" ca="1" si="62"/>
        <v>Serviço</v>
      </c>
      <c r="O118" s="116" t="str">
        <f t="shared" ca="1" si="63"/>
        <v>-</v>
      </c>
      <c r="P118" s="117" t="s">
        <v>456</v>
      </c>
      <c r="Q118" s="118" t="s">
        <v>564</v>
      </c>
      <c r="R118" s="119" t="str">
        <f ca="1">IF($C118="S",REFERENCIA.Descricao,"(digite a descrição aqui)")</f>
        <v>(abra o arquivo 'Referência 10-2024.xlsm)</v>
      </c>
      <c r="S118" s="120" t="str">
        <f ca="1">REFERENCIA.Unidade</f>
        <v>-</v>
      </c>
      <c r="T118" s="121">
        <f ca="1">OFFSET(CÁLCULO!H$15,ROW($T118)-ROW(T$15),0)</f>
        <v>2</v>
      </c>
      <c r="U118" s="122">
        <f t="shared" ca="1" si="52"/>
        <v>0</v>
      </c>
      <c r="V118" s="123" t="s">
        <v>156</v>
      </c>
      <c r="W118" s="121">
        <f ca="1">IF($C118="S",ROUND(IF(TIPOORCAMENTO="Proposto",ORÇAMENTO.CustoUnitario*(1+$AH118),ORÇAMENTO.PrecoUnitarioLicitado),15-13*$AF$10),0)</f>
        <v>0</v>
      </c>
      <c r="X118" s="124">
        <f ca="1">IF($C118="S",IF(Import.TipoArredondamento&lt;&gt;"TransfereGOV",VTOTAL1,SUM(OFFSET(CÁLCULO!$AA$15,ROW($X118)-ROW($X$15),1):OFFSET(CÁLCULO!$AL$15,ROW($X118)-ROW($X$15),-1))),IF($C118=0,0,ROUND(SomaAgrup,15-13*$AF$11)))</f>
        <v>0</v>
      </c>
      <c r="Y118" s="125" t="s">
        <v>245</v>
      </c>
      <c r="Z118" t="str">
        <f t="shared" ca="1" si="64"/>
        <v/>
      </c>
      <c r="AA118" s="126">
        <f ca="1">IF($C118="S",IF($Z118="CP",$X118,IF($Z118="RA",(($X118)*QCI!$AA$3),0)),SomaAgrup)</f>
        <v>0</v>
      </c>
      <c r="AB118" s="127">
        <f t="shared" ca="1" si="48"/>
        <v>0</v>
      </c>
      <c r="AC118" s="128" t="str">
        <f ca="1">IF($N118="","",IF(ORÇAMENTO.Descricao="","DESCRIÇÃO",IF(AND($C118="S",ORÇAMENTO.Unidade=""),"UNIDADE",IF($X118&lt;0,"VALOR NEGATIVO",IF(OR(AND(TIPOORCAMENTO="Proposto",$AG118&lt;&gt;"",$AG118&gt;0,ORÇAMENTO.CustoUnitario&gt;$AG118),AND(TIPOORCAMENTO="LICITADO",ORÇAMENTO.PrecoUnitarioLicitado&gt;$AN118)),"ACIMA REF.","")))))</f>
        <v/>
      </c>
      <c r="AD118" t="str">
        <f ca="1">IF(C118&lt;=CRONO.NivelExibicao,MAX($AD$15:OFFSET(AD118,-1,0))+IF($C118&lt;&gt;1,1,MAX(1,COUNTIF(QCI!$A$13:$A$24,OFFSET($E118,-1,0)))),"")</f>
        <v/>
      </c>
      <c r="AE118" s="7" t="str">
        <f ca="1">IF(AND($C118="S",ORÇAMENTO.CodBarra&lt;&gt;""),IF(ORÇAMENTO.Fonte="",ORÇAMENTO.CodBarra,CONCATENATE(ORÇAMENTO.Fonte," ",ORÇAMENTO.CodBarra)))</f>
        <v>SINAPI-I 39391</v>
      </c>
      <c r="AF118" s="13" t="str">
        <f ca="1">IF(ISERROR(INDIRECT(ORÇAMENTO.BancoRef)),"(abra o arquivo 'Referência "&amp;Excel_BuiltIn_Database&amp;".xlsm)",IF(OR($C118&lt;&gt;"S",ORÇAMENTO.CodBarra=""),"(Sem Código)",IF(ISERROR(MATCH($AE118,INDIRECT(ORÇAMENTO.BancoRef),0)),"(Código não identificado nas referências)",MATCH($AE118,INDIRECT(ORÇAMENTO.BancoRef),0))))</f>
        <v>(abra o arquivo 'Referência 10-2024.xlsm)</v>
      </c>
      <c r="AG118" s="495">
        <f ca="1">ROUND(IF(DESONERACAO="sim",REFERENCIA.Desonerado,REFERENCIA.NaoDesonerado),2)</f>
        <v>0</v>
      </c>
      <c r="AH118" s="496">
        <f t="shared" ca="1" si="49"/>
        <v>0.20710000000000001</v>
      </c>
      <c r="AJ118" s="498">
        <v>2</v>
      </c>
      <c r="AL118" s="524"/>
      <c r="AM118" s="378">
        <f t="shared" ca="1" si="51"/>
        <v>0</v>
      </c>
      <c r="AN118" s="563">
        <f t="shared" ca="1" si="50"/>
        <v>0</v>
      </c>
    </row>
    <row r="119" spans="1:40" ht="25.5" x14ac:dyDescent="0.2">
      <c r="A119" t="str">
        <f t="shared" si="36"/>
        <v>S</v>
      </c>
      <c r="B119">
        <f t="shared" ca="1" si="54"/>
        <v>2</v>
      </c>
      <c r="C119" t="str">
        <f t="shared" ca="1" si="55"/>
        <v>S</v>
      </c>
      <c r="D119">
        <f t="shared" ca="1" si="56"/>
        <v>0</v>
      </c>
      <c r="E119">
        <f ca="1">IF($C119=1,OFFSET(E119,-1,0)+MAX(1,COUNTIF(QCI!$A$13:$A$24,OFFSET(ORÇAMENTO!E119,-1,0))),OFFSET(E119,-1,0))</f>
        <v>1</v>
      </c>
      <c r="F119">
        <f t="shared" ca="1" si="57"/>
        <v>14</v>
      </c>
      <c r="G119">
        <f t="shared" ca="1" si="58"/>
        <v>0</v>
      </c>
      <c r="H119">
        <f t="shared" ca="1" si="59"/>
        <v>0</v>
      </c>
      <c r="I119">
        <f t="shared" ca="1" si="60"/>
        <v>0</v>
      </c>
      <c r="J119">
        <f t="shared" ca="1" si="65"/>
        <v>0</v>
      </c>
      <c r="K119">
        <f ca="1">IF(OR($C119="S",$C119=0),0,MATCH(OFFSET($D119,0,$C119)+IF($C119&lt;&gt;1,1,COUNTIF(QCI!$A$13:$A$24,ORÇAMENTO!E119)),OFFSET($D119,1,$C119,ROW($C$120)-ROW($C119)),0))</f>
        <v>0</v>
      </c>
      <c r="L119" s="113" t="str">
        <f t="shared" ca="1" si="61"/>
        <v/>
      </c>
      <c r="M119" s="114" t="s">
        <v>199</v>
      </c>
      <c r="N119" s="115" t="str">
        <f t="shared" ca="1" si="62"/>
        <v>Serviço</v>
      </c>
      <c r="O119" s="116" t="str">
        <f t="shared" ca="1" si="63"/>
        <v>-</v>
      </c>
      <c r="P119" s="117" t="s">
        <v>247</v>
      </c>
      <c r="Q119" s="118" t="s">
        <v>542</v>
      </c>
      <c r="R119" s="119" t="str">
        <f ca="1">IF($C119="S",REFERENCIA.Descricao,"(digite a descrição aqui)")</f>
        <v>(abra o arquivo 'Referência 10-2024.xlsm)</v>
      </c>
      <c r="S119" s="120" t="str">
        <f ca="1">REFERENCIA.Unidade</f>
        <v>-</v>
      </c>
      <c r="T119" s="121">
        <f ca="1">OFFSET(CÁLCULO!H$15,ROW($T119)-ROW(T$15),0)</f>
        <v>1</v>
      </c>
      <c r="U119" s="122">
        <f t="shared" ca="1" si="52"/>
        <v>0</v>
      </c>
      <c r="V119" s="123" t="s">
        <v>156</v>
      </c>
      <c r="W119" s="121">
        <f ca="1">IF($C119="S",ROUND(IF(TIPOORCAMENTO="Proposto",ORÇAMENTO.CustoUnitario*(1+$AH119),ORÇAMENTO.PrecoUnitarioLicitado),15-13*$AF$10),0)</f>
        <v>0</v>
      </c>
      <c r="X119" s="124">
        <f ca="1">IF($C119="S",IF(Import.TipoArredondamento&lt;&gt;"TransfereGOV",VTOTAL1,SUM(OFFSET(CÁLCULO!$AA$15,ROW($X119)-ROW($X$15),1):OFFSET(CÁLCULO!$AL$15,ROW($X119)-ROW($X$15),-1))),IF($C119=0,0,ROUND(SomaAgrup,15-13*$AF$11)))</f>
        <v>0</v>
      </c>
      <c r="Y119" s="125" t="s">
        <v>245</v>
      </c>
      <c r="Z119" t="str">
        <f t="shared" ca="1" si="64"/>
        <v/>
      </c>
      <c r="AA119" s="126">
        <f ca="1">IF($C119="S",IF($Z119="CP",$X119,IF($Z119="RA",(($X119)*QCI!$AA$3),0)),SomaAgrup)</f>
        <v>0</v>
      </c>
      <c r="AB119" s="127">
        <f t="shared" ca="1" si="48"/>
        <v>0</v>
      </c>
      <c r="AC119" s="128" t="str">
        <f ca="1">IF($N119="","",IF(ORÇAMENTO.Descricao="","DESCRIÇÃO",IF(AND($C119="S",ORÇAMENTO.Unidade=""),"UNIDADE",IF($X119&lt;0,"VALOR NEGATIVO",IF(OR(AND(TIPOORCAMENTO="Proposto",$AG119&lt;&gt;"",$AG119&gt;0,ORÇAMENTO.CustoUnitario&gt;$AG119),AND(TIPOORCAMENTO="LICITADO",ORÇAMENTO.PrecoUnitarioLicitado&gt;$AN119)),"ACIMA REF.","")))))</f>
        <v/>
      </c>
      <c r="AD119" t="str">
        <f ca="1">IF(C119&lt;=CRONO.NivelExibicao,MAX($AD$15:OFFSET(AD119,-1,0))+IF($C119&lt;&gt;1,1,MAX(1,COUNTIF(QCI!$A$13:$A$24,OFFSET($E119,-1,0)))),"")</f>
        <v/>
      </c>
      <c r="AE119" s="7" t="str">
        <f ca="1">IF(AND($C119="S",ORÇAMENTO.CodBarra&lt;&gt;""),IF(ORÇAMENTO.Fonte="",ORÇAMENTO.CodBarra,CONCATENATE(ORÇAMENTO.Fonte," ",ORÇAMENTO.CodBarra)))</f>
        <v>SINAPI 103782</v>
      </c>
      <c r="AF119" s="13" t="str">
        <f ca="1">IF(ISERROR(INDIRECT(ORÇAMENTO.BancoRef)),"(abra o arquivo 'Referência "&amp;Excel_BuiltIn_Database&amp;".xlsm)",IF(OR($C119&lt;&gt;"S",ORÇAMENTO.CodBarra=""),"(Sem Código)",IF(ISERROR(MATCH($AE119,INDIRECT(ORÇAMENTO.BancoRef),0)),"(Código não identificado nas referências)",MATCH($AE119,INDIRECT(ORÇAMENTO.BancoRef),0))))</f>
        <v>(abra o arquivo 'Referência 10-2024.xlsm)</v>
      </c>
      <c r="AG119" s="495">
        <f ca="1">ROUND(IF(DESONERACAO="sim",REFERENCIA.Desonerado,REFERENCIA.NaoDesonerado),2)</f>
        <v>0</v>
      </c>
      <c r="AH119" s="496">
        <f t="shared" ca="1" si="49"/>
        <v>0.20710000000000001</v>
      </c>
      <c r="AJ119" s="498">
        <v>1</v>
      </c>
      <c r="AL119" s="524"/>
      <c r="AM119" s="378">
        <f t="shared" ca="1" si="51"/>
        <v>0</v>
      </c>
      <c r="AN119" s="563">
        <f t="shared" ca="1" si="50"/>
        <v>0</v>
      </c>
    </row>
    <row r="120" spans="1:40" ht="5.0999999999999996" customHeight="1" x14ac:dyDescent="0.2">
      <c r="A120">
        <v>-1</v>
      </c>
      <c r="C120">
        <v>-1</v>
      </c>
      <c r="E120">
        <v>0</v>
      </c>
      <c r="F120">
        <v>0</v>
      </c>
      <c r="G120">
        <v>0</v>
      </c>
      <c r="H120">
        <v>0</v>
      </c>
      <c r="I120">
        <v>0</v>
      </c>
      <c r="L120" s="113" t="s">
        <v>246</v>
      </c>
      <c r="M120" s="489"/>
      <c r="N120" s="490"/>
      <c r="O120" s="489"/>
      <c r="P120" s="491"/>
      <c r="Q120" s="491"/>
      <c r="R120" s="491"/>
      <c r="S120" s="491"/>
      <c r="T120" s="491"/>
      <c r="U120" s="491"/>
      <c r="V120" s="491"/>
      <c r="W120" s="491"/>
      <c r="X120" s="490"/>
      <c r="AG120" s="481"/>
      <c r="AH120" s="483"/>
      <c r="AJ120" s="492"/>
      <c r="AL120" s="481"/>
      <c r="AM120" s="482"/>
      <c r="AN120" s="483"/>
    </row>
    <row r="123" spans="1:40" ht="14.25" x14ac:dyDescent="0.2">
      <c r="O123" s="137" t="s">
        <v>248</v>
      </c>
      <c r="Q123" s="612" t="s">
        <v>249</v>
      </c>
      <c r="R123" s="612"/>
      <c r="S123" s="612"/>
      <c r="T123" s="612"/>
      <c r="U123" s="612"/>
      <c r="V123" s="612"/>
      <c r="W123" s="612"/>
      <c r="X123" s="612"/>
    </row>
    <row r="125" spans="1:40" ht="14.25" x14ac:dyDescent="0.2">
      <c r="O125" s="138" t="s">
        <v>187</v>
      </c>
      <c r="X125" s="4"/>
    </row>
    <row r="126" spans="1:40" ht="12.75" customHeight="1" x14ac:dyDescent="0.2"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</row>
    <row r="127" spans="1:40" x14ac:dyDescent="0.2"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</row>
    <row r="128" spans="1:40" x14ac:dyDescent="0.2"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</row>
    <row r="129" spans="15:28" ht="14.25" x14ac:dyDescent="0.2">
      <c r="O129" s="531"/>
      <c r="P129" s="531"/>
      <c r="Q129" s="531"/>
      <c r="R129" s="531"/>
      <c r="S129" s="531"/>
      <c r="T129" s="531"/>
      <c r="U129" s="531"/>
      <c r="V129" s="531"/>
      <c r="W129" s="531"/>
      <c r="X129" s="531"/>
      <c r="Y129" s="531"/>
      <c r="Z129" s="139"/>
      <c r="AA129" s="139"/>
      <c r="AB129" s="139"/>
    </row>
    <row r="130" spans="15:28" ht="15" x14ac:dyDescent="0.25">
      <c r="O130" s="61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130" s="614"/>
      <c r="Q130" s="614"/>
      <c r="R130" s="614"/>
      <c r="S130" s="614"/>
      <c r="T130" s="614"/>
      <c r="U130" s="614"/>
      <c r="V130" s="614"/>
      <c r="W130" s="614"/>
      <c r="X130" s="614"/>
      <c r="Y130" s="140"/>
      <c r="Z130" s="140"/>
      <c r="AA130" s="140"/>
      <c r="AB130" s="140"/>
    </row>
    <row r="131" spans="15:28" ht="15" customHeight="1" x14ac:dyDescent="0.25">
      <c r="O131" s="616" t="s">
        <v>250</v>
      </c>
      <c r="P131" s="616"/>
      <c r="Q131" s="616"/>
      <c r="R131" s="616"/>
      <c r="S131" s="616"/>
      <c r="T131" s="616"/>
      <c r="U131" s="616"/>
      <c r="V131" s="616"/>
      <c r="W131" s="616"/>
      <c r="X131" s="616"/>
      <c r="Y131" s="140"/>
      <c r="Z131" s="140"/>
      <c r="AA131" s="140"/>
      <c r="AB131" s="140"/>
    </row>
    <row r="133" spans="15:28" ht="30" customHeight="1" x14ac:dyDescent="0.2">
      <c r="O133" s="615" t="str">
        <f>Import.Município</f>
        <v>LAGES/SC</v>
      </c>
      <c r="P133" s="615"/>
      <c r="Q133" s="615"/>
      <c r="S133" s="550"/>
      <c r="T133" s="550"/>
      <c r="U133" s="550"/>
      <c r="V133" s="550"/>
      <c r="W133" s="476"/>
    </row>
    <row r="134" spans="15:28" x14ac:dyDescent="0.2">
      <c r="O134" s="10" t="s">
        <v>188</v>
      </c>
      <c r="S134" s="192" t="s">
        <v>190</v>
      </c>
      <c r="T134" s="192"/>
      <c r="U134" s="192"/>
      <c r="V134" s="192"/>
    </row>
    <row r="135" spans="15:28" x14ac:dyDescent="0.2">
      <c r="S135" s="75" t="s">
        <v>108</v>
      </c>
      <c r="T135" s="76" t="str">
        <f t="array" ref="T135:T137">Import.RespOrçamento</f>
        <v>RODRIGO FAGUNDES DE ALMEIDA</v>
      </c>
      <c r="V135" s="77"/>
    </row>
    <row r="136" spans="15:28" x14ac:dyDescent="0.2">
      <c r="O136" s="610">
        <f ca="1">DADOS!$F$25</f>
        <v>45639</v>
      </c>
      <c r="P136" s="610"/>
      <c r="Q136" s="610"/>
      <c r="S136" s="75" t="s">
        <v>109</v>
      </c>
      <c r="T136" s="76" t="str">
        <v>CREA/SC 147572-3</v>
      </c>
      <c r="U136" s="77"/>
      <c r="V136" s="77"/>
    </row>
    <row r="137" spans="15:28" x14ac:dyDescent="0.2">
      <c r="O137" s="143" t="s">
        <v>189</v>
      </c>
      <c r="P137" s="1"/>
      <c r="Q137" s="1"/>
      <c r="S137" s="75" t="s">
        <v>110</v>
      </c>
      <c r="T137" s="76" t="str">
        <v>9360947-0</v>
      </c>
      <c r="U137" s="77"/>
      <c r="V137" s="77"/>
    </row>
  </sheetData>
  <sheetProtection algorithmName="SHA-512" hashValue="N2HXspknV+B6H/KIQyQKJ6+FJKIA02BQz1tlfhBLBkErJywGwP+eUmYybPYRxn8ccoU6CVEnO6FQieAPAPYiLQ==" saltValue="HWxkYMO0zuLKmXkTR32e4g==" spinCount="100000" sheet="1" objects="1" scenarios="1" autoFilter="0"/>
  <autoFilter ref="L15:L120"/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136:Q136"/>
    <mergeCell ref="O15:R15"/>
    <mergeCell ref="Q123:X123"/>
    <mergeCell ref="O126:X128"/>
    <mergeCell ref="O130:X130"/>
    <mergeCell ref="O133:Q133"/>
    <mergeCell ref="O131:X131"/>
  </mergeCells>
  <phoneticPr fontId="38" type="noConversion"/>
  <conditionalFormatting sqref="M14 M16:M19 M25:M29 M45:M49 M37:M41 M51:M119">
    <cfRule type="cellIs" dxfId="446" priority="8563" stopIfTrue="1" operator="notEqual">
      <formula>$N14</formula>
    </cfRule>
  </conditionalFormatting>
  <conditionalFormatting sqref="N14:O14 R14 W14:X14 N16:O19 R16:R19 W16:X19 W25:X29 R25:R29 N25:O29 W45:X49 R45:R49 N45:O49 N37:O41 R37:R41 W37:X41 N51:O119 R51:R119 W51:X119">
    <cfRule type="expression" dxfId="445" priority="8564" stopIfTrue="1">
      <formula>$C14=1</formula>
    </cfRule>
    <cfRule type="expression" dxfId="444" priority="8565" stopIfTrue="1">
      <formula>OR($C14=0,$C14=2,$C14=3,$C14=4)</formula>
    </cfRule>
  </conditionalFormatting>
  <conditionalFormatting sqref="U14:V14 U16:V19 U25:V29 U45:V49 U37:V41 U51:V119">
    <cfRule type="expression" dxfId="443" priority="8566" stopIfTrue="1">
      <formula>$C14=1</formula>
    </cfRule>
    <cfRule type="expression" dxfId="442" priority="8567" stopIfTrue="1">
      <formula>OR($C14=0,$C14=2,$C14=3,$C14=4)</formula>
    </cfRule>
    <cfRule type="expression" dxfId="441" priority="8568" stopIfTrue="1">
      <formula>AND(TIPOORCAMENTO="Licitado",$C14&lt;&gt;"L",$C14&lt;&gt;-1)</formula>
    </cfRule>
  </conditionalFormatting>
  <conditionalFormatting sqref="P14:Q14 S14:T14 Y14 AG14:AH14 P16:Q19 S16:T19 Y16:Y19 AG16:AH19 AG25:AH29 Y25:Y29 S25:T29 P25:Q29 AG45:AH49 Y45:Y49 S45:T49 P45:Q49 P37:Q41 S37:T41 Y37:Y41 AG37:AH41 P51:Q119 S51:T119 Y51:Y119 AG51:AH119">
    <cfRule type="expression" dxfId="440" priority="8569" stopIfTrue="1">
      <formula>$C14=1</formula>
    </cfRule>
    <cfRule type="expression" dxfId="439" priority="8570" stopIfTrue="1">
      <formula>OR($C14=0,$C14=2,$C14=3,$C14=4)</formula>
    </cfRule>
  </conditionalFormatting>
  <conditionalFormatting sqref="AJ7:AJ19 AJ25:AJ29 AJ45:AJ49 AJ37:AJ41 AJ51:AJ120">
    <cfRule type="expression" dxfId="438" priority="8571" stopIfTrue="1">
      <formula>OR(ACOMPANHAMENTO&lt;&gt;"BM",TIPOORCAMENTO="Licitado")</formula>
    </cfRule>
    <cfRule type="expression" dxfId="437" priority="8572" stopIfTrue="1">
      <formula>$C7=1</formula>
    </cfRule>
    <cfRule type="expression" dxfId="436" priority="8573" stopIfTrue="1">
      <formula>OR(AND(ISNUMBER($C7),$C7=0),$C7=2,$C7=3,$C7=4)</formula>
    </cfRule>
  </conditionalFormatting>
  <conditionalFormatting sqref="AL7:AL19 AL25:AL29 AL45:AL49 AL37:AL41 AL51:AL120">
    <cfRule type="expression" dxfId="435" priority="8574" stopIfTrue="1">
      <formula>TIPOORCAMENTO="PROPOSTO"</formula>
    </cfRule>
    <cfRule type="expression" dxfId="434" priority="8575" stopIfTrue="1">
      <formula>$C7=1</formula>
    </cfRule>
    <cfRule type="expression" dxfId="433" priority="8576" stopIfTrue="1">
      <formula>OR(AND(ISNUMBER($C7),$C7=0),$C7=2,$C7=3,$C7=4)</formula>
    </cfRule>
  </conditionalFormatting>
  <conditionalFormatting sqref="O8:P8">
    <cfRule type="expression" dxfId="432" priority="8580" stopIfTrue="1">
      <formula>ISERROR(INDIRECT($F$9))</formula>
    </cfRule>
  </conditionalFormatting>
  <conditionalFormatting sqref="S7:V8">
    <cfRule type="expression" dxfId="431" priority="8581" stopIfTrue="1">
      <formula>TIPOORCAMENTO="Proposto"</formula>
    </cfRule>
  </conditionalFormatting>
  <conditionalFormatting sqref="S9:V9">
    <cfRule type="expression" dxfId="430" priority="8528" stopIfTrue="1">
      <formula>TIPOORCAMENTO="Proposto"</formula>
    </cfRule>
  </conditionalFormatting>
  <conditionalFormatting sqref="AM7:AN19 AM25:AN29 AM45:AN49 AM37:AN41 AM51:AN120">
    <cfRule type="expression" dxfId="429" priority="8577" stopIfTrue="1">
      <formula>TIPOORCAMENTO="PROPOSTO"</formula>
    </cfRule>
    <cfRule type="expression" dxfId="428" priority="8578" stopIfTrue="1">
      <formula>$C7=1</formula>
    </cfRule>
    <cfRule type="expression" dxfId="427" priority="8579" stopIfTrue="1">
      <formula>OR(AND(ISNUMBER($C7),$C7=0),$C7=2,$C7=3,$C7=4)</formula>
    </cfRule>
  </conditionalFormatting>
  <conditionalFormatting sqref="M20 M30">
    <cfRule type="cellIs" dxfId="426" priority="732" stopIfTrue="1" operator="notEqual">
      <formula>$N20</formula>
    </cfRule>
  </conditionalFormatting>
  <conditionalFormatting sqref="W20:X20 R20 N20:O20 N30:O30 R30 W30:X30">
    <cfRule type="expression" dxfId="425" priority="733" stopIfTrue="1">
      <formula>$C20=1</formula>
    </cfRule>
    <cfRule type="expression" dxfId="424" priority="734" stopIfTrue="1">
      <formula>OR($C20=0,$C20=2,$C20=3,$C20=4)</formula>
    </cfRule>
  </conditionalFormatting>
  <conditionalFormatting sqref="U20:V20 U30:V30">
    <cfRule type="expression" dxfId="423" priority="735" stopIfTrue="1">
      <formula>$C20=1</formula>
    </cfRule>
    <cfRule type="expression" dxfId="422" priority="736" stopIfTrue="1">
      <formula>OR($C20=0,$C20=2,$C20=3,$C20=4)</formula>
    </cfRule>
    <cfRule type="expression" dxfId="421" priority="737" stopIfTrue="1">
      <formula>AND(TIPOORCAMENTO="Licitado",$C20&lt;&gt;"L",$C20&lt;&gt;-1)</formula>
    </cfRule>
  </conditionalFormatting>
  <conditionalFormatting sqref="AG20:AH20 Y20 S20:T20 P20:Q20 P30:Q30 S30:T30 Y30 AG30:AH30">
    <cfRule type="expression" dxfId="420" priority="738" stopIfTrue="1">
      <formula>$C20=1</formula>
    </cfRule>
    <cfRule type="expression" dxfId="419" priority="739" stopIfTrue="1">
      <formula>OR($C20=0,$C20=2,$C20=3,$C20=4)</formula>
    </cfRule>
  </conditionalFormatting>
  <conditionalFormatting sqref="AJ20 AJ30">
    <cfRule type="expression" dxfId="418" priority="740" stopIfTrue="1">
      <formula>OR(ACOMPANHAMENTO&lt;&gt;"BM",TIPOORCAMENTO="Licitado")</formula>
    </cfRule>
    <cfRule type="expression" dxfId="417" priority="741" stopIfTrue="1">
      <formula>$C20=1</formula>
    </cfRule>
    <cfRule type="expression" dxfId="416" priority="742" stopIfTrue="1">
      <formula>OR(AND(ISNUMBER($C20),$C20=0),$C20=2,$C20=3,$C20=4)</formula>
    </cfRule>
  </conditionalFormatting>
  <conditionalFormatting sqref="AL20 AL30">
    <cfRule type="expression" dxfId="415" priority="743" stopIfTrue="1">
      <formula>TIPOORCAMENTO="PROPOSTO"</formula>
    </cfRule>
    <cfRule type="expression" dxfId="414" priority="744" stopIfTrue="1">
      <formula>$C20=1</formula>
    </cfRule>
    <cfRule type="expression" dxfId="413" priority="745" stopIfTrue="1">
      <formula>OR(AND(ISNUMBER($C20),$C20=0),$C20=2,$C20=3,$C20=4)</formula>
    </cfRule>
  </conditionalFormatting>
  <conditionalFormatting sqref="AM20:AN20 AM30:AN30">
    <cfRule type="expression" dxfId="412" priority="746" stopIfTrue="1">
      <formula>TIPOORCAMENTO="PROPOSTO"</formula>
    </cfRule>
    <cfRule type="expression" dxfId="411" priority="747" stopIfTrue="1">
      <formula>$C20=1</formula>
    </cfRule>
    <cfRule type="expression" dxfId="410" priority="748" stopIfTrue="1">
      <formula>OR(AND(ISNUMBER($C20),$C20=0),$C20=2,$C20=3,$C20=4)</formula>
    </cfRule>
  </conditionalFormatting>
  <conditionalFormatting sqref="M31 M50">
    <cfRule type="cellIs" dxfId="409" priority="715" stopIfTrue="1" operator="notEqual">
      <formula>$N31</formula>
    </cfRule>
  </conditionalFormatting>
  <conditionalFormatting sqref="N31:O31 R31 W31:X31 W50:X50 R50 N50:O50">
    <cfRule type="expression" dxfId="408" priority="716" stopIfTrue="1">
      <formula>$C31=1</formula>
    </cfRule>
    <cfRule type="expression" dxfId="407" priority="717" stopIfTrue="1">
      <formula>OR($C31=0,$C31=2,$C31=3,$C31=4)</formula>
    </cfRule>
  </conditionalFormatting>
  <conditionalFormatting sqref="U31:V31 U50:V50">
    <cfRule type="expression" dxfId="406" priority="718" stopIfTrue="1">
      <formula>$C31=1</formula>
    </cfRule>
    <cfRule type="expression" dxfId="405" priority="719" stopIfTrue="1">
      <formula>OR($C31=0,$C31=2,$C31=3,$C31=4)</formula>
    </cfRule>
    <cfRule type="expression" dxfId="404" priority="720" stopIfTrue="1">
      <formula>AND(TIPOORCAMENTO="Licitado",$C31&lt;&gt;"L",$C31&lt;&gt;-1)</formula>
    </cfRule>
  </conditionalFormatting>
  <conditionalFormatting sqref="P31:Q31 S31:T31 Y31 AG31:AH31 AG50:AH50 Y50 S50:T50 P50:Q50">
    <cfRule type="expression" dxfId="403" priority="721" stopIfTrue="1">
      <formula>$C31=1</formula>
    </cfRule>
    <cfRule type="expression" dxfId="402" priority="722" stopIfTrue="1">
      <formula>OR($C31=0,$C31=2,$C31=3,$C31=4)</formula>
    </cfRule>
  </conditionalFormatting>
  <conditionalFormatting sqref="AJ31 AJ50">
    <cfRule type="expression" dxfId="401" priority="723" stopIfTrue="1">
      <formula>OR(ACOMPANHAMENTO&lt;&gt;"BM",TIPOORCAMENTO="Licitado")</formula>
    </cfRule>
    <cfRule type="expression" dxfId="400" priority="724" stopIfTrue="1">
      <formula>$C31=1</formula>
    </cfRule>
    <cfRule type="expression" dxfId="399" priority="725" stopIfTrue="1">
      <formula>OR(AND(ISNUMBER($C31),$C31=0),$C31=2,$C31=3,$C31=4)</formula>
    </cfRule>
  </conditionalFormatting>
  <conditionalFormatting sqref="AL31 AL50">
    <cfRule type="expression" dxfId="398" priority="726" stopIfTrue="1">
      <formula>TIPOORCAMENTO="PROPOSTO"</formula>
    </cfRule>
    <cfRule type="expression" dxfId="397" priority="727" stopIfTrue="1">
      <formula>$C31=1</formula>
    </cfRule>
    <cfRule type="expression" dxfId="396" priority="728" stopIfTrue="1">
      <formula>OR(AND(ISNUMBER($C31),$C31=0),$C31=2,$C31=3,$C31=4)</formula>
    </cfRule>
  </conditionalFormatting>
  <conditionalFormatting sqref="AM31:AN31 AM50:AN50">
    <cfRule type="expression" dxfId="395" priority="729" stopIfTrue="1">
      <formula>TIPOORCAMENTO="PROPOSTO"</formula>
    </cfRule>
    <cfRule type="expression" dxfId="394" priority="730" stopIfTrue="1">
      <formula>$C31=1</formula>
    </cfRule>
    <cfRule type="expression" dxfId="393" priority="731" stopIfTrue="1">
      <formula>OR(AND(ISNUMBER($C31),$C31=0),$C31=2,$C31=3,$C31=4)</formula>
    </cfRule>
  </conditionalFormatting>
  <conditionalFormatting sqref="M42">
    <cfRule type="cellIs" dxfId="392" priority="154" stopIfTrue="1" operator="notEqual">
      <formula>$N42</formula>
    </cfRule>
  </conditionalFormatting>
  <conditionalFormatting sqref="N42:O42 R42 W42:X42">
    <cfRule type="expression" dxfId="391" priority="155" stopIfTrue="1">
      <formula>$C42=1</formula>
    </cfRule>
    <cfRule type="expression" dxfId="390" priority="156" stopIfTrue="1">
      <formula>OR($C42=0,$C42=2,$C42=3,$C42=4)</formula>
    </cfRule>
  </conditionalFormatting>
  <conditionalFormatting sqref="U42:V42">
    <cfRule type="expression" dxfId="389" priority="157" stopIfTrue="1">
      <formula>$C42=1</formula>
    </cfRule>
    <cfRule type="expression" dxfId="388" priority="158" stopIfTrue="1">
      <formula>OR($C42=0,$C42=2,$C42=3,$C42=4)</formula>
    </cfRule>
    <cfRule type="expression" dxfId="387" priority="159" stopIfTrue="1">
      <formula>AND(TIPOORCAMENTO="Licitado",$C42&lt;&gt;"L",$C42&lt;&gt;-1)</formula>
    </cfRule>
  </conditionalFormatting>
  <conditionalFormatting sqref="P42:Q42 S42:T42 Y42 AG42:AH42">
    <cfRule type="expression" dxfId="386" priority="160" stopIfTrue="1">
      <formula>$C42=1</formula>
    </cfRule>
    <cfRule type="expression" dxfId="385" priority="161" stopIfTrue="1">
      <formula>OR($C42=0,$C42=2,$C42=3,$C42=4)</formula>
    </cfRule>
  </conditionalFormatting>
  <conditionalFormatting sqref="AJ42">
    <cfRule type="expression" dxfId="384" priority="162" stopIfTrue="1">
      <formula>OR(ACOMPANHAMENTO&lt;&gt;"BM",TIPOORCAMENTO="Licitado")</formula>
    </cfRule>
    <cfRule type="expression" dxfId="383" priority="163" stopIfTrue="1">
      <formula>$C42=1</formula>
    </cfRule>
    <cfRule type="expression" dxfId="382" priority="164" stopIfTrue="1">
      <formula>OR(AND(ISNUMBER($C42),$C42=0),$C42=2,$C42=3,$C42=4)</formula>
    </cfRule>
  </conditionalFormatting>
  <conditionalFormatting sqref="AL42">
    <cfRule type="expression" dxfId="381" priority="165" stopIfTrue="1">
      <formula>TIPOORCAMENTO="PROPOSTO"</formula>
    </cfRule>
    <cfRule type="expression" dxfId="380" priority="166" stopIfTrue="1">
      <formula>$C42=1</formula>
    </cfRule>
    <cfRule type="expression" dxfId="379" priority="167" stopIfTrue="1">
      <formula>OR(AND(ISNUMBER($C42),$C42=0),$C42=2,$C42=3,$C42=4)</formula>
    </cfRule>
  </conditionalFormatting>
  <conditionalFormatting sqref="AM42:AN42">
    <cfRule type="expression" dxfId="378" priority="168" stopIfTrue="1">
      <formula>TIPOORCAMENTO="PROPOSTO"</formula>
    </cfRule>
    <cfRule type="expression" dxfId="377" priority="169" stopIfTrue="1">
      <formula>$C42=1</formula>
    </cfRule>
    <cfRule type="expression" dxfId="376" priority="170" stopIfTrue="1">
      <formula>OR(AND(ISNUMBER($C42),$C42=0),$C42=2,$C42=3,$C42=4)</formula>
    </cfRule>
  </conditionalFormatting>
  <conditionalFormatting sqref="M43:M44">
    <cfRule type="cellIs" dxfId="375" priority="137" stopIfTrue="1" operator="notEqual">
      <formula>$N43</formula>
    </cfRule>
  </conditionalFormatting>
  <conditionalFormatting sqref="N43:O44 R43:R44 W43:X44">
    <cfRule type="expression" dxfId="374" priority="138" stopIfTrue="1">
      <formula>$C43=1</formula>
    </cfRule>
    <cfRule type="expression" dxfId="373" priority="139" stopIfTrue="1">
      <formula>OR($C43=0,$C43=2,$C43=3,$C43=4)</formula>
    </cfRule>
  </conditionalFormatting>
  <conditionalFormatting sqref="U43:V44">
    <cfRule type="expression" dxfId="372" priority="140" stopIfTrue="1">
      <formula>$C43=1</formula>
    </cfRule>
    <cfRule type="expression" dxfId="371" priority="141" stopIfTrue="1">
      <formula>OR($C43=0,$C43=2,$C43=3,$C43=4)</formula>
    </cfRule>
    <cfRule type="expression" dxfId="370" priority="142" stopIfTrue="1">
      <formula>AND(TIPOORCAMENTO="Licitado",$C43&lt;&gt;"L",$C43&lt;&gt;-1)</formula>
    </cfRule>
  </conditionalFormatting>
  <conditionalFormatting sqref="P43:Q44 S43:T44 Y43:Y44 AG43:AH44">
    <cfRule type="expression" dxfId="369" priority="143" stopIfTrue="1">
      <formula>$C43=1</formula>
    </cfRule>
    <cfRule type="expression" dxfId="368" priority="144" stopIfTrue="1">
      <formula>OR($C43=0,$C43=2,$C43=3,$C43=4)</formula>
    </cfRule>
  </conditionalFormatting>
  <conditionalFormatting sqref="AJ43:AJ44">
    <cfRule type="expression" dxfId="367" priority="145" stopIfTrue="1">
      <formula>OR(ACOMPANHAMENTO&lt;&gt;"BM",TIPOORCAMENTO="Licitado")</formula>
    </cfRule>
    <cfRule type="expression" dxfId="366" priority="146" stopIfTrue="1">
      <formula>$C43=1</formula>
    </cfRule>
    <cfRule type="expression" dxfId="365" priority="147" stopIfTrue="1">
      <formula>OR(AND(ISNUMBER($C43),$C43=0),$C43=2,$C43=3,$C43=4)</formula>
    </cfRule>
  </conditionalFormatting>
  <conditionalFormatting sqref="AL43:AL44">
    <cfRule type="expression" dxfId="364" priority="148" stopIfTrue="1">
      <formula>TIPOORCAMENTO="PROPOSTO"</formula>
    </cfRule>
    <cfRule type="expression" dxfId="363" priority="149" stopIfTrue="1">
      <formula>$C43=1</formula>
    </cfRule>
    <cfRule type="expression" dxfId="362" priority="150" stopIfTrue="1">
      <formula>OR(AND(ISNUMBER($C43),$C43=0),$C43=2,$C43=3,$C43=4)</formula>
    </cfRule>
  </conditionalFormatting>
  <conditionalFormatting sqref="AM43:AN44">
    <cfRule type="expression" dxfId="361" priority="151" stopIfTrue="1">
      <formula>TIPOORCAMENTO="PROPOSTO"</formula>
    </cfRule>
    <cfRule type="expression" dxfId="360" priority="152" stopIfTrue="1">
      <formula>$C43=1</formula>
    </cfRule>
    <cfRule type="expression" dxfId="359" priority="153" stopIfTrue="1">
      <formula>OR(AND(ISNUMBER($C43),$C43=0),$C43=2,$C43=3,$C43=4)</formula>
    </cfRule>
  </conditionalFormatting>
  <conditionalFormatting sqref="M22">
    <cfRule type="cellIs" dxfId="358" priority="86" stopIfTrue="1" operator="notEqual">
      <formula>$N22</formula>
    </cfRule>
  </conditionalFormatting>
  <conditionalFormatting sqref="N22:O22 R22 W22:X22">
    <cfRule type="expression" dxfId="357" priority="87" stopIfTrue="1">
      <formula>$C22=1</formula>
    </cfRule>
    <cfRule type="expression" dxfId="356" priority="88" stopIfTrue="1">
      <formula>OR($C22=0,$C22=2,$C22=3,$C22=4)</formula>
    </cfRule>
  </conditionalFormatting>
  <conditionalFormatting sqref="U22:V22">
    <cfRule type="expression" dxfId="355" priority="89" stopIfTrue="1">
      <formula>$C22=1</formula>
    </cfRule>
    <cfRule type="expression" dxfId="354" priority="90" stopIfTrue="1">
      <formula>OR($C22=0,$C22=2,$C22=3,$C22=4)</formula>
    </cfRule>
    <cfRule type="expression" dxfId="353" priority="91" stopIfTrue="1">
      <formula>AND(TIPOORCAMENTO="Licitado",$C22&lt;&gt;"L",$C22&lt;&gt;-1)</formula>
    </cfRule>
  </conditionalFormatting>
  <conditionalFormatting sqref="P22:Q22 S22:T22 Y22 AG22:AH22">
    <cfRule type="expression" dxfId="352" priority="92" stopIfTrue="1">
      <formula>$C22=1</formula>
    </cfRule>
    <cfRule type="expression" dxfId="351" priority="93" stopIfTrue="1">
      <formula>OR($C22=0,$C22=2,$C22=3,$C22=4)</formula>
    </cfRule>
  </conditionalFormatting>
  <conditionalFormatting sqref="AJ22">
    <cfRule type="expression" dxfId="350" priority="94" stopIfTrue="1">
      <formula>OR(ACOMPANHAMENTO&lt;&gt;"BM",TIPOORCAMENTO="Licitado")</formula>
    </cfRule>
    <cfRule type="expression" dxfId="349" priority="95" stopIfTrue="1">
      <formula>$C22=1</formula>
    </cfRule>
    <cfRule type="expression" dxfId="348" priority="96" stopIfTrue="1">
      <formula>OR(AND(ISNUMBER($C22),$C22=0),$C22=2,$C22=3,$C22=4)</formula>
    </cfRule>
  </conditionalFormatting>
  <conditionalFormatting sqref="AL22">
    <cfRule type="expression" dxfId="347" priority="97" stopIfTrue="1">
      <formula>TIPOORCAMENTO="PROPOSTO"</formula>
    </cfRule>
    <cfRule type="expression" dxfId="346" priority="98" stopIfTrue="1">
      <formula>$C22=1</formula>
    </cfRule>
    <cfRule type="expression" dxfId="345" priority="99" stopIfTrue="1">
      <formula>OR(AND(ISNUMBER($C22),$C22=0),$C22=2,$C22=3,$C22=4)</formula>
    </cfRule>
  </conditionalFormatting>
  <conditionalFormatting sqref="AM22:AN22">
    <cfRule type="expression" dxfId="344" priority="100" stopIfTrue="1">
      <formula>TIPOORCAMENTO="PROPOSTO"</formula>
    </cfRule>
    <cfRule type="expression" dxfId="343" priority="101" stopIfTrue="1">
      <formula>$C22=1</formula>
    </cfRule>
    <cfRule type="expression" dxfId="342" priority="102" stopIfTrue="1">
      <formula>OR(AND(ISNUMBER($C22),$C22=0),$C22=2,$C22=3,$C22=4)</formula>
    </cfRule>
  </conditionalFormatting>
  <conditionalFormatting sqref="M21">
    <cfRule type="cellIs" dxfId="341" priority="69" stopIfTrue="1" operator="notEqual">
      <formula>$N21</formula>
    </cfRule>
  </conditionalFormatting>
  <conditionalFormatting sqref="N21:O21 R21 W21:X21">
    <cfRule type="expression" dxfId="340" priority="70" stopIfTrue="1">
      <formula>$C21=1</formula>
    </cfRule>
    <cfRule type="expression" dxfId="339" priority="71" stopIfTrue="1">
      <formula>OR($C21=0,$C21=2,$C21=3,$C21=4)</formula>
    </cfRule>
  </conditionalFormatting>
  <conditionalFormatting sqref="U21:V21">
    <cfRule type="expression" dxfId="338" priority="72" stopIfTrue="1">
      <formula>$C21=1</formula>
    </cfRule>
    <cfRule type="expression" dxfId="337" priority="73" stopIfTrue="1">
      <formula>OR($C21=0,$C21=2,$C21=3,$C21=4)</formula>
    </cfRule>
    <cfRule type="expression" dxfId="336" priority="74" stopIfTrue="1">
      <formula>AND(TIPOORCAMENTO="Licitado",$C21&lt;&gt;"L",$C21&lt;&gt;-1)</formula>
    </cfRule>
  </conditionalFormatting>
  <conditionalFormatting sqref="P21:Q21 S21:T21 Y21 AG21:AH21">
    <cfRule type="expression" dxfId="335" priority="75" stopIfTrue="1">
      <formula>$C21=1</formula>
    </cfRule>
    <cfRule type="expression" dxfId="334" priority="76" stopIfTrue="1">
      <formula>OR($C21=0,$C21=2,$C21=3,$C21=4)</formula>
    </cfRule>
  </conditionalFormatting>
  <conditionalFormatting sqref="AJ21">
    <cfRule type="expression" dxfId="333" priority="77" stopIfTrue="1">
      <formula>OR(ACOMPANHAMENTO&lt;&gt;"BM",TIPOORCAMENTO="Licitado")</formula>
    </cfRule>
    <cfRule type="expression" dxfId="332" priority="78" stopIfTrue="1">
      <formula>$C21=1</formula>
    </cfRule>
    <cfRule type="expression" dxfId="331" priority="79" stopIfTrue="1">
      <formula>OR(AND(ISNUMBER($C21),$C21=0),$C21=2,$C21=3,$C21=4)</formula>
    </cfRule>
  </conditionalFormatting>
  <conditionalFormatting sqref="AL21">
    <cfRule type="expression" dxfId="330" priority="80" stopIfTrue="1">
      <formula>TIPOORCAMENTO="PROPOSTO"</formula>
    </cfRule>
    <cfRule type="expression" dxfId="329" priority="81" stopIfTrue="1">
      <formula>$C21=1</formula>
    </cfRule>
    <cfRule type="expression" dxfId="328" priority="82" stopIfTrue="1">
      <formula>OR(AND(ISNUMBER($C21),$C21=0),$C21=2,$C21=3,$C21=4)</formula>
    </cfRule>
  </conditionalFormatting>
  <conditionalFormatting sqref="AM21:AN21">
    <cfRule type="expression" dxfId="327" priority="83" stopIfTrue="1">
      <formula>TIPOORCAMENTO="PROPOSTO"</formula>
    </cfRule>
    <cfRule type="expression" dxfId="326" priority="84" stopIfTrue="1">
      <formula>$C21=1</formula>
    </cfRule>
    <cfRule type="expression" dxfId="325" priority="85" stopIfTrue="1">
      <formula>OR(AND(ISNUMBER($C21),$C21=0),$C21=2,$C21=3,$C21=4)</formula>
    </cfRule>
  </conditionalFormatting>
  <conditionalFormatting sqref="M23:M24">
    <cfRule type="cellIs" dxfId="324" priority="52" stopIfTrue="1" operator="notEqual">
      <formula>$N23</formula>
    </cfRule>
  </conditionalFormatting>
  <conditionalFormatting sqref="N23:O24 R23:R24 W23:X24">
    <cfRule type="expression" dxfId="323" priority="53" stopIfTrue="1">
      <formula>$C23=1</formula>
    </cfRule>
    <cfRule type="expression" dxfId="322" priority="54" stopIfTrue="1">
      <formula>OR($C23=0,$C23=2,$C23=3,$C23=4)</formula>
    </cfRule>
  </conditionalFormatting>
  <conditionalFormatting sqref="U23:V24">
    <cfRule type="expression" dxfId="321" priority="55" stopIfTrue="1">
      <formula>$C23=1</formula>
    </cfRule>
    <cfRule type="expression" dxfId="320" priority="56" stopIfTrue="1">
      <formula>OR($C23=0,$C23=2,$C23=3,$C23=4)</formula>
    </cfRule>
    <cfRule type="expression" dxfId="319" priority="57" stopIfTrue="1">
      <formula>AND(TIPOORCAMENTO="Licitado",$C23&lt;&gt;"L",$C23&lt;&gt;-1)</formula>
    </cfRule>
  </conditionalFormatting>
  <conditionalFormatting sqref="P23:Q24 S23:T24 Y23:Y24 AG23:AH24">
    <cfRule type="expression" dxfId="318" priority="58" stopIfTrue="1">
      <formula>$C23=1</formula>
    </cfRule>
    <cfRule type="expression" dxfId="317" priority="59" stopIfTrue="1">
      <formula>OR($C23=0,$C23=2,$C23=3,$C23=4)</formula>
    </cfRule>
  </conditionalFormatting>
  <conditionalFormatting sqref="AJ23:AJ24">
    <cfRule type="expression" dxfId="316" priority="60" stopIfTrue="1">
      <formula>OR(ACOMPANHAMENTO&lt;&gt;"BM",TIPOORCAMENTO="Licitado")</formula>
    </cfRule>
    <cfRule type="expression" dxfId="315" priority="61" stopIfTrue="1">
      <formula>$C23=1</formula>
    </cfRule>
    <cfRule type="expression" dxfId="314" priority="62" stopIfTrue="1">
      <formula>OR(AND(ISNUMBER($C23),$C23=0),$C23=2,$C23=3,$C23=4)</formula>
    </cfRule>
  </conditionalFormatting>
  <conditionalFormatting sqref="AL23:AL24">
    <cfRule type="expression" dxfId="313" priority="63" stopIfTrue="1">
      <formula>TIPOORCAMENTO="PROPOSTO"</formula>
    </cfRule>
    <cfRule type="expression" dxfId="312" priority="64" stopIfTrue="1">
      <formula>$C23=1</formula>
    </cfRule>
    <cfRule type="expression" dxfId="311" priority="65" stopIfTrue="1">
      <formula>OR(AND(ISNUMBER($C23),$C23=0),$C23=2,$C23=3,$C23=4)</formula>
    </cfRule>
  </conditionalFormatting>
  <conditionalFormatting sqref="AM23:AN24">
    <cfRule type="expression" dxfId="310" priority="66" stopIfTrue="1">
      <formula>TIPOORCAMENTO="PROPOSTO"</formula>
    </cfRule>
    <cfRule type="expression" dxfId="309" priority="67" stopIfTrue="1">
      <formula>$C23=1</formula>
    </cfRule>
    <cfRule type="expression" dxfId="308" priority="68" stopIfTrue="1">
      <formula>OR(AND(ISNUMBER($C23),$C23=0),$C23=2,$C23=3,$C23=4)</formula>
    </cfRule>
  </conditionalFormatting>
  <conditionalFormatting sqref="M32:M36">
    <cfRule type="cellIs" dxfId="307" priority="35" stopIfTrue="1" operator="notEqual">
      <formula>$N32</formula>
    </cfRule>
  </conditionalFormatting>
  <conditionalFormatting sqref="N32:O36 R32:R36 W32:X36">
    <cfRule type="expression" dxfId="306" priority="36" stopIfTrue="1">
      <formula>$C32=1</formula>
    </cfRule>
    <cfRule type="expression" dxfId="305" priority="37" stopIfTrue="1">
      <formula>OR($C32=0,$C32=2,$C32=3,$C32=4)</formula>
    </cfRule>
  </conditionalFormatting>
  <conditionalFormatting sqref="U32:V36">
    <cfRule type="expression" dxfId="304" priority="38" stopIfTrue="1">
      <formula>$C32=1</formula>
    </cfRule>
    <cfRule type="expression" dxfId="303" priority="39" stopIfTrue="1">
      <formula>OR($C32=0,$C32=2,$C32=3,$C32=4)</formula>
    </cfRule>
    <cfRule type="expression" dxfId="302" priority="40" stopIfTrue="1">
      <formula>AND(TIPOORCAMENTO="Licitado",$C32&lt;&gt;"L",$C32&lt;&gt;-1)</formula>
    </cfRule>
  </conditionalFormatting>
  <conditionalFormatting sqref="P32:Q36 S32:T36 Y32:Y36 AG32:AH36">
    <cfRule type="expression" dxfId="301" priority="41" stopIfTrue="1">
      <formula>$C32=1</formula>
    </cfRule>
    <cfRule type="expression" dxfId="300" priority="42" stopIfTrue="1">
      <formula>OR($C32=0,$C32=2,$C32=3,$C32=4)</formula>
    </cfRule>
  </conditionalFormatting>
  <conditionalFormatting sqref="AJ32:AJ36">
    <cfRule type="expression" dxfId="299" priority="43" stopIfTrue="1">
      <formula>OR(ACOMPANHAMENTO&lt;&gt;"BM",TIPOORCAMENTO="Licitado")</formula>
    </cfRule>
    <cfRule type="expression" dxfId="298" priority="44" stopIfTrue="1">
      <formula>$C32=1</formula>
    </cfRule>
    <cfRule type="expression" dxfId="297" priority="45" stopIfTrue="1">
      <formula>OR(AND(ISNUMBER($C32),$C32=0),$C32=2,$C32=3,$C32=4)</formula>
    </cfRule>
  </conditionalFormatting>
  <conditionalFormatting sqref="AL32:AL36">
    <cfRule type="expression" dxfId="296" priority="46" stopIfTrue="1">
      <formula>TIPOORCAMENTO="PROPOSTO"</formula>
    </cfRule>
    <cfRule type="expression" dxfId="295" priority="47" stopIfTrue="1">
      <formula>$C32=1</formula>
    </cfRule>
    <cfRule type="expression" dxfId="294" priority="48" stopIfTrue="1">
      <formula>OR(AND(ISNUMBER($C32),$C32=0),$C32=2,$C32=3,$C32=4)</formula>
    </cfRule>
  </conditionalFormatting>
  <conditionalFormatting sqref="AM32:AN36">
    <cfRule type="expression" dxfId="293" priority="49" stopIfTrue="1">
      <formula>TIPOORCAMENTO="PROPOSTO"</formula>
    </cfRule>
    <cfRule type="expression" dxfId="292" priority="50" stopIfTrue="1">
      <formula>$C32=1</formula>
    </cfRule>
    <cfRule type="expression" dxfId="291" priority="51" stopIfTrue="1">
      <formula>OR(AND(ISNUMBER($C32),$C32=0),$C32=2,$C32=3,$C32=4)</formula>
    </cfRule>
  </conditionalFormatting>
  <dataValidations xWindow="751" yWindow="782" count="7">
    <dataValidation type="decimal" operator="greaterThan" allowBlank="1" showErrorMessage="1" error="Apenas números decimais maiores que zero." sqref="U14 AL14 AJ14 AL16:AL119 U16:U119 AJ16:AJ119">
      <formula1>0</formula1>
      <formula2>0</formula2>
    </dataValidation>
    <dataValidation type="list" allowBlank="1" sqref="P14 P16:P119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119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119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119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119"/>
    <dataValidation allowBlank="1" showInputMessage="1" showErrorMessage="1" prompt="Para Orçamento Proposto, o Preço Unitário é resultado do produto do Custo Unitário pelo BDI._x000a_Para Orçamento Licitado, deve ser preenchido na Coluna AL." sqref="W14 W16:W119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&amp;LPMv3.0.6&amp;R&amp;P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457200</xdr:colOff>
                    <xdr:row>9</xdr:row>
                    <xdr:rowOff>123825</xdr:rowOff>
                  </from>
                  <to>
                    <xdr:col>19</xdr:col>
                    <xdr:colOff>895350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447675</xdr:colOff>
                    <xdr:row>9</xdr:row>
                    <xdr:rowOff>123825</xdr:rowOff>
                  </from>
                  <to>
                    <xdr:col>20</xdr:col>
                    <xdr:colOff>876300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285750</xdr:colOff>
                    <xdr:row>9</xdr:row>
                    <xdr:rowOff>123825</xdr:rowOff>
                  </from>
                  <to>
                    <xdr:col>21</xdr:col>
                    <xdr:colOff>704850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361950</xdr:colOff>
                    <xdr:row>9</xdr:row>
                    <xdr:rowOff>123825</xdr:rowOff>
                  </from>
                  <to>
                    <xdr:col>22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104775</xdr:rowOff>
                  </from>
                  <to>
                    <xdr:col>23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388"/>
  <sheetViews>
    <sheetView showGridLines="0" zoomScale="90" zoomScaleNormal="90" zoomScaleSheetLayoutView="90" workbookViewId="0">
      <pane xSplit="8" ySplit="15" topLeftCell="I34" activePane="bottomRight" state="frozen"/>
      <selection activeCell="C1" sqref="C1"/>
      <selection pane="topRight" activeCell="I1" sqref="I1"/>
      <selection pane="bottomLeft" activeCell="C16" sqref="C16"/>
      <selection pane="bottomRight" activeCell="F16" sqref="F16"/>
    </sheetView>
  </sheetViews>
  <sheetFormatPr defaultRowHeight="0" customHeight="1" zeroHeight="1" x14ac:dyDescent="0.2"/>
  <cols>
    <col min="1" max="2" width="0" style="7" hidden="1" customWidth="1"/>
    <col min="3" max="3" width="3.7109375" style="7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7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9.140625" customWidth="1"/>
    <col min="60" max="60" width="1.7109375" customWidth="1"/>
  </cols>
  <sheetData>
    <row r="1" spans="1:59" ht="15.75" customHeight="1" x14ac:dyDescent="0.2">
      <c r="F1" s="624" t="str">
        <f>IF(ACOMPANHAMENTO="BM","MEMÓRIA DE CÁLCULO","PLQ - PLANILHA DE LEVANTAMENTO DE QUANTIDADES")</f>
        <v>MEMÓRIA DE CÁLCULO</v>
      </c>
      <c r="G1" s="624"/>
      <c r="H1" s="624"/>
      <c r="I1" s="144"/>
      <c r="K1" s="144"/>
      <c r="L1" s="144"/>
      <c r="M1" s="145"/>
      <c r="N1" s="144"/>
      <c r="P1" s="144"/>
      <c r="Q1" s="581" t="s">
        <v>140</v>
      </c>
      <c r="R1" s="581"/>
      <c r="Y1" s="581" t="s">
        <v>140</v>
      </c>
      <c r="Z1" s="581"/>
    </row>
    <row r="2" spans="1:59" ht="15" customHeight="1" x14ac:dyDescent="0.2">
      <c r="F2" s="625" t="str">
        <f>IF(ACOMPANHAMENTO="BM","","Memória de Cálculo")&amp;" - "&amp;import.recurso</f>
        <v xml:space="preserve"> - (SELECIONAR)</v>
      </c>
      <c r="G2" s="625"/>
      <c r="H2" s="625"/>
      <c r="I2" s="146"/>
      <c r="K2" s="146"/>
      <c r="L2" s="146"/>
      <c r="M2" s="147"/>
      <c r="N2" s="146"/>
      <c r="P2" s="146"/>
      <c r="Q2" s="582" t="s">
        <v>143</v>
      </c>
      <c r="R2" s="582"/>
      <c r="Y2" s="582" t="s">
        <v>143</v>
      </c>
      <c r="Z2" s="582"/>
    </row>
    <row r="3" spans="1:59" ht="12.75" customHeight="1" x14ac:dyDescent="0.2">
      <c r="AB3" t="e">
        <f ca="1">ROUND(ROUND(OFFSET(#REF!,0,AB$13),15-13*ORÇAMENTO!$AF$7)*OFFSET(ORÇAMENTO!$W$15,ROW(#REF!)-ROW(AB$15),0),15-13*ORÇAMENTO!$AF$11)</f>
        <v>#REF!</v>
      </c>
      <c r="AC3" t="e">
        <f ca="1">ROUND(ROUND(OFFSET(#REF!,0,AC$13),15-13*ORÇAMENTO!$AF$7)*OFFSET(ORÇAMENTO!$W$15,ROW(#REF!)-ROW(AC$15),0),15-13*ORÇAMENTO!$AF$11)</f>
        <v>#REF!</v>
      </c>
      <c r="AD3" t="e">
        <f ca="1">ROUND(ROUND(OFFSET(#REF!,0,AD$13),15-13*ORÇAMENTO!$AF$7)*OFFSET(ORÇAMENTO!$W$15,ROW(#REF!)-ROW(AD$15),0),15-13*ORÇAMENTO!$AF$11)</f>
        <v>#REF!</v>
      </c>
      <c r="AE3" s="572" t="e">
        <f ca="1">SUM(AB3:AD3)-SUM(#REF!)</f>
        <v>#REF!</v>
      </c>
    </row>
    <row r="4" spans="1:59" ht="12.75" customHeight="1" x14ac:dyDescent="0.2">
      <c r="E4" s="583" t="s">
        <v>202</v>
      </c>
      <c r="F4" s="583"/>
      <c r="G4" s="583" t="s">
        <v>443</v>
      </c>
      <c r="H4" s="583"/>
      <c r="I4" s="86" t="s">
        <v>146</v>
      </c>
      <c r="K4" s="148" t="s">
        <v>147</v>
      </c>
      <c r="L4" s="149"/>
      <c r="M4" s="149"/>
      <c r="N4" s="149"/>
      <c r="O4" s="149"/>
      <c r="P4" s="149"/>
      <c r="Q4" s="149"/>
      <c r="R4" s="150"/>
      <c r="S4" s="583" t="s">
        <v>146</v>
      </c>
      <c r="T4" s="583"/>
      <c r="U4" s="583" t="s">
        <v>147</v>
      </c>
      <c r="V4" s="583"/>
      <c r="W4" s="583"/>
      <c r="X4" s="583"/>
      <c r="Y4" s="583"/>
      <c r="Z4" s="583"/>
    </row>
    <row r="5" spans="1:59" ht="12.75" customHeight="1" x14ac:dyDescent="0.2">
      <c r="E5" s="580" t="str">
        <f>Import.Apelido</f>
        <v>VESTIÁRIOS CAMPO SANTA HELENA</v>
      </c>
      <c r="F5" s="580"/>
      <c r="G5" s="580" cm="1">
        <f t="array" ref="G5">Import.TransfereGOV</f>
        <v>0</v>
      </c>
      <c r="H5" s="580"/>
      <c r="I5" s="89">
        <f>Import.CR</f>
        <v>0</v>
      </c>
      <c r="K5" s="151" t="str">
        <f>Import.Proponente</f>
        <v>PREFEITURA MUNICIPAL DE LAGES</v>
      </c>
      <c r="L5" s="152"/>
      <c r="M5" s="99"/>
      <c r="N5" s="152"/>
      <c r="O5" s="152"/>
      <c r="P5" s="152"/>
      <c r="Q5" s="152"/>
      <c r="R5" s="90"/>
      <c r="S5" s="580">
        <f>Import.CR</f>
        <v>0</v>
      </c>
      <c r="T5" s="580"/>
      <c r="U5" s="580" t="str">
        <f>Import.Proponente</f>
        <v>PREFEITURA MUNICIPAL DE LAGES</v>
      </c>
      <c r="V5" s="580"/>
      <c r="W5" s="580"/>
      <c r="X5" s="580"/>
      <c r="Y5" s="580"/>
      <c r="Z5" s="580"/>
    </row>
    <row r="6" spans="1:59" ht="12.75" customHeight="1" x14ac:dyDescent="0.2">
      <c r="T6" s="572" t="e">
        <f ca="1">AE3</f>
        <v>#REF!</v>
      </c>
      <c r="AB6" t="s">
        <v>251</v>
      </c>
      <c r="AM6" t="s">
        <v>252</v>
      </c>
      <c r="AX6" t="s">
        <v>253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53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7" t="s">
        <v>254</v>
      </c>
      <c r="H12" s="154"/>
      <c r="I12" s="155"/>
      <c r="J12" s="156" t="s">
        <v>255</v>
      </c>
      <c r="K12" s="157" t="s">
        <v>256</v>
      </c>
      <c r="L12" s="156" t="s">
        <v>255</v>
      </c>
      <c r="M12" s="158">
        <f>IF(ACOMPANHAMENTO="BM",0,COUNTIF(M15:M120,0))</f>
        <v>0</v>
      </c>
      <c r="N12" s="155" t="s">
        <v>257</v>
      </c>
      <c r="O12" s="159"/>
      <c r="P12" s="156" t="s">
        <v>255</v>
      </c>
      <c r="Q12" s="540"/>
      <c r="R12" s="159"/>
      <c r="S12" s="159"/>
      <c r="T12" s="159"/>
      <c r="U12" s="159"/>
      <c r="V12" s="159"/>
      <c r="W12" s="159"/>
      <c r="X12" s="159"/>
      <c r="Y12" s="159"/>
      <c r="Z12" s="160"/>
      <c r="AA12" s="156" t="s">
        <v>255</v>
      </c>
      <c r="AB12" s="161">
        <f ca="1">OFFSET($P$12,0,AB$13)</f>
        <v>0</v>
      </c>
      <c r="AC12" s="162">
        <f t="shared" ref="AC12:AK12" ca="1" si="0">OFFSET($P$12,0,AC$13)</f>
        <v>0</v>
      </c>
      <c r="AD12" s="162">
        <f t="shared" ca="1" si="0"/>
        <v>0</v>
      </c>
      <c r="AE12" s="162">
        <f t="shared" ca="1" si="0"/>
        <v>0</v>
      </c>
      <c r="AF12" s="162">
        <f t="shared" ca="1" si="0"/>
        <v>0</v>
      </c>
      <c r="AG12" s="162">
        <f t="shared" ca="1" si="0"/>
        <v>0</v>
      </c>
      <c r="AH12" s="162">
        <f t="shared" ca="1" si="0"/>
        <v>0</v>
      </c>
      <c r="AI12" s="162">
        <f t="shared" ca="1" si="0"/>
        <v>0</v>
      </c>
      <c r="AJ12" s="162">
        <f t="shared" ca="1" si="0"/>
        <v>0</v>
      </c>
      <c r="AK12" s="163">
        <f t="shared" ca="1" si="0"/>
        <v>0</v>
      </c>
      <c r="AM12" s="161">
        <f ca="1">OFFSET($P$12,0,AM$13)</f>
        <v>0</v>
      </c>
      <c r="AN12" s="162">
        <f t="shared" ref="AN12:AV12" ca="1" si="1">OFFSET($P$12,0,AN$13)</f>
        <v>0</v>
      </c>
      <c r="AO12" s="162">
        <f t="shared" ca="1" si="1"/>
        <v>0</v>
      </c>
      <c r="AP12" s="162">
        <f t="shared" ca="1" si="1"/>
        <v>0</v>
      </c>
      <c r="AQ12" s="162">
        <f t="shared" ca="1" si="1"/>
        <v>0</v>
      </c>
      <c r="AR12" s="162">
        <f t="shared" ca="1" si="1"/>
        <v>0</v>
      </c>
      <c r="AS12" s="162">
        <f t="shared" ca="1" si="1"/>
        <v>0</v>
      </c>
      <c r="AT12" s="162">
        <f t="shared" ca="1" si="1"/>
        <v>0</v>
      </c>
      <c r="AU12" s="162">
        <f t="shared" ca="1" si="1"/>
        <v>0</v>
      </c>
      <c r="AV12" s="163">
        <f t="shared" ca="1" si="1"/>
        <v>0</v>
      </c>
      <c r="AX12" s="161">
        <f ca="1">OFFSET($P$12,0,AX$13)</f>
        <v>0</v>
      </c>
      <c r="AY12" s="162">
        <f t="shared" ref="AY12:BG12" ca="1" si="2">OFFSET($P$12,0,AY$13)</f>
        <v>0</v>
      </c>
      <c r="AZ12" s="162">
        <f t="shared" ca="1" si="2"/>
        <v>0</v>
      </c>
      <c r="BA12" s="162">
        <f t="shared" ca="1" si="2"/>
        <v>0</v>
      </c>
      <c r="BB12" s="162">
        <f t="shared" ca="1" si="2"/>
        <v>0</v>
      </c>
      <c r="BC12" s="162">
        <f t="shared" ca="1" si="2"/>
        <v>0</v>
      </c>
      <c r="BD12" s="162">
        <f t="shared" ca="1" si="2"/>
        <v>0</v>
      </c>
      <c r="BE12" s="162">
        <f t="shared" ca="1" si="2"/>
        <v>0</v>
      </c>
      <c r="BF12" s="162">
        <f t="shared" ca="1" si="2"/>
        <v>0</v>
      </c>
      <c r="BG12" s="163">
        <f t="shared" ca="1" si="2"/>
        <v>0</v>
      </c>
    </row>
    <row r="13" spans="1:59" ht="12.75" customHeight="1" x14ac:dyDescent="0.2">
      <c r="A13" s="82" t="s">
        <v>258</v>
      </c>
      <c r="B13" s="7" t="s">
        <v>254</v>
      </c>
      <c r="D13" s="106" t="s">
        <v>229</v>
      </c>
      <c r="E13" s="106" t="s">
        <v>231</v>
      </c>
      <c r="F13" s="106" t="s">
        <v>234</v>
      </c>
      <c r="G13" s="108" t="s">
        <v>235</v>
      </c>
      <c r="H13" s="106" t="s">
        <v>203</v>
      </c>
      <c r="I13" s="106" t="s">
        <v>259</v>
      </c>
      <c r="K13" s="106" t="s">
        <v>260</v>
      </c>
      <c r="L13" s="156"/>
      <c r="M13" s="106" t="s">
        <v>261</v>
      </c>
      <c r="N13" s="106" t="s">
        <v>262</v>
      </c>
      <c r="O13" s="164" t="e">
        <f ca="1">OFFSET(O13,0,-1)+1</f>
        <v>#VALUE!</v>
      </c>
      <c r="Q13" s="165">
        <f t="shared" ref="Q13:Z13" ca="1" si="3">OFFSET(Q13,0,-1)+1</f>
        <v>1</v>
      </c>
      <c r="R13" s="164">
        <f t="shared" ca="1" si="3"/>
        <v>2</v>
      </c>
      <c r="S13" s="164">
        <f t="shared" ca="1" si="3"/>
        <v>3</v>
      </c>
      <c r="T13" s="164">
        <f t="shared" ca="1" si="3"/>
        <v>4</v>
      </c>
      <c r="U13" s="164">
        <f t="shared" ca="1" si="3"/>
        <v>5</v>
      </c>
      <c r="V13" s="164">
        <f t="shared" ca="1" si="3"/>
        <v>6</v>
      </c>
      <c r="W13" s="164">
        <f t="shared" ca="1" si="3"/>
        <v>7</v>
      </c>
      <c r="X13" s="164">
        <f t="shared" ca="1" si="3"/>
        <v>8</v>
      </c>
      <c r="Y13" s="164">
        <f t="shared" ca="1" si="3"/>
        <v>9</v>
      </c>
      <c r="Z13" s="166">
        <f t="shared" ca="1" si="3"/>
        <v>10</v>
      </c>
      <c r="AB13" s="112">
        <f t="shared" ref="AB13:BG13" ca="1" si="4">OFFSET(AB13,0,-1)+1</f>
        <v>1</v>
      </c>
      <c r="AC13" s="167">
        <f t="shared" ca="1" si="4"/>
        <v>2</v>
      </c>
      <c r="AD13" s="167">
        <f t="shared" ca="1" si="4"/>
        <v>3</v>
      </c>
      <c r="AE13" s="167">
        <f t="shared" ca="1" si="4"/>
        <v>4</v>
      </c>
      <c r="AF13" s="167">
        <f t="shared" ca="1" si="4"/>
        <v>5</v>
      </c>
      <c r="AG13" s="167">
        <f t="shared" ca="1" si="4"/>
        <v>6</v>
      </c>
      <c r="AH13" s="167">
        <f t="shared" ca="1" si="4"/>
        <v>7</v>
      </c>
      <c r="AI13" s="167">
        <f t="shared" ca="1" si="4"/>
        <v>8</v>
      </c>
      <c r="AJ13" s="167">
        <f t="shared" ca="1" si="4"/>
        <v>9</v>
      </c>
      <c r="AK13" s="168">
        <f t="shared" ca="1" si="4"/>
        <v>10</v>
      </c>
      <c r="AM13" s="112">
        <f t="shared" ca="1" si="4"/>
        <v>1</v>
      </c>
      <c r="AN13" s="167">
        <f t="shared" ca="1" si="4"/>
        <v>2</v>
      </c>
      <c r="AO13" s="167">
        <f t="shared" ca="1" si="4"/>
        <v>3</v>
      </c>
      <c r="AP13" s="167">
        <f t="shared" ca="1" si="4"/>
        <v>4</v>
      </c>
      <c r="AQ13" s="167">
        <f t="shared" ca="1" si="4"/>
        <v>5</v>
      </c>
      <c r="AR13" s="167">
        <f t="shared" ca="1" si="4"/>
        <v>6</v>
      </c>
      <c r="AS13" s="167">
        <f t="shared" ca="1" si="4"/>
        <v>7</v>
      </c>
      <c r="AT13" s="167">
        <f t="shared" ca="1" si="4"/>
        <v>8</v>
      </c>
      <c r="AU13" s="167">
        <f t="shared" ca="1" si="4"/>
        <v>9</v>
      </c>
      <c r="AV13" s="168">
        <f t="shared" ca="1" si="4"/>
        <v>10</v>
      </c>
      <c r="AX13" s="112">
        <f t="shared" ca="1" si="4"/>
        <v>1</v>
      </c>
      <c r="AY13" s="167">
        <f t="shared" ca="1" si="4"/>
        <v>2</v>
      </c>
      <c r="AZ13" s="167">
        <f t="shared" ca="1" si="4"/>
        <v>3</v>
      </c>
      <c r="BA13" s="167">
        <f t="shared" ca="1" si="4"/>
        <v>4</v>
      </c>
      <c r="BB13" s="167">
        <f t="shared" ca="1" si="4"/>
        <v>5</v>
      </c>
      <c r="BC13" s="167">
        <f t="shared" ca="1" si="4"/>
        <v>6</v>
      </c>
      <c r="BD13" s="167">
        <f t="shared" ca="1" si="4"/>
        <v>7</v>
      </c>
      <c r="BE13" s="167">
        <f t="shared" ca="1" si="4"/>
        <v>8</v>
      </c>
      <c r="BF13" s="167">
        <f t="shared" ca="1" si="4"/>
        <v>9</v>
      </c>
      <c r="BG13" s="168">
        <f t="shared" ca="1" si="4"/>
        <v>10</v>
      </c>
    </row>
    <row r="14" spans="1:59" ht="12.75" hidden="1" x14ac:dyDescent="0.2">
      <c r="A14" s="7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7" t="str">
        <f ca="1">OFFSET(ORÇAMENTO!C$15,ROW(B14)-ROW(B$15),0)</f>
        <v>S</v>
      </c>
      <c r="C14" s="7" t="str">
        <f ca="1">OFFSET(ORÇAMENTO!L$15,ROW(C14)-ROW(C$15),0)</f>
        <v/>
      </c>
      <c r="D14" s="115" t="str">
        <f ca="1">OFFSET(ORÇAMENTO!N$15,ROW(D14)-ROW(D$15),0)</f>
        <v>Serviço</v>
      </c>
      <c r="E14" s="116" t="str">
        <f ca="1">OFFSET(ORÇAMENTO!O$15,ROW(E14)-ROW(E$15),0)</f>
        <v>-</v>
      </c>
      <c r="F14" s="169" t="str">
        <f ca="1">OFFSET(ORÇAMENTO!R$15,ROW(F14)-ROW(F$15),0)</f>
        <v>(abra o arquivo 'Referência 10-2024.xlsm)</v>
      </c>
      <c r="G14" s="170" t="str">
        <f ca="1">IF($D14&lt;&gt;"Serviço","",OFFSET(ORÇAMENTO!S$15,ROW(G14)-ROW(G$15),0))</f>
        <v>-</v>
      </c>
      <c r="H14" s="121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558"/>
      <c r="K14" s="171"/>
      <c r="L14" s="172" t="s">
        <v>255</v>
      </c>
      <c r="M14" s="173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174" t="e">
        <f ca="1">IF($D14&lt;&gt;"Serviço","",IF(AUTOEVENTO="Manual",IF($A14=0,"&lt;-- defina o número do agrupador",OFFSET(EVENTOS!$D$14,$A14,0)),OFFSET($F$15,$A14,0)))</f>
        <v>#VALUE!</v>
      </c>
      <c r="O14" s="175"/>
      <c r="Q14" s="175"/>
      <c r="R14" s="176"/>
      <c r="S14" s="176"/>
      <c r="T14" s="176"/>
      <c r="U14" s="176"/>
      <c r="V14" s="176"/>
      <c r="W14" s="176"/>
      <c r="X14" s="176"/>
      <c r="Y14" s="176"/>
      <c r="Z14" s="177"/>
      <c r="AB14" s="541">
        <f ca="1">IF(AND($D14="Serviço",AB$12&lt;&gt;0,$H14&gt;0,OR(AUTOEVENTO&lt;&gt;"manual",$M14&lt;&gt;1)),
IF(Import.TipoArredondamento&lt;&gt;"TransfereGOV",
ROUND(OFFSET($P14,0,AB$13),15-13*ORÇAMENTO!$AF$7)/$H14*OFFSET(ORÇAMENTO!$X$15,ROW(AB14)-ROW(AB$15),0),
ROUND(ROUND(OFFSET($P14,0,AB$13),15-13*ORÇAMENTO!$AF$7)*OFFSET(ORÇAMENTO!$W$15,ROW(AB14)-ROW(AB$15),0),15-13*ORÇAMENTO!$AF$11)),0)</f>
        <v>0</v>
      </c>
      <c r="AC14" s="542">
        <f ca="1">IF(AND($D14="Serviço",AC$12&lt;&gt;0,$H14&gt;0,OR(AUTOEVENTO&lt;&gt;"manual",$M14&lt;&gt;1)),
IF(Import.TipoArredondamento&lt;&gt;"TransfereGOV",
ROUND(OFFSET($P14,0,AC$13),15-13*ORÇAMENTO!$AF$7)/$H14*OFFSET(ORÇAMENTO!$X$15,ROW(AC14)-ROW(AC$15),0),
ROUND(ROUND(OFFSET($P14,0,AC$13),15-13*ORÇAMENTO!$AF$7)*OFFSET(ORÇAMENTO!$W$15,ROW(AC14)-ROW(AC$15),0),15-13*ORÇAMENTO!$AF$11)),0)</f>
        <v>0</v>
      </c>
      <c r="AD14" s="542">
        <f ca="1">IF(AND($D14="Serviço",AD$12&lt;&gt;0,$H14&gt;0,OR(AUTOEVENTO&lt;&gt;"manual",$M14&lt;&gt;1)),
IF(Import.TipoArredondamento&lt;&gt;"TransfereGOV",
ROUND(OFFSET($P14,0,AD$13),15-13*ORÇAMENTO!$AF$7)/$H14*OFFSET(ORÇAMENTO!$X$15,ROW(AD14)-ROW(AD$15),0),
ROUND(ROUND(OFFSET($P14,0,AD$13),15-13*ORÇAMENTO!$AF$7)*OFFSET(ORÇAMENTO!$W$15,ROW(AD14)-ROW(AD$15),0),15-13*ORÇAMENTO!$AF$11)),0)</f>
        <v>0</v>
      </c>
      <c r="AE14" s="542">
        <f ca="1">IF(AND($D14="Serviço",AE$12&lt;&gt;0,$H14&gt;0,OR(AUTOEVENTO&lt;&gt;"manual",$M14&lt;&gt;1)),
IF(Import.TipoArredondamento&lt;&gt;"TransfereGOV",
ROUND(OFFSET($P14,0,AE$13),15-13*ORÇAMENTO!$AF$7)/$H14*OFFSET(ORÇAMENTO!$X$15,ROW(AE14)-ROW(AE$15),0),
ROUND(ROUND(OFFSET($P14,0,AE$13),15-13*ORÇAMENTO!$AF$7)*OFFSET(ORÇAMENTO!$W$15,ROW(AE14)-ROW(AE$15),0),15-13*ORÇAMENTO!$AF$11)),0)</f>
        <v>0</v>
      </c>
      <c r="AF14" s="542">
        <f ca="1">IF(AND($D14="Serviço",AF$12&lt;&gt;0,$H14&gt;0,OR(AUTOEVENTO&lt;&gt;"manual",$M14&lt;&gt;1)),
IF(Import.TipoArredondamento&lt;&gt;"TransfereGOV",
ROUND(OFFSET($P14,0,AF$13),15-13*ORÇAMENTO!$AF$7)/$H14*OFFSET(ORÇAMENTO!$X$15,ROW(AF14)-ROW(AF$15),0),
ROUND(ROUND(OFFSET($P14,0,AF$13),15-13*ORÇAMENTO!$AF$7)*OFFSET(ORÇAMENTO!$W$15,ROW(AF14)-ROW(AF$15),0),15-13*ORÇAMENTO!$AF$11)),0)</f>
        <v>0</v>
      </c>
      <c r="AG14" s="542">
        <f ca="1">IF(AND($D14="Serviço",AG$12&lt;&gt;0,$H14&gt;0,OR(AUTOEVENTO&lt;&gt;"manual",$M14&lt;&gt;1)),
IF(Import.TipoArredondamento&lt;&gt;"TransfereGOV",
ROUND(OFFSET($P14,0,AG$13),15-13*ORÇAMENTO!$AF$7)/$H14*OFFSET(ORÇAMENTO!$X$15,ROW(AG14)-ROW(AG$15),0),
ROUND(ROUND(OFFSET($P14,0,AG$13),15-13*ORÇAMENTO!$AF$7)*OFFSET(ORÇAMENTO!$W$15,ROW(AG14)-ROW(AG$15),0),15-13*ORÇAMENTO!$AF$11)),0)</f>
        <v>0</v>
      </c>
      <c r="AH14" s="542">
        <f ca="1">IF(AND($D14="Serviço",AH$12&lt;&gt;0,$H14&gt;0,OR(AUTOEVENTO&lt;&gt;"manual",$M14&lt;&gt;1)),
IF(Import.TipoArredondamento&lt;&gt;"TransfereGOV",
ROUND(OFFSET($P14,0,AH$13),15-13*ORÇAMENTO!$AF$7)/$H14*OFFSET(ORÇAMENTO!$X$15,ROW(AH14)-ROW(AH$15),0),
ROUND(ROUND(OFFSET($P14,0,AH$13),15-13*ORÇAMENTO!$AF$7)*OFFSET(ORÇAMENTO!$W$15,ROW(AH14)-ROW(AH$15),0),15-13*ORÇAMENTO!$AF$11)),0)</f>
        <v>0</v>
      </c>
      <c r="AI14" s="542">
        <f ca="1">IF(AND($D14="Serviço",AI$12&lt;&gt;0,$H14&gt;0,OR(AUTOEVENTO&lt;&gt;"manual",$M14&lt;&gt;1)),
IF(Import.TipoArredondamento&lt;&gt;"TransfereGOV",
ROUND(OFFSET($P14,0,AI$13),15-13*ORÇAMENTO!$AF$7)/$H14*OFFSET(ORÇAMENTO!$X$15,ROW(AI14)-ROW(AI$15),0),
ROUND(ROUND(OFFSET($P14,0,AI$13),15-13*ORÇAMENTO!$AF$7)*OFFSET(ORÇAMENTO!$W$15,ROW(AI14)-ROW(AI$15),0),15-13*ORÇAMENTO!$AF$11)),0)</f>
        <v>0</v>
      </c>
      <c r="AJ14" s="542">
        <f ca="1">IF(AND($D14="Serviço",AJ$12&lt;&gt;0,$H14&gt;0,OR(AUTOEVENTO&lt;&gt;"manual",$M14&lt;&gt;1)),
IF(Import.TipoArredondamento&lt;&gt;"TransfereGOV",
ROUND(OFFSET($P14,0,AJ$13),15-13*ORÇAMENTO!$AF$7)/$H14*OFFSET(ORÇAMENTO!$X$15,ROW(AJ14)-ROW(AJ$15),0),
ROUND(ROUND(OFFSET($P14,0,AJ$13),15-13*ORÇAMENTO!$AF$7)*OFFSET(ORÇAMENTO!$W$15,ROW(AJ14)-ROW(AJ$15),0),15-13*ORÇAMENTO!$AF$11)),0)</f>
        <v>0</v>
      </c>
      <c r="AK14" s="543">
        <f ca="1">IF(AND($D14="Serviço",AK$12&lt;&gt;0,$H14&gt;0,OR(AUTOEVENTO&lt;&gt;"manual",$M14&lt;&gt;1)),
IF(Import.TipoArredondamento&lt;&gt;"TransfereGOV",
ROUND(OFFSET($P14,0,AK$13),15-13*ORÇAMENTO!$AF$7)/$H14*OFFSET(ORÇAMENTO!$X$15,ROW(AK14)-ROW(AK$15),0),
ROUND(ROUND(OFFSET($P14,0,AK$13),15-13*ORÇAMENTO!$AF$7)*OFFSET(ORÇAMENTO!$W$15,ROW(AK14)-ROW(AK$15),0),15-13*ORÇAMENTO!$AF$11)),0)</f>
        <v>0</v>
      </c>
      <c r="AM14" s="178" t="e">
        <f ca="1">IF($D14&lt;&gt;"Serviço",0,IF(AND(AUTOEVENTO="Manual",$M14=1),0,IF(OFFSET(CRONOPLE!$F$14,$M14,AM$13)="",10^12,OFFSET(CRONOPLE!$F$14,$M14,AM$13))))</f>
        <v>#VALUE!</v>
      </c>
      <c r="AN14" s="178" t="e">
        <f ca="1">IF($D14&lt;&gt;"Serviço",0,IF(AND(AUTOEVENTO="Manual",$M14=1),0,IF(OFFSET(CRONOPLE!$F$14,$M14,AN$13)="",10^12,OFFSET(CRONOPLE!$F$14,$M14,AN$13))))</f>
        <v>#VALUE!</v>
      </c>
      <c r="AO14" s="178" t="e">
        <f ca="1">IF($D14&lt;&gt;"Serviço",0,IF(AND(AUTOEVENTO="Manual",$M14=1),0,IF(OFFSET(CRONOPLE!$F$14,$M14,AO$13)="",10^12,OFFSET(CRONOPLE!$F$14,$M14,AO$13))))</f>
        <v>#VALUE!</v>
      </c>
      <c r="AP14" s="178" t="e">
        <f ca="1">IF($D14&lt;&gt;"Serviço",0,IF(AND(AUTOEVENTO="Manual",$M14=1),0,IF(OFFSET(CRONOPLE!$F$14,$M14,AP$13)="",10^12,OFFSET(CRONOPLE!$F$14,$M14,AP$13))))</f>
        <v>#VALUE!</v>
      </c>
      <c r="AQ14" s="178" t="e">
        <f ca="1">IF($D14&lt;&gt;"Serviço",0,IF(AND(AUTOEVENTO="Manual",$M14=1),0,IF(OFFSET(CRONOPLE!$F$14,$M14,AQ$13)="",10^12,OFFSET(CRONOPLE!$F$14,$M14,AQ$13))))</f>
        <v>#VALUE!</v>
      </c>
      <c r="AR14" s="178" t="e">
        <f ca="1">IF($D14&lt;&gt;"Serviço",0,IF(AND(AUTOEVENTO="Manual",$M14=1),0,IF(OFFSET(CRONOPLE!$F$14,$M14,AR$13)="",10^12,OFFSET(CRONOPLE!$F$14,$M14,AR$13))))</f>
        <v>#VALUE!</v>
      </c>
      <c r="AS14" s="178" t="e">
        <f ca="1">IF($D14&lt;&gt;"Serviço",0,IF(AND(AUTOEVENTO="Manual",$M14=1),0,IF(OFFSET(CRONOPLE!$F$14,$M14,AS$13)="",10^12,OFFSET(CRONOPLE!$F$14,$M14,AS$13))))</f>
        <v>#VALUE!</v>
      </c>
      <c r="AT14" s="178" t="e">
        <f ca="1">IF($D14&lt;&gt;"Serviço",0,IF(AND(AUTOEVENTO="Manual",$M14=1),0,IF(OFFSET(CRONOPLE!$F$14,$M14,AT$13)="",10^12,OFFSET(CRONOPLE!$F$14,$M14,AT$13))))</f>
        <v>#VALUE!</v>
      </c>
      <c r="AU14" s="178" t="e">
        <f ca="1">IF($D14&lt;&gt;"Serviço",0,IF(AND(AUTOEVENTO="Manual",$M14=1),0,IF(OFFSET(CRONOPLE!$F$14,$M14,AU$13)="",10^12,OFFSET(CRONOPLE!$F$14,$M14,AU$13))))</f>
        <v>#VALUE!</v>
      </c>
      <c r="AV14" s="178" t="e">
        <f ca="1">IF($D14&lt;&gt;"Serviço",0,IF(AND(AUTOEVENTO="Manual",$M14=1),0,IF(OFFSET(CRONOPLE!$F$14,$M14,AV$13)="",10^12,OFFSET(CRONOPLE!$F$14,$M14,AV$13))))</f>
        <v>#VALUE!</v>
      </c>
      <c r="AX14" s="179">
        <f ca="1">IF($D14&lt;&gt;"Serviço",0,IF(OR(AND(AUTOEVENTO="Manual",$M14=1),$M14&gt;(ROW(PLE.lastrow)-ROW(PLE.firstrow))),0,IF(OFFSET(PLE!$G$14,$M14,AX$13)="",10^12,OFFSET(PLE!$G$14,$M14,AX$13))))</f>
        <v>0</v>
      </c>
      <c r="AY14" s="179">
        <f ca="1">IF($D14&lt;&gt;"Serviço",0,IF(OR(AND(AUTOEVENTO="Manual",$M14=1),$M14&gt;(ROW(PLE.lastrow)-ROW(PLE.firstrow))),0,IF(OFFSET(PLE!$G$14,$M14,AY$13)="",10^12,OFFSET(PLE!$G$14,$M14,AY$13))))</f>
        <v>0</v>
      </c>
      <c r="AZ14" s="179">
        <f ca="1">IF($D14&lt;&gt;"Serviço",0,IF(OR(AND(AUTOEVENTO="Manual",$M14=1),$M14&gt;(ROW(PLE.lastrow)-ROW(PLE.firstrow))),0,IF(OFFSET(PLE!$G$14,$M14,AZ$13)="",10^12,OFFSET(PLE!$G$14,$M14,AZ$13))))</f>
        <v>0</v>
      </c>
      <c r="BA14" s="179">
        <f ca="1">IF($D14&lt;&gt;"Serviço",0,IF(OR(AND(AUTOEVENTO="Manual",$M14=1),$M14&gt;(ROW(PLE.lastrow)-ROW(PLE.firstrow))),0,IF(OFFSET(PLE!$G$14,$M14,BA$13)="",10^12,OFFSET(PLE!$G$14,$M14,BA$13))))</f>
        <v>0</v>
      </c>
      <c r="BB14" s="179">
        <f ca="1">IF($D14&lt;&gt;"Serviço",0,IF(OR(AND(AUTOEVENTO="Manual",$M14=1),$M14&gt;(ROW(PLE.lastrow)-ROW(PLE.firstrow))),0,IF(OFFSET(PLE!$G$14,$M14,BB$13)="",10^12,OFFSET(PLE!$G$14,$M14,BB$13))))</f>
        <v>0</v>
      </c>
      <c r="BC14" s="179">
        <f ca="1">IF($D14&lt;&gt;"Serviço",0,IF(OR(AND(AUTOEVENTO="Manual",$M14=1),$M14&gt;(ROW(PLE.lastrow)-ROW(PLE.firstrow))),0,IF(OFFSET(PLE!$G$14,$M14,BC$13)="",10^12,OFFSET(PLE!$G$14,$M14,BC$13))))</f>
        <v>0</v>
      </c>
      <c r="BD14" s="179">
        <f ca="1">IF($D14&lt;&gt;"Serviço",0,IF(OR(AND(AUTOEVENTO="Manual",$M14=1),$M14&gt;(ROW(PLE.lastrow)-ROW(PLE.firstrow))),0,IF(OFFSET(PLE!$G$14,$M14,BD$13)="",10^12,OFFSET(PLE!$G$14,$M14,BD$13))))</f>
        <v>0</v>
      </c>
      <c r="BE14" s="179">
        <f ca="1">IF($D14&lt;&gt;"Serviço",0,IF(OR(AND(AUTOEVENTO="Manual",$M14=1),$M14&gt;(ROW(PLE.lastrow)-ROW(PLE.firstrow))),0,IF(OFFSET(PLE!$G$14,$M14,BE$13)="",10^12,OFFSET(PLE!$G$14,$M14,BE$13))))</f>
        <v>0</v>
      </c>
      <c r="BF14" s="179">
        <f ca="1">IF($D14&lt;&gt;"Serviço",0,IF(OR(AND(AUTOEVENTO="Manual",$M14=1),$M14&gt;(ROW(PLE.lastrow)-ROW(PLE.firstrow))),0,IF(OFFSET(PLE!$G$14,$M14,BF$13)="",10^12,OFFSET(PLE!$G$14,$M14,BF$13))))</f>
        <v>0</v>
      </c>
      <c r="BG14" s="179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7" t="str">
        <f ca="1">OFFSET(ORÇAMENTO!C$15,ROW(B15)-ROW(B$15),0)</f>
        <v>L</v>
      </c>
      <c r="C15" s="7" t="str">
        <f ca="1">OFFSET(ORÇAMENTO!L$15,ROW(C15)-ROW(C$15),0)</f>
        <v>F</v>
      </c>
      <c r="D15" s="129" t="str">
        <f>IF(TIPOORCAMENTO="LICITADO","CTEF","LOTE")</f>
        <v>LOTE</v>
      </c>
      <c r="E15" s="626" t="str">
        <f>Import.DescLote</f>
        <v>IMPLANTAÇÃO DE VESTIÁRIOS</v>
      </c>
      <c r="F15" s="626"/>
      <c r="G15" s="626"/>
      <c r="H15" s="626"/>
      <c r="I15" s="559"/>
      <c r="K15" s="180"/>
      <c r="L15" s="172" t="s">
        <v>255</v>
      </c>
      <c r="M15" s="181">
        <f ca="1">IF(AUTOEVENTO="MANUAL",0,1)</f>
        <v>1</v>
      </c>
      <c r="N15" s="182" t="s">
        <v>263</v>
      </c>
      <c r="O15" s="183" t="e">
        <f ca="1">OFFSET($AA$15,0,O$13)</f>
        <v>#VALUE!</v>
      </c>
      <c r="Q15" s="184">
        <f t="shared" ref="Q15:Z15" ca="1" si="5">OFFSET($AA$15,0,Q$13)</f>
        <v>0</v>
      </c>
      <c r="R15" s="183">
        <f t="shared" ca="1" si="5"/>
        <v>0</v>
      </c>
      <c r="S15" s="183">
        <f t="shared" ca="1" si="5"/>
        <v>0</v>
      </c>
      <c r="T15" s="183">
        <f t="shared" ca="1" si="5"/>
        <v>0</v>
      </c>
      <c r="U15" s="183">
        <f t="shared" ca="1" si="5"/>
        <v>0</v>
      </c>
      <c r="V15" s="183">
        <f t="shared" ca="1" si="5"/>
        <v>0</v>
      </c>
      <c r="W15" s="183">
        <f t="shared" ca="1" si="5"/>
        <v>0</v>
      </c>
      <c r="X15" s="183">
        <f t="shared" ca="1" si="5"/>
        <v>0</v>
      </c>
      <c r="Y15" s="183">
        <f t="shared" ca="1" si="5"/>
        <v>0</v>
      </c>
      <c r="Z15" s="185">
        <f t="shared" ca="1" si="5"/>
        <v>0</v>
      </c>
      <c r="AB15" s="186">
        <f ca="1">ROUND(SUM(OFFSET(AB$15,1,0):AB$120),2)</f>
        <v>0</v>
      </c>
      <c r="AC15" s="186">
        <f ca="1">SUM(OFFSET(AC$15,1,0):AC$120)</f>
        <v>0</v>
      </c>
      <c r="AD15" s="186">
        <f ca="1">SUM(OFFSET(AD$15,1,0):AD$120)</f>
        <v>0</v>
      </c>
      <c r="AE15" s="186">
        <f ca="1">SUM(OFFSET(AE$15,1,0):AE$120)</f>
        <v>0</v>
      </c>
      <c r="AF15" s="186">
        <f ca="1">SUM(OFFSET(AF$15,1,0):AF$120)</f>
        <v>0</v>
      </c>
      <c r="AG15" s="186">
        <f ca="1">SUM(OFFSET(AG$15,1,0):AG$120)</f>
        <v>0</v>
      </c>
      <c r="AH15" s="186">
        <f ca="1">SUM(OFFSET(AH$15,1,0):AH$120)</f>
        <v>0</v>
      </c>
      <c r="AI15" s="186">
        <f ca="1">SUM(OFFSET(AI$15,1,0):AI$120)</f>
        <v>0</v>
      </c>
      <c r="AJ15" s="186">
        <f ca="1">SUM(OFFSET(AJ$15,1,0):AJ$120)</f>
        <v>0</v>
      </c>
      <c r="AK15" s="186">
        <f ca="1">SUM(OFFSET(AK$15,1,0):AK$120)</f>
        <v>0</v>
      </c>
      <c r="AM15" s="187">
        <f>10^12</f>
        <v>1000000000000</v>
      </c>
      <c r="AN15" s="187">
        <f t="shared" ref="AN15:AV15" si="6">10^12</f>
        <v>1000000000000</v>
      </c>
      <c r="AO15" s="187">
        <f t="shared" si="6"/>
        <v>1000000000000</v>
      </c>
      <c r="AP15" s="187">
        <f t="shared" si="6"/>
        <v>1000000000000</v>
      </c>
      <c r="AQ15" s="187">
        <f t="shared" si="6"/>
        <v>1000000000000</v>
      </c>
      <c r="AR15" s="187">
        <f t="shared" si="6"/>
        <v>1000000000000</v>
      </c>
      <c r="AS15" s="187">
        <f t="shared" si="6"/>
        <v>1000000000000</v>
      </c>
      <c r="AT15" s="187">
        <f t="shared" si="6"/>
        <v>1000000000000</v>
      </c>
      <c r="AU15" s="187">
        <f t="shared" si="6"/>
        <v>1000000000000</v>
      </c>
      <c r="AV15" s="187">
        <f t="shared" si="6"/>
        <v>1000000000000</v>
      </c>
      <c r="AX15" s="187">
        <f t="shared" ref="AX15:BG15" si="7">10^12</f>
        <v>1000000000000</v>
      </c>
      <c r="AY15" s="187">
        <f t="shared" si="7"/>
        <v>1000000000000</v>
      </c>
      <c r="AZ15" s="187">
        <f t="shared" si="7"/>
        <v>1000000000000</v>
      </c>
      <c r="BA15" s="187">
        <f t="shared" si="7"/>
        <v>1000000000000</v>
      </c>
      <c r="BB15" s="187">
        <f t="shared" si="7"/>
        <v>1000000000000</v>
      </c>
      <c r="BC15" s="187">
        <f t="shared" si="7"/>
        <v>1000000000000</v>
      </c>
      <c r="BD15" s="187">
        <f t="shared" si="7"/>
        <v>1000000000000</v>
      </c>
      <c r="BE15" s="187">
        <f t="shared" si="7"/>
        <v>1000000000000</v>
      </c>
      <c r="BF15" s="187">
        <f t="shared" si="7"/>
        <v>1000000000000</v>
      </c>
      <c r="BG15" s="187">
        <f t="shared" si="7"/>
        <v>1000000000000</v>
      </c>
    </row>
    <row r="16" spans="1:59" ht="12.75" x14ac:dyDescent="0.2">
      <c r="A16" s="7" t="str">
        <f t="shared" ref="A16:A91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7">
        <f ca="1">OFFSET(ORÇAMENTO!C$15,ROW(B16)-ROW(B$15),0)</f>
        <v>1</v>
      </c>
      <c r="C16" s="7" t="str">
        <f ca="1">OFFSET(ORÇAMENTO!L$15,ROW(C16)-ROW(C$15),0)</f>
        <v>F</v>
      </c>
      <c r="D16" s="115" t="str">
        <f ca="1">OFFSET(ORÇAMENTO!N$15,ROW(D16)-ROW(D$15),0)</f>
        <v>Meta</v>
      </c>
      <c r="E16" s="116" t="str">
        <f ca="1">OFFSET(ORÇAMENTO!O$15,ROW(E16)-ROW(E$15),0)</f>
        <v>1.</v>
      </c>
      <c r="F16" s="169" t="str">
        <f ca="1">OFFSET(ORÇAMENTO!R$15,ROW(F16)-ROW(F$15),0)</f>
        <v>IMPLANTAÇÃO DE VESTIÁRIOS CAMPO SANTA HELENA</v>
      </c>
      <c r="G16" s="170" t="str">
        <f ca="1">IF($D16&lt;&gt;"Serviço","",OFFSET(ORÇAMENTO!S$15,ROW(G16)-ROW(G$15),0))</f>
        <v/>
      </c>
      <c r="H16" s="121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558"/>
      <c r="K16" s="171"/>
      <c r="L16" s="172" t="s">
        <v>255</v>
      </c>
      <c r="M16" s="173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174" t="str">
        <f ca="1">IF($D16&lt;&gt;"Serviço","",IF(AUTOEVENTO="Manual",IF($A16=0,"&lt;-- defina o número do agrupador",OFFSET(EVENTOS!$D$14,$A16,0)),OFFSET($F$15,$A16,0)))</f>
        <v/>
      </c>
      <c r="O16" s="175"/>
      <c r="Q16" s="175"/>
      <c r="R16" s="176"/>
      <c r="S16" s="176"/>
      <c r="T16" s="176"/>
      <c r="U16" s="176"/>
      <c r="V16" s="176"/>
      <c r="W16" s="176"/>
      <c r="X16" s="176"/>
      <c r="Y16" s="176"/>
      <c r="Z16" s="177"/>
      <c r="AB16" s="541">
        <f ca="1">IF(AND($D16="Serviço",AB$12&lt;&gt;0,$H16&gt;0,OR(AUTOEVENTO&lt;&gt;"manual",$M16&lt;&gt;1)),
IF(Import.TipoArredondamento&lt;&gt;"TransfereGOV",
ROUND(OFFSET($P16,0,AB$13),15-13*ORÇAMENTO!$AF$7)/$H16*OFFSET(ORÇAMENTO!$X$15,ROW(AB16)-ROW(AB$15),0),
ROUND(ROUND(OFFSET($P16,0,AB$13),15-13*ORÇAMENTO!$AF$7)*OFFSET(ORÇAMENTO!$W$15,ROW(AB16)-ROW(AB$15),0),15-13*ORÇAMENTO!$AF$11)),0)</f>
        <v>0</v>
      </c>
      <c r="AC16" s="542">
        <f ca="1">IF(AND($D16="Serviço",AC$12&lt;&gt;0,$H16&gt;0,OR(AUTOEVENTO&lt;&gt;"manual",$M16&lt;&gt;1)),
IF(Import.TipoArredondamento&lt;&gt;"TransfereGOV",
ROUND(OFFSET($P16,0,AC$13),15-13*ORÇAMENTO!$AF$7)/$H16*OFFSET(ORÇAMENTO!$X$15,ROW(AC16)-ROW(AC$15),0),
ROUND(ROUND(OFFSET($P16,0,AC$13),15-13*ORÇAMENTO!$AF$7)*OFFSET(ORÇAMENTO!$W$15,ROW(AC16)-ROW(AC$15),0),15-13*ORÇAMENTO!$AF$11)),0)</f>
        <v>0</v>
      </c>
      <c r="AD16" s="542">
        <f ca="1">IF(AND($D16="Serviço",AD$12&lt;&gt;0,$H16&gt;0,OR(AUTOEVENTO&lt;&gt;"manual",$M16&lt;&gt;1)),
IF(Import.TipoArredondamento&lt;&gt;"TransfereGOV",
ROUND(OFFSET($P16,0,AD$13),15-13*ORÇAMENTO!$AF$7)/$H16*OFFSET(ORÇAMENTO!$X$15,ROW(AD16)-ROW(AD$15),0),
ROUND(ROUND(OFFSET($P16,0,AD$13),15-13*ORÇAMENTO!$AF$7)*OFFSET(ORÇAMENTO!$W$15,ROW(AD16)-ROW(AD$15),0),15-13*ORÇAMENTO!$AF$11)),0)</f>
        <v>0</v>
      </c>
      <c r="AE16" s="542">
        <f ca="1">IF(AND($D16="Serviço",AE$12&lt;&gt;0,$H16&gt;0,OR(AUTOEVENTO&lt;&gt;"manual",$M16&lt;&gt;1)),
IF(Import.TipoArredondamento&lt;&gt;"TransfereGOV",
ROUND(OFFSET($P16,0,AE$13),15-13*ORÇAMENTO!$AF$7)/$H16*OFFSET(ORÇAMENTO!$X$15,ROW(AE16)-ROW(AE$15),0),
ROUND(ROUND(OFFSET($P16,0,AE$13),15-13*ORÇAMENTO!$AF$7)*OFFSET(ORÇAMENTO!$W$15,ROW(AE16)-ROW(AE$15),0),15-13*ORÇAMENTO!$AF$11)),0)</f>
        <v>0</v>
      </c>
      <c r="AF16" s="542">
        <f ca="1">IF(AND($D16="Serviço",AF$12&lt;&gt;0,$H16&gt;0,OR(AUTOEVENTO&lt;&gt;"manual",$M16&lt;&gt;1)),
IF(Import.TipoArredondamento&lt;&gt;"TransfereGOV",
ROUND(OFFSET($P16,0,AF$13),15-13*ORÇAMENTO!$AF$7)/$H16*OFFSET(ORÇAMENTO!$X$15,ROW(AF16)-ROW(AF$15),0),
ROUND(ROUND(OFFSET($P16,0,AF$13),15-13*ORÇAMENTO!$AF$7)*OFFSET(ORÇAMENTO!$W$15,ROW(AF16)-ROW(AF$15),0),15-13*ORÇAMENTO!$AF$11)),0)</f>
        <v>0</v>
      </c>
      <c r="AG16" s="542">
        <f ca="1">IF(AND($D16="Serviço",AG$12&lt;&gt;0,$H16&gt;0,OR(AUTOEVENTO&lt;&gt;"manual",$M16&lt;&gt;1)),
IF(Import.TipoArredondamento&lt;&gt;"TransfereGOV",
ROUND(OFFSET($P16,0,AG$13),15-13*ORÇAMENTO!$AF$7)/$H16*OFFSET(ORÇAMENTO!$X$15,ROW(AG16)-ROW(AG$15),0),
ROUND(ROUND(OFFSET($P16,0,AG$13),15-13*ORÇAMENTO!$AF$7)*OFFSET(ORÇAMENTO!$W$15,ROW(AG16)-ROW(AG$15),0),15-13*ORÇAMENTO!$AF$11)),0)</f>
        <v>0</v>
      </c>
      <c r="AH16" s="542">
        <f ca="1">IF(AND($D16="Serviço",AH$12&lt;&gt;0,$H16&gt;0,OR(AUTOEVENTO&lt;&gt;"manual",$M16&lt;&gt;1)),
IF(Import.TipoArredondamento&lt;&gt;"TransfereGOV",
ROUND(OFFSET($P16,0,AH$13),15-13*ORÇAMENTO!$AF$7)/$H16*OFFSET(ORÇAMENTO!$X$15,ROW(AH16)-ROW(AH$15),0),
ROUND(ROUND(OFFSET($P16,0,AH$13),15-13*ORÇAMENTO!$AF$7)*OFFSET(ORÇAMENTO!$W$15,ROW(AH16)-ROW(AH$15),0),15-13*ORÇAMENTO!$AF$11)),0)</f>
        <v>0</v>
      </c>
      <c r="AI16" s="542">
        <f ca="1">IF(AND($D16="Serviço",AI$12&lt;&gt;0,$H16&gt;0,OR(AUTOEVENTO&lt;&gt;"manual",$M16&lt;&gt;1)),
IF(Import.TipoArredondamento&lt;&gt;"TransfereGOV",
ROUND(OFFSET($P16,0,AI$13),15-13*ORÇAMENTO!$AF$7)/$H16*OFFSET(ORÇAMENTO!$X$15,ROW(AI16)-ROW(AI$15),0),
ROUND(ROUND(OFFSET($P16,0,AI$13),15-13*ORÇAMENTO!$AF$7)*OFFSET(ORÇAMENTO!$W$15,ROW(AI16)-ROW(AI$15),0),15-13*ORÇAMENTO!$AF$11)),0)</f>
        <v>0</v>
      </c>
      <c r="AJ16" s="542">
        <f ca="1">IF(AND($D16="Serviço",AJ$12&lt;&gt;0,$H16&gt;0,OR(AUTOEVENTO&lt;&gt;"manual",$M16&lt;&gt;1)),
IF(Import.TipoArredondamento&lt;&gt;"TransfereGOV",
ROUND(OFFSET($P16,0,AJ$13),15-13*ORÇAMENTO!$AF$7)/$H16*OFFSET(ORÇAMENTO!$X$15,ROW(AJ16)-ROW(AJ$15),0),
ROUND(ROUND(OFFSET($P16,0,AJ$13),15-13*ORÇAMENTO!$AF$7)*OFFSET(ORÇAMENTO!$W$15,ROW(AJ16)-ROW(AJ$15),0),15-13*ORÇAMENTO!$AF$11)),0)</f>
        <v>0</v>
      </c>
      <c r="AK16" s="543">
        <f ca="1">IF(AND($D16="Serviço",AK$12&lt;&gt;0,$H16&gt;0,OR(AUTOEVENTO&lt;&gt;"manual",$M16&lt;&gt;1)),
IF(Import.TipoArredondamento&lt;&gt;"TransfereGOV",
ROUND(OFFSET($P16,0,AK$13),15-13*ORÇAMENTO!$AF$7)/$H16*OFFSET(ORÇAMENTO!$X$15,ROW(AK16)-ROW(AK$15),0),
ROUND(ROUND(OFFSET($P16,0,AK$13),15-13*ORÇAMENTO!$AF$7)*OFFSET(ORÇAMENTO!$W$15,ROW(AK16)-ROW(AK$15),0),15-13*ORÇAMENTO!$AF$11)),0)</f>
        <v>0</v>
      </c>
      <c r="AM16" s="178">
        <f ca="1">IF($D16&lt;&gt;"Serviço",0,IF(AND(AUTOEVENTO="Manual",$M16=1),0,IF(OFFSET(CRONOPLE!$F$14,$M16,AM$13)="",10^12,OFFSET(CRONOPLE!$F$14,$M16,AM$13))))</f>
        <v>0</v>
      </c>
      <c r="AN16" s="178">
        <f ca="1">IF($D16&lt;&gt;"Serviço",0,IF(AND(AUTOEVENTO="Manual",$M16=1),0,IF(OFFSET(CRONOPLE!$F$14,$M16,AN$13)="",10^12,OFFSET(CRONOPLE!$F$14,$M16,AN$13))))</f>
        <v>0</v>
      </c>
      <c r="AO16" s="178">
        <f ca="1">IF($D16&lt;&gt;"Serviço",0,IF(AND(AUTOEVENTO="Manual",$M16=1),0,IF(OFFSET(CRONOPLE!$F$14,$M16,AO$13)="",10^12,OFFSET(CRONOPLE!$F$14,$M16,AO$13))))</f>
        <v>0</v>
      </c>
      <c r="AP16" s="178">
        <f ca="1">IF($D16&lt;&gt;"Serviço",0,IF(AND(AUTOEVENTO="Manual",$M16=1),0,IF(OFFSET(CRONOPLE!$F$14,$M16,AP$13)="",10^12,OFFSET(CRONOPLE!$F$14,$M16,AP$13))))</f>
        <v>0</v>
      </c>
      <c r="AQ16" s="178">
        <f ca="1">IF($D16&lt;&gt;"Serviço",0,IF(AND(AUTOEVENTO="Manual",$M16=1),0,IF(OFFSET(CRONOPLE!$F$14,$M16,AQ$13)="",10^12,OFFSET(CRONOPLE!$F$14,$M16,AQ$13))))</f>
        <v>0</v>
      </c>
      <c r="AR16" s="178">
        <f ca="1">IF($D16&lt;&gt;"Serviço",0,IF(AND(AUTOEVENTO="Manual",$M16=1),0,IF(OFFSET(CRONOPLE!$F$14,$M16,AR$13)="",10^12,OFFSET(CRONOPLE!$F$14,$M16,AR$13))))</f>
        <v>0</v>
      </c>
      <c r="AS16" s="178">
        <f ca="1">IF($D16&lt;&gt;"Serviço",0,IF(AND(AUTOEVENTO="Manual",$M16=1),0,IF(OFFSET(CRONOPLE!$F$14,$M16,AS$13)="",10^12,OFFSET(CRONOPLE!$F$14,$M16,AS$13))))</f>
        <v>0</v>
      </c>
      <c r="AT16" s="178">
        <f ca="1">IF($D16&lt;&gt;"Serviço",0,IF(AND(AUTOEVENTO="Manual",$M16=1),0,IF(OFFSET(CRONOPLE!$F$14,$M16,AT$13)="",10^12,OFFSET(CRONOPLE!$F$14,$M16,AT$13))))</f>
        <v>0</v>
      </c>
      <c r="AU16" s="178">
        <f ca="1">IF($D16&lt;&gt;"Serviço",0,IF(AND(AUTOEVENTO="Manual",$M16=1),0,IF(OFFSET(CRONOPLE!$F$14,$M16,AU$13)="",10^12,OFFSET(CRONOPLE!$F$14,$M16,AU$13))))</f>
        <v>0</v>
      </c>
      <c r="AV16" s="178">
        <f ca="1">IF($D16&lt;&gt;"Serviço",0,IF(AND(AUTOEVENTO="Manual",$M16=1),0,IF(OFFSET(CRONOPLE!$F$14,$M16,AV$13)="",10^12,OFFSET(CRONOPLE!$F$14,$M16,AV$13))))</f>
        <v>0</v>
      </c>
      <c r="AX16" s="179">
        <f ca="1">IF($D16&lt;&gt;"Serviço",0,IF(OR(AND(AUTOEVENTO="Manual",$M16=1),$M16&gt;(ROW(PLE.lastrow)-ROW(PLE.firstrow))),0,IF(OFFSET(PLE!$G$14,$M16,AX$13)="",10^12,OFFSET(PLE!$G$14,$M16,AX$13))))</f>
        <v>0</v>
      </c>
      <c r="AY16" s="179">
        <f ca="1">IF($D16&lt;&gt;"Serviço",0,IF(OR(AND(AUTOEVENTO="Manual",$M16=1),$M16&gt;(ROW(PLE.lastrow)-ROW(PLE.firstrow))),0,IF(OFFSET(PLE!$G$14,$M16,AY$13)="",10^12,OFFSET(PLE!$G$14,$M16,AY$13))))</f>
        <v>0</v>
      </c>
      <c r="AZ16" s="179">
        <f ca="1">IF($D16&lt;&gt;"Serviço",0,IF(OR(AND(AUTOEVENTO="Manual",$M16=1),$M16&gt;(ROW(PLE.lastrow)-ROW(PLE.firstrow))),0,IF(OFFSET(PLE!$G$14,$M16,AZ$13)="",10^12,OFFSET(PLE!$G$14,$M16,AZ$13))))</f>
        <v>0</v>
      </c>
      <c r="BA16" s="179">
        <f ca="1">IF($D16&lt;&gt;"Serviço",0,IF(OR(AND(AUTOEVENTO="Manual",$M16=1),$M16&gt;(ROW(PLE.lastrow)-ROW(PLE.firstrow))),0,IF(OFFSET(PLE!$G$14,$M16,BA$13)="",10^12,OFFSET(PLE!$G$14,$M16,BA$13))))</f>
        <v>0</v>
      </c>
      <c r="BB16" s="179">
        <f ca="1">IF($D16&lt;&gt;"Serviço",0,IF(OR(AND(AUTOEVENTO="Manual",$M16=1),$M16&gt;(ROW(PLE.lastrow)-ROW(PLE.firstrow))),0,IF(OFFSET(PLE!$G$14,$M16,BB$13)="",10^12,OFFSET(PLE!$G$14,$M16,BB$13))))</f>
        <v>0</v>
      </c>
      <c r="BC16" s="179">
        <f ca="1">IF($D16&lt;&gt;"Serviço",0,IF(OR(AND(AUTOEVENTO="Manual",$M16=1),$M16&gt;(ROW(PLE.lastrow)-ROW(PLE.firstrow))),0,IF(OFFSET(PLE!$G$14,$M16,BC$13)="",10^12,OFFSET(PLE!$G$14,$M16,BC$13))))</f>
        <v>0</v>
      </c>
      <c r="BD16" s="179">
        <f ca="1">IF($D16&lt;&gt;"Serviço",0,IF(OR(AND(AUTOEVENTO="Manual",$M16=1),$M16&gt;(ROW(PLE.lastrow)-ROW(PLE.firstrow))),0,IF(OFFSET(PLE!$G$14,$M16,BD$13)="",10^12,OFFSET(PLE!$G$14,$M16,BD$13))))</f>
        <v>0</v>
      </c>
      <c r="BE16" s="179">
        <f ca="1">IF($D16&lt;&gt;"Serviço",0,IF(OR(AND(AUTOEVENTO="Manual",$M16=1),$M16&gt;(ROW(PLE.lastrow)-ROW(PLE.firstrow))),0,IF(OFFSET(PLE!$G$14,$M16,BE$13)="",10^12,OFFSET(PLE!$G$14,$M16,BE$13))))</f>
        <v>0</v>
      </c>
      <c r="BF16" s="179">
        <f ca="1">IF($D16&lt;&gt;"Serviço",0,IF(OR(AND(AUTOEVENTO="Manual",$M16=1),$M16&gt;(ROW(PLE.lastrow)-ROW(PLE.firstrow))),0,IF(OFFSET(PLE!$G$14,$M16,BF$13)="",10^12,OFFSET(PLE!$G$14,$M16,BF$13))))</f>
        <v>0</v>
      </c>
      <c r="BG16" s="179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7" t="str">
        <f t="shared" ca="1" si="8"/>
        <v>2.</v>
      </c>
      <c r="B17" s="7">
        <f ca="1">OFFSET(ORÇAMENTO!C$15,ROW(B17)-ROW(B$15),0)</f>
        <v>2</v>
      </c>
      <c r="C17" s="7" t="str">
        <f ca="1">OFFSET(ORÇAMENTO!L$15,ROW(C17)-ROW(C$15),0)</f>
        <v>F</v>
      </c>
      <c r="D17" s="115" t="str">
        <f ca="1">OFFSET(ORÇAMENTO!N$15,ROW(D17)-ROW(D$15),0)</f>
        <v>Nível 2</v>
      </c>
      <c r="E17" s="116" t="str">
        <f ca="1">OFFSET(ORÇAMENTO!O$15,ROW(E17)-ROW(E$15),0)</f>
        <v>1.1.</v>
      </c>
      <c r="F17" s="169" t="str">
        <f ca="1">OFFSET(ORÇAMENTO!R$15,ROW(F17)-ROW(F$15),0)</f>
        <v>ADMINISTRAÇÃO E CANTEIRO DE OBRAS</v>
      </c>
      <c r="G17" s="170" t="str">
        <f ca="1">IF($D17&lt;&gt;"Serviço","",OFFSET(ORÇAMENTO!S$15,ROW(G17)-ROW(G$15),0))</f>
        <v/>
      </c>
      <c r="H17" s="121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558"/>
      <c r="K17" s="171"/>
      <c r="L17" s="172" t="s">
        <v>255</v>
      </c>
      <c r="M17" s="173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174" t="str">
        <f ca="1">IF($D17&lt;&gt;"Serviço","",IF(AUTOEVENTO="Manual",IF($A17=0,"&lt;-- defina o número do agrupador",OFFSET(EVENTOS!$D$14,$A17,0)),OFFSET($F$15,$A17,0)))</f>
        <v/>
      </c>
      <c r="O17" s="175"/>
      <c r="Q17" s="175"/>
      <c r="R17" s="176"/>
      <c r="S17" s="176"/>
      <c r="T17" s="176"/>
      <c r="U17" s="176"/>
      <c r="V17" s="176"/>
      <c r="W17" s="176"/>
      <c r="X17" s="176"/>
      <c r="Y17" s="176"/>
      <c r="Z17" s="177"/>
      <c r="AB17" s="541">
        <f ca="1">IF(AND($D17="Serviço",AB$12&lt;&gt;0,$H17&gt;0,OR(AUTOEVENTO&lt;&gt;"manual",$M17&lt;&gt;1)),
IF(Import.TipoArredondamento&lt;&gt;"TransfereGOV",
ROUND(OFFSET($P17,0,AB$13),15-13*ORÇAMENTO!$AF$7)/$H17*OFFSET(ORÇAMENTO!$X$15,ROW(AB17)-ROW(AB$15),0),
ROUND(ROUND(OFFSET($P17,0,AB$13),15-13*ORÇAMENTO!$AF$7)*OFFSET(ORÇAMENTO!$W$15,ROW(AB17)-ROW(AB$15),0),15-13*ORÇAMENTO!$AF$11)),0)</f>
        <v>0</v>
      </c>
      <c r="AC17" s="542">
        <f ca="1">IF(AND($D17="Serviço",AC$12&lt;&gt;0,$H17&gt;0,OR(AUTOEVENTO&lt;&gt;"manual",$M17&lt;&gt;1)),
IF(Import.TipoArredondamento&lt;&gt;"TransfereGOV",
ROUND(OFFSET($P17,0,AC$13),15-13*ORÇAMENTO!$AF$7)/$H17*OFFSET(ORÇAMENTO!$X$15,ROW(AC17)-ROW(AC$15),0),
ROUND(ROUND(OFFSET($P17,0,AC$13),15-13*ORÇAMENTO!$AF$7)*OFFSET(ORÇAMENTO!$W$15,ROW(AC17)-ROW(AC$15),0),15-13*ORÇAMENTO!$AF$11)),0)</f>
        <v>0</v>
      </c>
      <c r="AD17" s="542">
        <f ca="1">IF(AND($D17="Serviço",AD$12&lt;&gt;0,$H17&gt;0,OR(AUTOEVENTO&lt;&gt;"manual",$M17&lt;&gt;1)),
IF(Import.TipoArredondamento&lt;&gt;"TransfereGOV",
ROUND(OFFSET($P17,0,AD$13),15-13*ORÇAMENTO!$AF$7)/$H17*OFFSET(ORÇAMENTO!$X$15,ROW(AD17)-ROW(AD$15),0),
ROUND(ROUND(OFFSET($P17,0,AD$13),15-13*ORÇAMENTO!$AF$7)*OFFSET(ORÇAMENTO!$W$15,ROW(AD17)-ROW(AD$15),0),15-13*ORÇAMENTO!$AF$11)),0)</f>
        <v>0</v>
      </c>
      <c r="AE17" s="542">
        <f ca="1">IF(AND($D17="Serviço",AE$12&lt;&gt;0,$H17&gt;0,OR(AUTOEVENTO&lt;&gt;"manual",$M17&lt;&gt;1)),
IF(Import.TipoArredondamento&lt;&gt;"TransfereGOV",
ROUND(OFFSET($P17,0,AE$13),15-13*ORÇAMENTO!$AF$7)/$H17*OFFSET(ORÇAMENTO!$X$15,ROW(AE17)-ROW(AE$15),0),
ROUND(ROUND(OFFSET($P17,0,AE$13),15-13*ORÇAMENTO!$AF$7)*OFFSET(ORÇAMENTO!$W$15,ROW(AE17)-ROW(AE$15),0),15-13*ORÇAMENTO!$AF$11)),0)</f>
        <v>0</v>
      </c>
      <c r="AF17" s="542">
        <f ca="1">IF(AND($D17="Serviço",AF$12&lt;&gt;0,$H17&gt;0,OR(AUTOEVENTO&lt;&gt;"manual",$M17&lt;&gt;1)),
IF(Import.TipoArredondamento&lt;&gt;"TransfereGOV",
ROUND(OFFSET($P17,0,AF$13),15-13*ORÇAMENTO!$AF$7)/$H17*OFFSET(ORÇAMENTO!$X$15,ROW(AF17)-ROW(AF$15),0),
ROUND(ROUND(OFFSET($P17,0,AF$13),15-13*ORÇAMENTO!$AF$7)*OFFSET(ORÇAMENTO!$W$15,ROW(AF17)-ROW(AF$15),0),15-13*ORÇAMENTO!$AF$11)),0)</f>
        <v>0</v>
      </c>
      <c r="AG17" s="542">
        <f ca="1">IF(AND($D17="Serviço",AG$12&lt;&gt;0,$H17&gt;0,OR(AUTOEVENTO&lt;&gt;"manual",$M17&lt;&gt;1)),
IF(Import.TipoArredondamento&lt;&gt;"TransfereGOV",
ROUND(OFFSET($P17,0,AG$13),15-13*ORÇAMENTO!$AF$7)/$H17*OFFSET(ORÇAMENTO!$X$15,ROW(AG17)-ROW(AG$15),0),
ROUND(ROUND(OFFSET($P17,0,AG$13),15-13*ORÇAMENTO!$AF$7)*OFFSET(ORÇAMENTO!$W$15,ROW(AG17)-ROW(AG$15),0),15-13*ORÇAMENTO!$AF$11)),0)</f>
        <v>0</v>
      </c>
      <c r="AH17" s="542">
        <f ca="1">IF(AND($D17="Serviço",AH$12&lt;&gt;0,$H17&gt;0,OR(AUTOEVENTO&lt;&gt;"manual",$M17&lt;&gt;1)),
IF(Import.TipoArredondamento&lt;&gt;"TransfereGOV",
ROUND(OFFSET($P17,0,AH$13),15-13*ORÇAMENTO!$AF$7)/$H17*OFFSET(ORÇAMENTO!$X$15,ROW(AH17)-ROW(AH$15),0),
ROUND(ROUND(OFFSET($P17,0,AH$13),15-13*ORÇAMENTO!$AF$7)*OFFSET(ORÇAMENTO!$W$15,ROW(AH17)-ROW(AH$15),0),15-13*ORÇAMENTO!$AF$11)),0)</f>
        <v>0</v>
      </c>
      <c r="AI17" s="542">
        <f ca="1">IF(AND($D17="Serviço",AI$12&lt;&gt;0,$H17&gt;0,OR(AUTOEVENTO&lt;&gt;"manual",$M17&lt;&gt;1)),
IF(Import.TipoArredondamento&lt;&gt;"TransfereGOV",
ROUND(OFFSET($P17,0,AI$13),15-13*ORÇAMENTO!$AF$7)/$H17*OFFSET(ORÇAMENTO!$X$15,ROW(AI17)-ROW(AI$15),0),
ROUND(ROUND(OFFSET($P17,0,AI$13),15-13*ORÇAMENTO!$AF$7)*OFFSET(ORÇAMENTO!$W$15,ROW(AI17)-ROW(AI$15),0),15-13*ORÇAMENTO!$AF$11)),0)</f>
        <v>0</v>
      </c>
      <c r="AJ17" s="542">
        <f ca="1">IF(AND($D17="Serviço",AJ$12&lt;&gt;0,$H17&gt;0,OR(AUTOEVENTO&lt;&gt;"manual",$M17&lt;&gt;1)),
IF(Import.TipoArredondamento&lt;&gt;"TransfereGOV",
ROUND(OFFSET($P17,0,AJ$13),15-13*ORÇAMENTO!$AF$7)/$H17*OFFSET(ORÇAMENTO!$X$15,ROW(AJ17)-ROW(AJ$15),0),
ROUND(ROUND(OFFSET($P17,0,AJ$13),15-13*ORÇAMENTO!$AF$7)*OFFSET(ORÇAMENTO!$W$15,ROW(AJ17)-ROW(AJ$15),0),15-13*ORÇAMENTO!$AF$11)),0)</f>
        <v>0</v>
      </c>
      <c r="AK17" s="543">
        <f ca="1">IF(AND($D17="Serviço",AK$12&lt;&gt;0,$H17&gt;0,OR(AUTOEVENTO&lt;&gt;"manual",$M17&lt;&gt;1)),
IF(Import.TipoArredondamento&lt;&gt;"TransfereGOV",
ROUND(OFFSET($P17,0,AK$13),15-13*ORÇAMENTO!$AF$7)/$H17*OFFSET(ORÇAMENTO!$X$15,ROW(AK17)-ROW(AK$15),0),
ROUND(ROUND(OFFSET($P17,0,AK$13),15-13*ORÇAMENTO!$AF$7)*OFFSET(ORÇAMENTO!$W$15,ROW(AK17)-ROW(AK$15),0),15-13*ORÇAMENTO!$AF$11)),0)</f>
        <v>0</v>
      </c>
      <c r="AM17" s="178">
        <f ca="1">IF($D17&lt;&gt;"Serviço",0,IF(AND(AUTOEVENTO="Manual",$M17=1),0,IF(OFFSET(CRONOPLE!$F$14,$M17,AM$13)="",10^12,OFFSET(CRONOPLE!$F$14,$M17,AM$13))))</f>
        <v>0</v>
      </c>
      <c r="AN17" s="178">
        <f ca="1">IF($D17&lt;&gt;"Serviço",0,IF(AND(AUTOEVENTO="Manual",$M17=1),0,IF(OFFSET(CRONOPLE!$F$14,$M17,AN$13)="",10^12,OFFSET(CRONOPLE!$F$14,$M17,AN$13))))</f>
        <v>0</v>
      </c>
      <c r="AO17" s="178">
        <f ca="1">IF($D17&lt;&gt;"Serviço",0,IF(AND(AUTOEVENTO="Manual",$M17=1),0,IF(OFFSET(CRONOPLE!$F$14,$M17,AO$13)="",10^12,OFFSET(CRONOPLE!$F$14,$M17,AO$13))))</f>
        <v>0</v>
      </c>
      <c r="AP17" s="178">
        <f ca="1">IF($D17&lt;&gt;"Serviço",0,IF(AND(AUTOEVENTO="Manual",$M17=1),0,IF(OFFSET(CRONOPLE!$F$14,$M17,AP$13)="",10^12,OFFSET(CRONOPLE!$F$14,$M17,AP$13))))</f>
        <v>0</v>
      </c>
      <c r="AQ17" s="178">
        <f ca="1">IF($D17&lt;&gt;"Serviço",0,IF(AND(AUTOEVENTO="Manual",$M17=1),0,IF(OFFSET(CRONOPLE!$F$14,$M17,AQ$13)="",10^12,OFFSET(CRONOPLE!$F$14,$M17,AQ$13))))</f>
        <v>0</v>
      </c>
      <c r="AR17" s="178">
        <f ca="1">IF($D17&lt;&gt;"Serviço",0,IF(AND(AUTOEVENTO="Manual",$M17=1),0,IF(OFFSET(CRONOPLE!$F$14,$M17,AR$13)="",10^12,OFFSET(CRONOPLE!$F$14,$M17,AR$13))))</f>
        <v>0</v>
      </c>
      <c r="AS17" s="178">
        <f ca="1">IF($D17&lt;&gt;"Serviço",0,IF(AND(AUTOEVENTO="Manual",$M17=1),0,IF(OFFSET(CRONOPLE!$F$14,$M17,AS$13)="",10^12,OFFSET(CRONOPLE!$F$14,$M17,AS$13))))</f>
        <v>0</v>
      </c>
      <c r="AT17" s="178">
        <f ca="1">IF($D17&lt;&gt;"Serviço",0,IF(AND(AUTOEVENTO="Manual",$M17=1),0,IF(OFFSET(CRONOPLE!$F$14,$M17,AT$13)="",10^12,OFFSET(CRONOPLE!$F$14,$M17,AT$13))))</f>
        <v>0</v>
      </c>
      <c r="AU17" s="178">
        <f ca="1">IF($D17&lt;&gt;"Serviço",0,IF(AND(AUTOEVENTO="Manual",$M17=1),0,IF(OFFSET(CRONOPLE!$F$14,$M17,AU$13)="",10^12,OFFSET(CRONOPLE!$F$14,$M17,AU$13))))</f>
        <v>0</v>
      </c>
      <c r="AV17" s="178">
        <f ca="1">IF($D17&lt;&gt;"Serviço",0,IF(AND(AUTOEVENTO="Manual",$M17=1),0,IF(OFFSET(CRONOPLE!$F$14,$M17,AV$13)="",10^12,OFFSET(CRONOPLE!$F$14,$M17,AV$13))))</f>
        <v>0</v>
      </c>
      <c r="AX17" s="179">
        <f ca="1">IF($D17&lt;&gt;"Serviço",0,IF(OR(AND(AUTOEVENTO="Manual",$M17=1),$M17&gt;(ROW(PLE.lastrow)-ROW(PLE.firstrow))),0,IF(OFFSET(PLE!$G$14,$M17,AX$13)="",10^12,OFFSET(PLE!$G$14,$M17,AX$13))))</f>
        <v>0</v>
      </c>
      <c r="AY17" s="179">
        <f ca="1">IF($D17&lt;&gt;"Serviço",0,IF(OR(AND(AUTOEVENTO="Manual",$M17=1),$M17&gt;(ROW(PLE.lastrow)-ROW(PLE.firstrow))),0,IF(OFFSET(PLE!$G$14,$M17,AY$13)="",10^12,OFFSET(PLE!$G$14,$M17,AY$13))))</f>
        <v>0</v>
      </c>
      <c r="AZ17" s="179">
        <f ca="1">IF($D17&lt;&gt;"Serviço",0,IF(OR(AND(AUTOEVENTO="Manual",$M17=1),$M17&gt;(ROW(PLE.lastrow)-ROW(PLE.firstrow))),0,IF(OFFSET(PLE!$G$14,$M17,AZ$13)="",10^12,OFFSET(PLE!$G$14,$M17,AZ$13))))</f>
        <v>0</v>
      </c>
      <c r="BA17" s="179">
        <f ca="1">IF($D17&lt;&gt;"Serviço",0,IF(OR(AND(AUTOEVENTO="Manual",$M17=1),$M17&gt;(ROW(PLE.lastrow)-ROW(PLE.firstrow))),0,IF(OFFSET(PLE!$G$14,$M17,BA$13)="",10^12,OFFSET(PLE!$G$14,$M17,BA$13))))</f>
        <v>0</v>
      </c>
      <c r="BB17" s="179">
        <f ca="1">IF($D17&lt;&gt;"Serviço",0,IF(OR(AND(AUTOEVENTO="Manual",$M17=1),$M17&gt;(ROW(PLE.lastrow)-ROW(PLE.firstrow))),0,IF(OFFSET(PLE!$G$14,$M17,BB$13)="",10^12,OFFSET(PLE!$G$14,$M17,BB$13))))</f>
        <v>0</v>
      </c>
      <c r="BC17" s="179">
        <f ca="1">IF($D17&lt;&gt;"Serviço",0,IF(OR(AND(AUTOEVENTO="Manual",$M17=1),$M17&gt;(ROW(PLE.lastrow)-ROW(PLE.firstrow))),0,IF(OFFSET(PLE!$G$14,$M17,BC$13)="",10^12,OFFSET(PLE!$G$14,$M17,BC$13))))</f>
        <v>0</v>
      </c>
      <c r="BD17" s="179">
        <f ca="1">IF($D17&lt;&gt;"Serviço",0,IF(OR(AND(AUTOEVENTO="Manual",$M17=1),$M17&gt;(ROW(PLE.lastrow)-ROW(PLE.firstrow))),0,IF(OFFSET(PLE!$G$14,$M17,BD$13)="",10^12,OFFSET(PLE!$G$14,$M17,BD$13))))</f>
        <v>0</v>
      </c>
      <c r="BE17" s="179">
        <f ca="1">IF($D17&lt;&gt;"Serviço",0,IF(OR(AND(AUTOEVENTO="Manual",$M17=1),$M17&gt;(ROW(PLE.lastrow)-ROW(PLE.firstrow))),0,IF(OFFSET(PLE!$G$14,$M17,BE$13)="",10^12,OFFSET(PLE!$G$14,$M17,BE$13))))</f>
        <v>0</v>
      </c>
      <c r="BF17" s="179">
        <f ca="1">IF($D17&lt;&gt;"Serviço",0,IF(OR(AND(AUTOEVENTO="Manual",$M17=1),$M17&gt;(ROW(PLE.lastrow)-ROW(PLE.firstrow))),0,IF(OFFSET(PLE!$G$14,$M17,BF$13)="",10^12,OFFSET(PLE!$G$14,$M17,BF$13))))</f>
        <v>0</v>
      </c>
      <c r="BG17" s="179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7" t="str">
        <f t="shared" ca="1" si="8"/>
        <v>2</v>
      </c>
      <c r="B18" s="7" t="str">
        <f ca="1">OFFSET(ORÇAMENTO!C$15,ROW(B18)-ROW(B$15),0)</f>
        <v>S</v>
      </c>
      <c r="C18" s="7" t="str">
        <f ca="1">OFFSET(ORÇAMENTO!L$15,ROW(C18)-ROW(C$15),0)</f>
        <v/>
      </c>
      <c r="D18" s="115" t="str">
        <f ca="1">OFFSET(ORÇAMENTO!N$15,ROW(D18)-ROW(D$15),0)</f>
        <v>Serviço</v>
      </c>
      <c r="E18" s="116" t="str">
        <f ca="1">OFFSET(ORÇAMENTO!O$15,ROW(E18)-ROW(E$15),0)</f>
        <v>-</v>
      </c>
      <c r="F18" s="169" t="str">
        <f ca="1">OFFSET(ORÇAMENTO!R$15,ROW(F18)-ROW(F$15),0)</f>
        <v>(abra o arquivo 'Referência 10-2024.xlsm)</v>
      </c>
      <c r="G18" s="170" t="str">
        <f ca="1">IF($D18&lt;&gt;"Serviço","",OFFSET(ORÇAMENTO!S$15,ROW(G18)-ROW(G$15),0))</f>
        <v>-</v>
      </c>
      <c r="H18" s="121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558" t="s">
        <v>550</v>
      </c>
      <c r="K18" s="171"/>
      <c r="L18" s="172" t="s">
        <v>255</v>
      </c>
      <c r="M18" s="173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174" t="str">
        <f ca="1">IF($D18&lt;&gt;"Serviço","",IF(AUTOEVENTO="Manual",IF($A18=0,"&lt;-- defina o número do agrupador",OFFSET(EVENTOS!$D$14,$A18,0)),OFFSET($F$15,$A18,0)))</f>
        <v>ADMINISTRAÇÃO E CANTEIRO DE OBRAS</v>
      </c>
      <c r="O18" s="175"/>
      <c r="Q18" s="175"/>
      <c r="R18" s="176"/>
      <c r="S18" s="176"/>
      <c r="T18" s="176"/>
      <c r="U18" s="176"/>
      <c r="V18" s="176"/>
      <c r="W18" s="176"/>
      <c r="X18" s="176"/>
      <c r="Y18" s="176"/>
      <c r="Z18" s="177"/>
      <c r="AB18" s="541">
        <f ca="1">IF(AND($D18="Serviço",AB$12&lt;&gt;0,$H18&gt;0,OR(AUTOEVENTO&lt;&gt;"manual",$M18&lt;&gt;1)),
IF(Import.TipoArredondamento&lt;&gt;"TransfereGOV",
ROUND(OFFSET($P18,0,AB$13),15-13*ORÇAMENTO!$AF$7)/$H18*OFFSET(ORÇAMENTO!$X$15,ROW(AB18)-ROW(AB$15),0),
ROUND(ROUND(OFFSET($P18,0,AB$13),15-13*ORÇAMENTO!$AF$7)*OFFSET(ORÇAMENTO!$W$15,ROW(AB18)-ROW(AB$15),0),15-13*ORÇAMENTO!$AF$11)),0)</f>
        <v>0</v>
      </c>
      <c r="AC18" s="542">
        <f ca="1">IF(AND($D18="Serviço",AC$12&lt;&gt;0,$H18&gt;0,OR(AUTOEVENTO&lt;&gt;"manual",$M18&lt;&gt;1)),
IF(Import.TipoArredondamento&lt;&gt;"TransfereGOV",
ROUND(OFFSET($P18,0,AC$13),15-13*ORÇAMENTO!$AF$7)/$H18*OFFSET(ORÇAMENTO!$X$15,ROW(AC18)-ROW(AC$15),0),
ROUND(ROUND(OFFSET($P18,0,AC$13),15-13*ORÇAMENTO!$AF$7)*OFFSET(ORÇAMENTO!$W$15,ROW(AC18)-ROW(AC$15),0),15-13*ORÇAMENTO!$AF$11)),0)</f>
        <v>0</v>
      </c>
      <c r="AD18" s="542">
        <f ca="1">IF(AND($D18="Serviço",AD$12&lt;&gt;0,$H18&gt;0,OR(AUTOEVENTO&lt;&gt;"manual",$M18&lt;&gt;1)),
IF(Import.TipoArredondamento&lt;&gt;"TransfereGOV",
ROUND(OFFSET($P18,0,AD$13),15-13*ORÇAMENTO!$AF$7)/$H18*OFFSET(ORÇAMENTO!$X$15,ROW(AD18)-ROW(AD$15),0),
ROUND(ROUND(OFFSET($P18,0,AD$13),15-13*ORÇAMENTO!$AF$7)*OFFSET(ORÇAMENTO!$W$15,ROW(AD18)-ROW(AD$15),0),15-13*ORÇAMENTO!$AF$11)),0)</f>
        <v>0</v>
      </c>
      <c r="AE18" s="542">
        <f ca="1">IF(AND($D18="Serviço",AE$12&lt;&gt;0,$H18&gt;0,OR(AUTOEVENTO&lt;&gt;"manual",$M18&lt;&gt;1)),
IF(Import.TipoArredondamento&lt;&gt;"TransfereGOV",
ROUND(OFFSET($P18,0,AE$13),15-13*ORÇAMENTO!$AF$7)/$H18*OFFSET(ORÇAMENTO!$X$15,ROW(AE18)-ROW(AE$15),0),
ROUND(ROUND(OFFSET($P18,0,AE$13),15-13*ORÇAMENTO!$AF$7)*OFFSET(ORÇAMENTO!$W$15,ROW(AE18)-ROW(AE$15),0),15-13*ORÇAMENTO!$AF$11)),0)</f>
        <v>0</v>
      </c>
      <c r="AF18" s="542">
        <f ca="1">IF(AND($D18="Serviço",AF$12&lt;&gt;0,$H18&gt;0,OR(AUTOEVENTO&lt;&gt;"manual",$M18&lt;&gt;1)),
IF(Import.TipoArredondamento&lt;&gt;"TransfereGOV",
ROUND(OFFSET($P18,0,AF$13),15-13*ORÇAMENTO!$AF$7)/$H18*OFFSET(ORÇAMENTO!$X$15,ROW(AF18)-ROW(AF$15),0),
ROUND(ROUND(OFFSET($P18,0,AF$13),15-13*ORÇAMENTO!$AF$7)*OFFSET(ORÇAMENTO!$W$15,ROW(AF18)-ROW(AF$15),0),15-13*ORÇAMENTO!$AF$11)),0)</f>
        <v>0</v>
      </c>
      <c r="AG18" s="542">
        <f ca="1">IF(AND($D18="Serviço",AG$12&lt;&gt;0,$H18&gt;0,OR(AUTOEVENTO&lt;&gt;"manual",$M18&lt;&gt;1)),
IF(Import.TipoArredondamento&lt;&gt;"TransfereGOV",
ROUND(OFFSET($P18,0,AG$13),15-13*ORÇAMENTO!$AF$7)/$H18*OFFSET(ORÇAMENTO!$X$15,ROW(AG18)-ROW(AG$15),0),
ROUND(ROUND(OFFSET($P18,0,AG$13),15-13*ORÇAMENTO!$AF$7)*OFFSET(ORÇAMENTO!$W$15,ROW(AG18)-ROW(AG$15),0),15-13*ORÇAMENTO!$AF$11)),0)</f>
        <v>0</v>
      </c>
      <c r="AH18" s="542">
        <f ca="1">IF(AND($D18="Serviço",AH$12&lt;&gt;0,$H18&gt;0,OR(AUTOEVENTO&lt;&gt;"manual",$M18&lt;&gt;1)),
IF(Import.TipoArredondamento&lt;&gt;"TransfereGOV",
ROUND(OFFSET($P18,0,AH$13),15-13*ORÇAMENTO!$AF$7)/$H18*OFFSET(ORÇAMENTO!$X$15,ROW(AH18)-ROW(AH$15),0),
ROUND(ROUND(OFFSET($P18,0,AH$13),15-13*ORÇAMENTO!$AF$7)*OFFSET(ORÇAMENTO!$W$15,ROW(AH18)-ROW(AH$15),0),15-13*ORÇAMENTO!$AF$11)),0)</f>
        <v>0</v>
      </c>
      <c r="AI18" s="542">
        <f ca="1">IF(AND($D18="Serviço",AI$12&lt;&gt;0,$H18&gt;0,OR(AUTOEVENTO&lt;&gt;"manual",$M18&lt;&gt;1)),
IF(Import.TipoArredondamento&lt;&gt;"TransfereGOV",
ROUND(OFFSET($P18,0,AI$13),15-13*ORÇAMENTO!$AF$7)/$H18*OFFSET(ORÇAMENTO!$X$15,ROW(AI18)-ROW(AI$15),0),
ROUND(ROUND(OFFSET($P18,0,AI$13),15-13*ORÇAMENTO!$AF$7)*OFFSET(ORÇAMENTO!$W$15,ROW(AI18)-ROW(AI$15),0),15-13*ORÇAMENTO!$AF$11)),0)</f>
        <v>0</v>
      </c>
      <c r="AJ18" s="542">
        <f ca="1">IF(AND($D18="Serviço",AJ$12&lt;&gt;0,$H18&gt;0,OR(AUTOEVENTO&lt;&gt;"manual",$M18&lt;&gt;1)),
IF(Import.TipoArredondamento&lt;&gt;"TransfereGOV",
ROUND(OFFSET($P18,0,AJ$13),15-13*ORÇAMENTO!$AF$7)/$H18*OFFSET(ORÇAMENTO!$X$15,ROW(AJ18)-ROW(AJ$15),0),
ROUND(ROUND(OFFSET($P18,0,AJ$13),15-13*ORÇAMENTO!$AF$7)*OFFSET(ORÇAMENTO!$W$15,ROW(AJ18)-ROW(AJ$15),0),15-13*ORÇAMENTO!$AF$11)),0)</f>
        <v>0</v>
      </c>
      <c r="AK18" s="543">
        <f ca="1">IF(AND($D18="Serviço",AK$12&lt;&gt;0,$H18&gt;0,OR(AUTOEVENTO&lt;&gt;"manual",$M18&lt;&gt;1)),
IF(Import.TipoArredondamento&lt;&gt;"TransfereGOV",
ROUND(OFFSET($P18,0,AK$13),15-13*ORÇAMENTO!$AF$7)/$H18*OFFSET(ORÇAMENTO!$X$15,ROW(AK18)-ROW(AK$15),0),
ROUND(ROUND(OFFSET($P18,0,AK$13),15-13*ORÇAMENTO!$AF$7)*OFFSET(ORÇAMENTO!$W$15,ROW(AK18)-ROW(AK$15),0),15-13*ORÇAMENTO!$AF$11)),0)</f>
        <v>0</v>
      </c>
      <c r="AM18" s="178">
        <f ca="1">IF($D18&lt;&gt;"Serviço",0,IF(AND(AUTOEVENTO="Manual",$M18=1),0,IF(OFFSET(CRONOPLE!$F$14,$M18,AM$13)="",10^12,OFFSET(CRONOPLE!$F$14,$M18,AM$13))))</f>
        <v>1000000000000</v>
      </c>
      <c r="AN18" s="178">
        <f ca="1">IF($D18&lt;&gt;"Serviço",0,IF(AND(AUTOEVENTO="Manual",$M18=1),0,IF(OFFSET(CRONOPLE!$F$14,$M18,AN$13)="",10^12,OFFSET(CRONOPLE!$F$14,$M18,AN$13))))</f>
        <v>1000000000000</v>
      </c>
      <c r="AO18" s="178">
        <f ca="1">IF($D18&lt;&gt;"Serviço",0,IF(AND(AUTOEVENTO="Manual",$M18=1),0,IF(OFFSET(CRONOPLE!$F$14,$M18,AO$13)="",10^12,OFFSET(CRONOPLE!$F$14,$M18,AO$13))))</f>
        <v>1000000000000</v>
      </c>
      <c r="AP18" s="178">
        <f ca="1">IF($D18&lt;&gt;"Serviço",0,IF(AND(AUTOEVENTO="Manual",$M18=1),0,IF(OFFSET(CRONOPLE!$F$14,$M18,AP$13)="",10^12,OFFSET(CRONOPLE!$F$14,$M18,AP$13))))</f>
        <v>1000000000000</v>
      </c>
      <c r="AQ18" s="178">
        <f ca="1">IF($D18&lt;&gt;"Serviço",0,IF(AND(AUTOEVENTO="Manual",$M18=1),0,IF(OFFSET(CRONOPLE!$F$14,$M18,AQ$13)="",10^12,OFFSET(CRONOPLE!$F$14,$M18,AQ$13))))</f>
        <v>1000000000000</v>
      </c>
      <c r="AR18" s="178">
        <f ca="1">IF($D18&lt;&gt;"Serviço",0,IF(AND(AUTOEVENTO="Manual",$M18=1),0,IF(OFFSET(CRONOPLE!$F$14,$M18,AR$13)="",10^12,OFFSET(CRONOPLE!$F$14,$M18,AR$13))))</f>
        <v>1000000000000</v>
      </c>
      <c r="AS18" s="178">
        <f ca="1">IF($D18&lt;&gt;"Serviço",0,IF(AND(AUTOEVENTO="Manual",$M18=1),0,IF(OFFSET(CRONOPLE!$F$14,$M18,AS$13)="",10^12,OFFSET(CRONOPLE!$F$14,$M18,AS$13))))</f>
        <v>1000000000000</v>
      </c>
      <c r="AT18" s="178">
        <f ca="1">IF($D18&lt;&gt;"Serviço",0,IF(AND(AUTOEVENTO="Manual",$M18=1),0,IF(OFFSET(CRONOPLE!$F$14,$M18,AT$13)="",10^12,OFFSET(CRONOPLE!$F$14,$M18,AT$13))))</f>
        <v>1000000000000</v>
      </c>
      <c r="AU18" s="178">
        <f ca="1">IF($D18&lt;&gt;"Serviço",0,IF(AND(AUTOEVENTO="Manual",$M18=1),0,IF(OFFSET(CRONOPLE!$F$14,$M18,AU$13)="",10^12,OFFSET(CRONOPLE!$F$14,$M18,AU$13))))</f>
        <v>1000000000000</v>
      </c>
      <c r="AV18" s="178">
        <f ca="1">IF($D18&lt;&gt;"Serviço",0,IF(AND(AUTOEVENTO="Manual",$M18=1),0,IF(OFFSET(CRONOPLE!$F$14,$M18,AV$13)="",10^12,OFFSET(CRONOPLE!$F$14,$M18,AV$13))))</f>
        <v>1000000000000</v>
      </c>
      <c r="AX18" s="179">
        <f ca="1">IF($D18&lt;&gt;"Serviço",0,IF(OR(AND(AUTOEVENTO="Manual",$M18=1),$M18&gt;(ROW(PLE.lastrow)-ROW(PLE.firstrow))),0,IF(OFFSET(PLE!$G$14,$M18,AX$13)="",10^12,OFFSET(PLE!$G$14,$M18,AX$13))))</f>
        <v>1000000000000</v>
      </c>
      <c r="AY18" s="179">
        <f ca="1">IF($D18&lt;&gt;"Serviço",0,IF(OR(AND(AUTOEVENTO="Manual",$M18=1),$M18&gt;(ROW(PLE.lastrow)-ROW(PLE.firstrow))),0,IF(OFFSET(PLE!$G$14,$M18,AY$13)="",10^12,OFFSET(PLE!$G$14,$M18,AY$13))))</f>
        <v>1000000000000</v>
      </c>
      <c r="AZ18" s="179">
        <f ca="1">IF($D18&lt;&gt;"Serviço",0,IF(OR(AND(AUTOEVENTO="Manual",$M18=1),$M18&gt;(ROW(PLE.lastrow)-ROW(PLE.firstrow))),0,IF(OFFSET(PLE!$G$14,$M18,AZ$13)="",10^12,OFFSET(PLE!$G$14,$M18,AZ$13))))</f>
        <v>1000000000000</v>
      </c>
      <c r="BA18" s="179">
        <f ca="1">IF($D18&lt;&gt;"Serviço",0,IF(OR(AND(AUTOEVENTO="Manual",$M18=1),$M18&gt;(ROW(PLE.lastrow)-ROW(PLE.firstrow))),0,IF(OFFSET(PLE!$G$14,$M18,BA$13)="",10^12,OFFSET(PLE!$G$14,$M18,BA$13))))</f>
        <v>1000000000000</v>
      </c>
      <c r="BB18" s="179">
        <f ca="1">IF($D18&lt;&gt;"Serviço",0,IF(OR(AND(AUTOEVENTO="Manual",$M18=1),$M18&gt;(ROW(PLE.lastrow)-ROW(PLE.firstrow))),0,IF(OFFSET(PLE!$G$14,$M18,BB$13)="",10^12,OFFSET(PLE!$G$14,$M18,BB$13))))</f>
        <v>1000000000000</v>
      </c>
      <c r="BC18" s="179">
        <f ca="1">IF($D18&lt;&gt;"Serviço",0,IF(OR(AND(AUTOEVENTO="Manual",$M18=1),$M18&gt;(ROW(PLE.lastrow)-ROW(PLE.firstrow))),0,IF(OFFSET(PLE!$G$14,$M18,BC$13)="",10^12,OFFSET(PLE!$G$14,$M18,BC$13))))</f>
        <v>1000000000000</v>
      </c>
      <c r="BD18" s="179">
        <f ca="1">IF($D18&lt;&gt;"Serviço",0,IF(OR(AND(AUTOEVENTO="Manual",$M18=1),$M18&gt;(ROW(PLE.lastrow)-ROW(PLE.firstrow))),0,IF(OFFSET(PLE!$G$14,$M18,BD$13)="",10^12,OFFSET(PLE!$G$14,$M18,BD$13))))</f>
        <v>1000000000000</v>
      </c>
      <c r="BE18" s="179">
        <f ca="1">IF($D18&lt;&gt;"Serviço",0,IF(OR(AND(AUTOEVENTO="Manual",$M18=1),$M18&gt;(ROW(PLE.lastrow)-ROW(PLE.firstrow))),0,IF(OFFSET(PLE!$G$14,$M18,BE$13)="",10^12,OFFSET(PLE!$G$14,$M18,BE$13))))</f>
        <v>1000000000000</v>
      </c>
      <c r="BF18" s="179">
        <f ca="1">IF($D18&lt;&gt;"Serviço",0,IF(OR(AND(AUTOEVENTO="Manual",$M18=1),$M18&gt;(ROW(PLE.lastrow)-ROW(PLE.firstrow))),0,IF(OFFSET(PLE!$G$14,$M18,BF$13)="",10^12,OFFSET(PLE!$G$14,$M18,BF$13))))</f>
        <v>1000000000000</v>
      </c>
      <c r="BG18" s="179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7" t="str">
        <f t="shared" ca="1" si="8"/>
        <v>2</v>
      </c>
      <c r="B19" s="7" t="str">
        <f ca="1">OFFSET(ORÇAMENTO!C$15,ROW(B19)-ROW(B$15),0)</f>
        <v>S</v>
      </c>
      <c r="C19" s="7" t="str">
        <f ca="1">OFFSET(ORÇAMENTO!L$15,ROW(C19)-ROW(C$15),0)</f>
        <v/>
      </c>
      <c r="D19" s="115" t="str">
        <f ca="1">OFFSET(ORÇAMENTO!N$15,ROW(D19)-ROW(D$15),0)</f>
        <v>Serviço</v>
      </c>
      <c r="E19" s="116" t="str">
        <f ca="1">OFFSET(ORÇAMENTO!O$15,ROW(E19)-ROW(E$15),0)</f>
        <v>-</v>
      </c>
      <c r="F19" s="169" t="str">
        <f ca="1">OFFSET(ORÇAMENTO!R$15,ROW(F19)-ROW(F$15),0)</f>
        <v>(abra o arquivo 'Referência 10-2024.xlsm)</v>
      </c>
      <c r="G19" s="170" t="str">
        <f ca="1">IF($D19&lt;&gt;"Serviço","",OFFSET(ORÇAMENTO!S$15,ROW(G19)-ROW(G$15),0))</f>
        <v>-</v>
      </c>
      <c r="H19" s="121">
        <f ca="1">IF($D19&lt;&gt;"Serviço",0,IF(ACOMPANHAMENTO="BM",ROUND(OFFSET(ORÇAMENTO!AJ$15,ROW(H19)-ROW(H$15),0),15-13*ORÇAMENTO!$AF$7),SUMPRODUCT(($Q$12:$AA$12&lt;&gt;"")*ROUND($Q19:$AA19,15-13*ORÇAMENTO!$AF$7))))</f>
        <v>1</v>
      </c>
      <c r="I19" s="558" t="s">
        <v>551</v>
      </c>
      <c r="K19" s="171"/>
      <c r="L19" s="172" t="s">
        <v>255</v>
      </c>
      <c r="M19" s="173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174" t="str">
        <f ca="1">IF($D19&lt;&gt;"Serviço","",IF(AUTOEVENTO="Manual",IF($A19=0,"&lt;-- defina o número do agrupador",OFFSET(EVENTOS!$D$14,$A19,0)),OFFSET($F$15,$A19,0)))</f>
        <v>ADMINISTRAÇÃO E CANTEIRO DE OBRAS</v>
      </c>
      <c r="O19" s="175"/>
      <c r="Q19" s="175"/>
      <c r="R19" s="176"/>
      <c r="S19" s="176"/>
      <c r="T19" s="176"/>
      <c r="U19" s="176"/>
      <c r="V19" s="176"/>
      <c r="W19" s="176"/>
      <c r="X19" s="176"/>
      <c r="Y19" s="176"/>
      <c r="Z19" s="177"/>
      <c r="AB19" s="541">
        <f ca="1">IF(AND($D19="Serviço",AB$12&lt;&gt;0,$H19&gt;0,OR(AUTOEVENTO&lt;&gt;"manual",$M19&lt;&gt;1)),
IF(Import.TipoArredondamento&lt;&gt;"TransfereGOV",
ROUND(OFFSET($P19,0,AB$13),15-13*ORÇAMENTO!$AF$7)/$H19*OFFSET(ORÇAMENTO!$X$15,ROW(AB19)-ROW(AB$15),0),
ROUND(ROUND(OFFSET($P19,0,AB$13),15-13*ORÇAMENTO!$AF$7)*OFFSET(ORÇAMENTO!$W$15,ROW(AB19)-ROW(AB$15),0),15-13*ORÇAMENTO!$AF$11)),0)</f>
        <v>0</v>
      </c>
      <c r="AC19" s="542">
        <f ca="1">IF(AND($D19="Serviço",AC$12&lt;&gt;0,$H19&gt;0,OR(AUTOEVENTO&lt;&gt;"manual",$M19&lt;&gt;1)),
IF(Import.TipoArredondamento&lt;&gt;"TransfereGOV",
ROUND(OFFSET($P19,0,AC$13),15-13*ORÇAMENTO!$AF$7)/$H19*OFFSET(ORÇAMENTO!$X$15,ROW(AC19)-ROW(AC$15),0),
ROUND(ROUND(OFFSET($P19,0,AC$13),15-13*ORÇAMENTO!$AF$7)*OFFSET(ORÇAMENTO!$W$15,ROW(AC19)-ROW(AC$15),0),15-13*ORÇAMENTO!$AF$11)),0)</f>
        <v>0</v>
      </c>
      <c r="AD19" s="542">
        <f ca="1">IF(AND($D19="Serviço",AD$12&lt;&gt;0,$H19&gt;0,OR(AUTOEVENTO&lt;&gt;"manual",$M19&lt;&gt;1)),
IF(Import.TipoArredondamento&lt;&gt;"TransfereGOV",
ROUND(OFFSET($P19,0,AD$13),15-13*ORÇAMENTO!$AF$7)/$H19*OFFSET(ORÇAMENTO!$X$15,ROW(AD19)-ROW(AD$15),0),
ROUND(ROUND(OFFSET($P19,0,AD$13),15-13*ORÇAMENTO!$AF$7)*OFFSET(ORÇAMENTO!$W$15,ROW(AD19)-ROW(AD$15),0),15-13*ORÇAMENTO!$AF$11)),0)</f>
        <v>0</v>
      </c>
      <c r="AE19" s="542">
        <f ca="1">IF(AND($D19="Serviço",AE$12&lt;&gt;0,$H19&gt;0,OR(AUTOEVENTO&lt;&gt;"manual",$M19&lt;&gt;1)),
IF(Import.TipoArredondamento&lt;&gt;"TransfereGOV",
ROUND(OFFSET($P19,0,AE$13),15-13*ORÇAMENTO!$AF$7)/$H19*OFFSET(ORÇAMENTO!$X$15,ROW(AE19)-ROW(AE$15),0),
ROUND(ROUND(OFFSET($P19,0,AE$13),15-13*ORÇAMENTO!$AF$7)*OFFSET(ORÇAMENTO!$W$15,ROW(AE19)-ROW(AE$15),0),15-13*ORÇAMENTO!$AF$11)),0)</f>
        <v>0</v>
      </c>
      <c r="AF19" s="542">
        <f ca="1">IF(AND($D19="Serviço",AF$12&lt;&gt;0,$H19&gt;0,OR(AUTOEVENTO&lt;&gt;"manual",$M19&lt;&gt;1)),
IF(Import.TipoArredondamento&lt;&gt;"TransfereGOV",
ROUND(OFFSET($P19,0,AF$13),15-13*ORÇAMENTO!$AF$7)/$H19*OFFSET(ORÇAMENTO!$X$15,ROW(AF19)-ROW(AF$15),0),
ROUND(ROUND(OFFSET($P19,0,AF$13),15-13*ORÇAMENTO!$AF$7)*OFFSET(ORÇAMENTO!$W$15,ROW(AF19)-ROW(AF$15),0),15-13*ORÇAMENTO!$AF$11)),0)</f>
        <v>0</v>
      </c>
      <c r="AG19" s="542">
        <f ca="1">IF(AND($D19="Serviço",AG$12&lt;&gt;0,$H19&gt;0,OR(AUTOEVENTO&lt;&gt;"manual",$M19&lt;&gt;1)),
IF(Import.TipoArredondamento&lt;&gt;"TransfereGOV",
ROUND(OFFSET($P19,0,AG$13),15-13*ORÇAMENTO!$AF$7)/$H19*OFFSET(ORÇAMENTO!$X$15,ROW(AG19)-ROW(AG$15),0),
ROUND(ROUND(OFFSET($P19,0,AG$13),15-13*ORÇAMENTO!$AF$7)*OFFSET(ORÇAMENTO!$W$15,ROW(AG19)-ROW(AG$15),0),15-13*ORÇAMENTO!$AF$11)),0)</f>
        <v>0</v>
      </c>
      <c r="AH19" s="542">
        <f ca="1">IF(AND($D19="Serviço",AH$12&lt;&gt;0,$H19&gt;0,OR(AUTOEVENTO&lt;&gt;"manual",$M19&lt;&gt;1)),
IF(Import.TipoArredondamento&lt;&gt;"TransfereGOV",
ROUND(OFFSET($P19,0,AH$13),15-13*ORÇAMENTO!$AF$7)/$H19*OFFSET(ORÇAMENTO!$X$15,ROW(AH19)-ROW(AH$15),0),
ROUND(ROUND(OFFSET($P19,0,AH$13),15-13*ORÇAMENTO!$AF$7)*OFFSET(ORÇAMENTO!$W$15,ROW(AH19)-ROW(AH$15),0),15-13*ORÇAMENTO!$AF$11)),0)</f>
        <v>0</v>
      </c>
      <c r="AI19" s="542">
        <f ca="1">IF(AND($D19="Serviço",AI$12&lt;&gt;0,$H19&gt;0,OR(AUTOEVENTO&lt;&gt;"manual",$M19&lt;&gt;1)),
IF(Import.TipoArredondamento&lt;&gt;"TransfereGOV",
ROUND(OFFSET($P19,0,AI$13),15-13*ORÇAMENTO!$AF$7)/$H19*OFFSET(ORÇAMENTO!$X$15,ROW(AI19)-ROW(AI$15),0),
ROUND(ROUND(OFFSET($P19,0,AI$13),15-13*ORÇAMENTO!$AF$7)*OFFSET(ORÇAMENTO!$W$15,ROW(AI19)-ROW(AI$15),0),15-13*ORÇAMENTO!$AF$11)),0)</f>
        <v>0</v>
      </c>
      <c r="AJ19" s="542">
        <f ca="1">IF(AND($D19="Serviço",AJ$12&lt;&gt;0,$H19&gt;0,OR(AUTOEVENTO&lt;&gt;"manual",$M19&lt;&gt;1)),
IF(Import.TipoArredondamento&lt;&gt;"TransfereGOV",
ROUND(OFFSET($P19,0,AJ$13),15-13*ORÇAMENTO!$AF$7)/$H19*OFFSET(ORÇAMENTO!$X$15,ROW(AJ19)-ROW(AJ$15),0),
ROUND(ROUND(OFFSET($P19,0,AJ$13),15-13*ORÇAMENTO!$AF$7)*OFFSET(ORÇAMENTO!$W$15,ROW(AJ19)-ROW(AJ$15),0),15-13*ORÇAMENTO!$AF$11)),0)</f>
        <v>0</v>
      </c>
      <c r="AK19" s="543">
        <f ca="1">IF(AND($D19="Serviço",AK$12&lt;&gt;0,$H19&gt;0,OR(AUTOEVENTO&lt;&gt;"manual",$M19&lt;&gt;1)),
IF(Import.TipoArredondamento&lt;&gt;"TransfereGOV",
ROUND(OFFSET($P19,0,AK$13),15-13*ORÇAMENTO!$AF$7)/$H19*OFFSET(ORÇAMENTO!$X$15,ROW(AK19)-ROW(AK$15),0),
ROUND(ROUND(OFFSET($P19,0,AK$13),15-13*ORÇAMENTO!$AF$7)*OFFSET(ORÇAMENTO!$W$15,ROW(AK19)-ROW(AK$15),0),15-13*ORÇAMENTO!$AF$11)),0)</f>
        <v>0</v>
      </c>
      <c r="AM19" s="178">
        <f ca="1">IF($D19&lt;&gt;"Serviço",0,IF(AND(AUTOEVENTO="Manual",$M19=1),0,IF(OFFSET(CRONOPLE!$F$14,$M19,AM$13)="",10^12,OFFSET(CRONOPLE!$F$14,$M19,AM$13))))</f>
        <v>1000000000000</v>
      </c>
      <c r="AN19" s="178">
        <f ca="1">IF($D19&lt;&gt;"Serviço",0,IF(AND(AUTOEVENTO="Manual",$M19=1),0,IF(OFFSET(CRONOPLE!$F$14,$M19,AN$13)="",10^12,OFFSET(CRONOPLE!$F$14,$M19,AN$13))))</f>
        <v>1000000000000</v>
      </c>
      <c r="AO19" s="178">
        <f ca="1">IF($D19&lt;&gt;"Serviço",0,IF(AND(AUTOEVENTO="Manual",$M19=1),0,IF(OFFSET(CRONOPLE!$F$14,$M19,AO$13)="",10^12,OFFSET(CRONOPLE!$F$14,$M19,AO$13))))</f>
        <v>1000000000000</v>
      </c>
      <c r="AP19" s="178">
        <f ca="1">IF($D19&lt;&gt;"Serviço",0,IF(AND(AUTOEVENTO="Manual",$M19=1),0,IF(OFFSET(CRONOPLE!$F$14,$M19,AP$13)="",10^12,OFFSET(CRONOPLE!$F$14,$M19,AP$13))))</f>
        <v>1000000000000</v>
      </c>
      <c r="AQ19" s="178">
        <f ca="1">IF($D19&lt;&gt;"Serviço",0,IF(AND(AUTOEVENTO="Manual",$M19=1),0,IF(OFFSET(CRONOPLE!$F$14,$M19,AQ$13)="",10^12,OFFSET(CRONOPLE!$F$14,$M19,AQ$13))))</f>
        <v>1000000000000</v>
      </c>
      <c r="AR19" s="178">
        <f ca="1">IF($D19&lt;&gt;"Serviço",0,IF(AND(AUTOEVENTO="Manual",$M19=1),0,IF(OFFSET(CRONOPLE!$F$14,$M19,AR$13)="",10^12,OFFSET(CRONOPLE!$F$14,$M19,AR$13))))</f>
        <v>1000000000000</v>
      </c>
      <c r="AS19" s="178">
        <f ca="1">IF($D19&lt;&gt;"Serviço",0,IF(AND(AUTOEVENTO="Manual",$M19=1),0,IF(OFFSET(CRONOPLE!$F$14,$M19,AS$13)="",10^12,OFFSET(CRONOPLE!$F$14,$M19,AS$13))))</f>
        <v>1000000000000</v>
      </c>
      <c r="AT19" s="178">
        <f ca="1">IF($D19&lt;&gt;"Serviço",0,IF(AND(AUTOEVENTO="Manual",$M19=1),0,IF(OFFSET(CRONOPLE!$F$14,$M19,AT$13)="",10^12,OFFSET(CRONOPLE!$F$14,$M19,AT$13))))</f>
        <v>1000000000000</v>
      </c>
      <c r="AU19" s="178">
        <f ca="1">IF($D19&lt;&gt;"Serviço",0,IF(AND(AUTOEVENTO="Manual",$M19=1),0,IF(OFFSET(CRONOPLE!$F$14,$M19,AU$13)="",10^12,OFFSET(CRONOPLE!$F$14,$M19,AU$13))))</f>
        <v>1000000000000</v>
      </c>
      <c r="AV19" s="178">
        <f ca="1">IF($D19&lt;&gt;"Serviço",0,IF(AND(AUTOEVENTO="Manual",$M19=1),0,IF(OFFSET(CRONOPLE!$F$14,$M19,AV$13)="",10^12,OFFSET(CRONOPLE!$F$14,$M19,AV$13))))</f>
        <v>1000000000000</v>
      </c>
      <c r="AX19" s="179">
        <f ca="1">IF($D19&lt;&gt;"Serviço",0,IF(OR(AND(AUTOEVENTO="Manual",$M19=1),$M19&gt;(ROW(PLE.lastrow)-ROW(PLE.firstrow))),0,IF(OFFSET(PLE!$G$14,$M19,AX$13)="",10^12,OFFSET(PLE!$G$14,$M19,AX$13))))</f>
        <v>1000000000000</v>
      </c>
      <c r="AY19" s="179">
        <f ca="1">IF($D19&lt;&gt;"Serviço",0,IF(OR(AND(AUTOEVENTO="Manual",$M19=1),$M19&gt;(ROW(PLE.lastrow)-ROW(PLE.firstrow))),0,IF(OFFSET(PLE!$G$14,$M19,AY$13)="",10^12,OFFSET(PLE!$G$14,$M19,AY$13))))</f>
        <v>1000000000000</v>
      </c>
      <c r="AZ19" s="179">
        <f ca="1">IF($D19&lt;&gt;"Serviço",0,IF(OR(AND(AUTOEVENTO="Manual",$M19=1),$M19&gt;(ROW(PLE.lastrow)-ROW(PLE.firstrow))),0,IF(OFFSET(PLE!$G$14,$M19,AZ$13)="",10^12,OFFSET(PLE!$G$14,$M19,AZ$13))))</f>
        <v>1000000000000</v>
      </c>
      <c r="BA19" s="179">
        <f ca="1">IF($D19&lt;&gt;"Serviço",0,IF(OR(AND(AUTOEVENTO="Manual",$M19=1),$M19&gt;(ROW(PLE.lastrow)-ROW(PLE.firstrow))),0,IF(OFFSET(PLE!$G$14,$M19,BA$13)="",10^12,OFFSET(PLE!$G$14,$M19,BA$13))))</f>
        <v>1000000000000</v>
      </c>
      <c r="BB19" s="179">
        <f ca="1">IF($D19&lt;&gt;"Serviço",0,IF(OR(AND(AUTOEVENTO="Manual",$M19=1),$M19&gt;(ROW(PLE.lastrow)-ROW(PLE.firstrow))),0,IF(OFFSET(PLE!$G$14,$M19,BB$13)="",10^12,OFFSET(PLE!$G$14,$M19,BB$13))))</f>
        <v>1000000000000</v>
      </c>
      <c r="BC19" s="179">
        <f ca="1">IF($D19&lt;&gt;"Serviço",0,IF(OR(AND(AUTOEVENTO="Manual",$M19=1),$M19&gt;(ROW(PLE.lastrow)-ROW(PLE.firstrow))),0,IF(OFFSET(PLE!$G$14,$M19,BC$13)="",10^12,OFFSET(PLE!$G$14,$M19,BC$13))))</f>
        <v>1000000000000</v>
      </c>
      <c r="BD19" s="179">
        <f ca="1">IF($D19&lt;&gt;"Serviço",0,IF(OR(AND(AUTOEVENTO="Manual",$M19=1),$M19&gt;(ROW(PLE.lastrow)-ROW(PLE.firstrow))),0,IF(OFFSET(PLE!$G$14,$M19,BD$13)="",10^12,OFFSET(PLE!$G$14,$M19,BD$13))))</f>
        <v>1000000000000</v>
      </c>
      <c r="BE19" s="179">
        <f ca="1">IF($D19&lt;&gt;"Serviço",0,IF(OR(AND(AUTOEVENTO="Manual",$M19=1),$M19&gt;(ROW(PLE.lastrow)-ROW(PLE.firstrow))),0,IF(OFFSET(PLE!$G$14,$M19,BE$13)="",10^12,OFFSET(PLE!$G$14,$M19,BE$13))))</f>
        <v>1000000000000</v>
      </c>
      <c r="BF19" s="179">
        <f ca="1">IF($D19&lt;&gt;"Serviço",0,IF(OR(AND(AUTOEVENTO="Manual",$M19=1),$M19&gt;(ROW(PLE.lastrow)-ROW(PLE.firstrow))),0,IF(OFFSET(PLE!$G$14,$M19,BF$13)="",10^12,OFFSET(PLE!$G$14,$M19,BF$13))))</f>
        <v>1000000000000</v>
      </c>
      <c r="BG19" s="179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38.25" x14ac:dyDescent="0.2">
      <c r="A20" s="7" t="str">
        <f t="shared" ca="1" si="8"/>
        <v>2</v>
      </c>
      <c r="B20" s="7" t="str">
        <f ca="1">OFFSET(ORÇAMENTO!C$15,ROW(B20)-ROW(B$15),0)</f>
        <v>S</v>
      </c>
      <c r="C20" s="7" t="str">
        <f ca="1">OFFSET(ORÇAMENTO!L$15,ROW(C20)-ROW(C$15),0)</f>
        <v/>
      </c>
      <c r="D20" s="115" t="str">
        <f ca="1">OFFSET(ORÇAMENTO!N$15,ROW(D20)-ROW(D$15),0)</f>
        <v>Serviço</v>
      </c>
      <c r="E20" s="116" t="str">
        <f ca="1">OFFSET(ORÇAMENTO!O$15,ROW(E20)-ROW(E$15),0)</f>
        <v>-</v>
      </c>
      <c r="F20" s="169" t="str">
        <f ca="1">OFFSET(ORÇAMENTO!R$15,ROW(F20)-ROW(F$15),0)</f>
        <v>(abra o arquivo 'Referência 10-2024.xlsm)</v>
      </c>
      <c r="G20" s="170" t="str">
        <f ca="1">IF($D20&lt;&gt;"Serviço","",OFFSET(ORÇAMENTO!S$15,ROW(G20)-ROW(G$15),0))</f>
        <v>-</v>
      </c>
      <c r="H20" s="121">
        <f ca="1">IF($D20&lt;&gt;"Serviço",0,IF(ACOMPANHAMENTO="BM",ROUND(OFFSET(ORÇAMENTO!AJ$15,ROW(H20)-ROW(H$15),0),15-13*ORÇAMENTO!$AF$7),SUMPRODUCT(($Q$12:$AA$12&lt;&gt;"")*ROUND($Q20:$AA20,15-13*ORÇAMENTO!$AF$7))))</f>
        <v>3</v>
      </c>
      <c r="I20" s="558" t="s">
        <v>552</v>
      </c>
      <c r="K20" s="171"/>
      <c r="L20" s="172" t="s">
        <v>255</v>
      </c>
      <c r="M20" s="173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174" t="str">
        <f ca="1">IF($D20&lt;&gt;"Serviço","",IF(AUTOEVENTO="Manual",IF($A20=0,"&lt;-- defina o número do agrupador",OFFSET(EVENTOS!$D$14,$A20,0)),OFFSET($F$15,$A20,0)))</f>
        <v>ADMINISTRAÇÃO E CANTEIRO DE OBRAS</v>
      </c>
      <c r="O20" s="175"/>
      <c r="Q20" s="175"/>
      <c r="R20" s="176"/>
      <c r="S20" s="176"/>
      <c r="T20" s="176"/>
      <c r="U20" s="176"/>
      <c r="V20" s="176"/>
      <c r="W20" s="176"/>
      <c r="X20" s="176"/>
      <c r="Y20" s="176"/>
      <c r="Z20" s="177"/>
      <c r="AB20" s="541">
        <f ca="1">IF(AND($D20="Serviço",AB$12&lt;&gt;0,$H20&gt;0,OR(AUTOEVENTO&lt;&gt;"manual",$M20&lt;&gt;1)),
IF(Import.TipoArredondamento&lt;&gt;"TransfereGOV",
ROUND(OFFSET($P20,0,AB$13),15-13*ORÇAMENTO!$AF$7)/$H20*OFFSET(ORÇAMENTO!$X$15,ROW(AB20)-ROW(AB$15),0),
ROUND(ROUND(OFFSET($P20,0,AB$13),15-13*ORÇAMENTO!$AF$7)*OFFSET(ORÇAMENTO!$W$15,ROW(AB20)-ROW(AB$15),0),15-13*ORÇAMENTO!$AF$11)),0)</f>
        <v>0</v>
      </c>
      <c r="AC20" s="542">
        <f ca="1">IF(AND($D20="Serviço",AC$12&lt;&gt;0,$H20&gt;0,OR(AUTOEVENTO&lt;&gt;"manual",$M20&lt;&gt;1)),
IF(Import.TipoArredondamento&lt;&gt;"TransfereGOV",
ROUND(OFFSET($P20,0,AC$13),15-13*ORÇAMENTO!$AF$7)/$H20*OFFSET(ORÇAMENTO!$X$15,ROW(AC20)-ROW(AC$15),0),
ROUND(ROUND(OFFSET($P20,0,AC$13),15-13*ORÇAMENTO!$AF$7)*OFFSET(ORÇAMENTO!$W$15,ROW(AC20)-ROW(AC$15),0),15-13*ORÇAMENTO!$AF$11)),0)</f>
        <v>0</v>
      </c>
      <c r="AD20" s="542">
        <f ca="1">IF(AND($D20="Serviço",AD$12&lt;&gt;0,$H20&gt;0,OR(AUTOEVENTO&lt;&gt;"manual",$M20&lt;&gt;1)),
IF(Import.TipoArredondamento&lt;&gt;"TransfereGOV",
ROUND(OFFSET($P20,0,AD$13),15-13*ORÇAMENTO!$AF$7)/$H20*OFFSET(ORÇAMENTO!$X$15,ROW(AD20)-ROW(AD$15),0),
ROUND(ROUND(OFFSET($P20,0,AD$13),15-13*ORÇAMENTO!$AF$7)*OFFSET(ORÇAMENTO!$W$15,ROW(AD20)-ROW(AD$15),0),15-13*ORÇAMENTO!$AF$11)),0)</f>
        <v>0</v>
      </c>
      <c r="AE20" s="542">
        <f ca="1">IF(AND($D20="Serviço",AE$12&lt;&gt;0,$H20&gt;0,OR(AUTOEVENTO&lt;&gt;"manual",$M20&lt;&gt;1)),
IF(Import.TipoArredondamento&lt;&gt;"TransfereGOV",
ROUND(OFFSET($P20,0,AE$13),15-13*ORÇAMENTO!$AF$7)/$H20*OFFSET(ORÇAMENTO!$X$15,ROW(AE20)-ROW(AE$15),0),
ROUND(ROUND(OFFSET($P20,0,AE$13),15-13*ORÇAMENTO!$AF$7)*OFFSET(ORÇAMENTO!$W$15,ROW(AE20)-ROW(AE$15),0),15-13*ORÇAMENTO!$AF$11)),0)</f>
        <v>0</v>
      </c>
      <c r="AF20" s="542">
        <f ca="1">IF(AND($D20="Serviço",AF$12&lt;&gt;0,$H20&gt;0,OR(AUTOEVENTO&lt;&gt;"manual",$M20&lt;&gt;1)),
IF(Import.TipoArredondamento&lt;&gt;"TransfereGOV",
ROUND(OFFSET($P20,0,AF$13),15-13*ORÇAMENTO!$AF$7)/$H20*OFFSET(ORÇAMENTO!$X$15,ROW(AF20)-ROW(AF$15),0),
ROUND(ROUND(OFFSET($P20,0,AF$13),15-13*ORÇAMENTO!$AF$7)*OFFSET(ORÇAMENTO!$W$15,ROW(AF20)-ROW(AF$15),0),15-13*ORÇAMENTO!$AF$11)),0)</f>
        <v>0</v>
      </c>
      <c r="AG20" s="542">
        <f ca="1">IF(AND($D20="Serviço",AG$12&lt;&gt;0,$H20&gt;0,OR(AUTOEVENTO&lt;&gt;"manual",$M20&lt;&gt;1)),
IF(Import.TipoArredondamento&lt;&gt;"TransfereGOV",
ROUND(OFFSET($P20,0,AG$13),15-13*ORÇAMENTO!$AF$7)/$H20*OFFSET(ORÇAMENTO!$X$15,ROW(AG20)-ROW(AG$15),0),
ROUND(ROUND(OFFSET($P20,0,AG$13),15-13*ORÇAMENTO!$AF$7)*OFFSET(ORÇAMENTO!$W$15,ROW(AG20)-ROW(AG$15),0),15-13*ORÇAMENTO!$AF$11)),0)</f>
        <v>0</v>
      </c>
      <c r="AH20" s="542">
        <f ca="1">IF(AND($D20="Serviço",AH$12&lt;&gt;0,$H20&gt;0,OR(AUTOEVENTO&lt;&gt;"manual",$M20&lt;&gt;1)),
IF(Import.TipoArredondamento&lt;&gt;"TransfereGOV",
ROUND(OFFSET($P20,0,AH$13),15-13*ORÇAMENTO!$AF$7)/$H20*OFFSET(ORÇAMENTO!$X$15,ROW(AH20)-ROW(AH$15),0),
ROUND(ROUND(OFFSET($P20,0,AH$13),15-13*ORÇAMENTO!$AF$7)*OFFSET(ORÇAMENTO!$W$15,ROW(AH20)-ROW(AH$15),0),15-13*ORÇAMENTO!$AF$11)),0)</f>
        <v>0</v>
      </c>
      <c r="AI20" s="542">
        <f ca="1">IF(AND($D20="Serviço",AI$12&lt;&gt;0,$H20&gt;0,OR(AUTOEVENTO&lt;&gt;"manual",$M20&lt;&gt;1)),
IF(Import.TipoArredondamento&lt;&gt;"TransfereGOV",
ROUND(OFFSET($P20,0,AI$13),15-13*ORÇAMENTO!$AF$7)/$H20*OFFSET(ORÇAMENTO!$X$15,ROW(AI20)-ROW(AI$15),0),
ROUND(ROUND(OFFSET($P20,0,AI$13),15-13*ORÇAMENTO!$AF$7)*OFFSET(ORÇAMENTO!$W$15,ROW(AI20)-ROW(AI$15),0),15-13*ORÇAMENTO!$AF$11)),0)</f>
        <v>0</v>
      </c>
      <c r="AJ20" s="542">
        <f ca="1">IF(AND($D20="Serviço",AJ$12&lt;&gt;0,$H20&gt;0,OR(AUTOEVENTO&lt;&gt;"manual",$M20&lt;&gt;1)),
IF(Import.TipoArredondamento&lt;&gt;"TransfereGOV",
ROUND(OFFSET($P20,0,AJ$13),15-13*ORÇAMENTO!$AF$7)/$H20*OFFSET(ORÇAMENTO!$X$15,ROW(AJ20)-ROW(AJ$15),0),
ROUND(ROUND(OFFSET($P20,0,AJ$13),15-13*ORÇAMENTO!$AF$7)*OFFSET(ORÇAMENTO!$W$15,ROW(AJ20)-ROW(AJ$15),0),15-13*ORÇAMENTO!$AF$11)),0)</f>
        <v>0</v>
      </c>
      <c r="AK20" s="543">
        <f ca="1">IF(AND($D20="Serviço",AK$12&lt;&gt;0,$H20&gt;0,OR(AUTOEVENTO&lt;&gt;"manual",$M20&lt;&gt;1)),
IF(Import.TipoArredondamento&lt;&gt;"TransfereGOV",
ROUND(OFFSET($P20,0,AK$13),15-13*ORÇAMENTO!$AF$7)/$H20*OFFSET(ORÇAMENTO!$X$15,ROW(AK20)-ROW(AK$15),0),
ROUND(ROUND(OFFSET($P20,0,AK$13),15-13*ORÇAMENTO!$AF$7)*OFFSET(ORÇAMENTO!$W$15,ROW(AK20)-ROW(AK$15),0),15-13*ORÇAMENTO!$AF$11)),0)</f>
        <v>0</v>
      </c>
      <c r="AM20" s="178">
        <f ca="1">IF($D20&lt;&gt;"Serviço",0,IF(AND(AUTOEVENTO="Manual",$M20=1),0,IF(OFFSET(CRONOPLE!$F$14,$M20,AM$13)="",10^12,OFFSET(CRONOPLE!$F$14,$M20,AM$13))))</f>
        <v>1000000000000</v>
      </c>
      <c r="AN20" s="178">
        <f ca="1">IF($D20&lt;&gt;"Serviço",0,IF(AND(AUTOEVENTO="Manual",$M20=1),0,IF(OFFSET(CRONOPLE!$F$14,$M20,AN$13)="",10^12,OFFSET(CRONOPLE!$F$14,$M20,AN$13))))</f>
        <v>1000000000000</v>
      </c>
      <c r="AO20" s="178">
        <f ca="1">IF($D20&lt;&gt;"Serviço",0,IF(AND(AUTOEVENTO="Manual",$M20=1),0,IF(OFFSET(CRONOPLE!$F$14,$M20,AO$13)="",10^12,OFFSET(CRONOPLE!$F$14,$M20,AO$13))))</f>
        <v>1000000000000</v>
      </c>
      <c r="AP20" s="178">
        <f ca="1">IF($D20&lt;&gt;"Serviço",0,IF(AND(AUTOEVENTO="Manual",$M20=1),0,IF(OFFSET(CRONOPLE!$F$14,$M20,AP$13)="",10^12,OFFSET(CRONOPLE!$F$14,$M20,AP$13))))</f>
        <v>1000000000000</v>
      </c>
      <c r="AQ20" s="178">
        <f ca="1">IF($D20&lt;&gt;"Serviço",0,IF(AND(AUTOEVENTO="Manual",$M20=1),0,IF(OFFSET(CRONOPLE!$F$14,$M20,AQ$13)="",10^12,OFFSET(CRONOPLE!$F$14,$M20,AQ$13))))</f>
        <v>1000000000000</v>
      </c>
      <c r="AR20" s="178">
        <f ca="1">IF($D20&lt;&gt;"Serviço",0,IF(AND(AUTOEVENTO="Manual",$M20=1),0,IF(OFFSET(CRONOPLE!$F$14,$M20,AR$13)="",10^12,OFFSET(CRONOPLE!$F$14,$M20,AR$13))))</f>
        <v>1000000000000</v>
      </c>
      <c r="AS20" s="178">
        <f ca="1">IF($D20&lt;&gt;"Serviço",0,IF(AND(AUTOEVENTO="Manual",$M20=1),0,IF(OFFSET(CRONOPLE!$F$14,$M20,AS$13)="",10^12,OFFSET(CRONOPLE!$F$14,$M20,AS$13))))</f>
        <v>1000000000000</v>
      </c>
      <c r="AT20" s="178">
        <f ca="1">IF($D20&lt;&gt;"Serviço",0,IF(AND(AUTOEVENTO="Manual",$M20=1),0,IF(OFFSET(CRONOPLE!$F$14,$M20,AT$13)="",10^12,OFFSET(CRONOPLE!$F$14,$M20,AT$13))))</f>
        <v>1000000000000</v>
      </c>
      <c r="AU20" s="178">
        <f ca="1">IF($D20&lt;&gt;"Serviço",0,IF(AND(AUTOEVENTO="Manual",$M20=1),0,IF(OFFSET(CRONOPLE!$F$14,$M20,AU$13)="",10^12,OFFSET(CRONOPLE!$F$14,$M20,AU$13))))</f>
        <v>1000000000000</v>
      </c>
      <c r="AV20" s="178">
        <f ca="1">IF($D20&lt;&gt;"Serviço",0,IF(AND(AUTOEVENTO="Manual",$M20=1),0,IF(OFFSET(CRONOPLE!$F$14,$M20,AV$13)="",10^12,OFFSET(CRONOPLE!$F$14,$M20,AV$13))))</f>
        <v>1000000000000</v>
      </c>
      <c r="AX20" s="179">
        <f ca="1">IF($D20&lt;&gt;"Serviço",0,IF(OR(AND(AUTOEVENTO="Manual",$M20=1),$M20&gt;(ROW(PLE.lastrow)-ROW(PLE.firstrow))),0,IF(OFFSET(PLE!$G$14,$M20,AX$13)="",10^12,OFFSET(PLE!$G$14,$M20,AX$13))))</f>
        <v>1000000000000</v>
      </c>
      <c r="AY20" s="179">
        <f ca="1">IF($D20&lt;&gt;"Serviço",0,IF(OR(AND(AUTOEVENTO="Manual",$M20=1),$M20&gt;(ROW(PLE.lastrow)-ROW(PLE.firstrow))),0,IF(OFFSET(PLE!$G$14,$M20,AY$13)="",10^12,OFFSET(PLE!$G$14,$M20,AY$13))))</f>
        <v>1000000000000</v>
      </c>
      <c r="AZ20" s="179">
        <f ca="1">IF($D20&lt;&gt;"Serviço",0,IF(OR(AND(AUTOEVENTO="Manual",$M20=1),$M20&gt;(ROW(PLE.lastrow)-ROW(PLE.firstrow))),0,IF(OFFSET(PLE!$G$14,$M20,AZ$13)="",10^12,OFFSET(PLE!$G$14,$M20,AZ$13))))</f>
        <v>1000000000000</v>
      </c>
      <c r="BA20" s="179">
        <f ca="1">IF($D20&lt;&gt;"Serviço",0,IF(OR(AND(AUTOEVENTO="Manual",$M20=1),$M20&gt;(ROW(PLE.lastrow)-ROW(PLE.firstrow))),0,IF(OFFSET(PLE!$G$14,$M20,BA$13)="",10^12,OFFSET(PLE!$G$14,$M20,BA$13))))</f>
        <v>1000000000000</v>
      </c>
      <c r="BB20" s="179">
        <f ca="1">IF($D20&lt;&gt;"Serviço",0,IF(OR(AND(AUTOEVENTO="Manual",$M20=1),$M20&gt;(ROW(PLE.lastrow)-ROW(PLE.firstrow))),0,IF(OFFSET(PLE!$G$14,$M20,BB$13)="",10^12,OFFSET(PLE!$G$14,$M20,BB$13))))</f>
        <v>1000000000000</v>
      </c>
      <c r="BC20" s="179">
        <f ca="1">IF($D20&lt;&gt;"Serviço",0,IF(OR(AND(AUTOEVENTO="Manual",$M20=1),$M20&gt;(ROW(PLE.lastrow)-ROW(PLE.firstrow))),0,IF(OFFSET(PLE!$G$14,$M20,BC$13)="",10^12,OFFSET(PLE!$G$14,$M20,BC$13))))</f>
        <v>1000000000000</v>
      </c>
      <c r="BD20" s="179">
        <f ca="1">IF($D20&lt;&gt;"Serviço",0,IF(OR(AND(AUTOEVENTO="Manual",$M20=1),$M20&gt;(ROW(PLE.lastrow)-ROW(PLE.firstrow))),0,IF(OFFSET(PLE!$G$14,$M20,BD$13)="",10^12,OFFSET(PLE!$G$14,$M20,BD$13))))</f>
        <v>1000000000000</v>
      </c>
      <c r="BE20" s="179">
        <f ca="1">IF($D20&lt;&gt;"Serviço",0,IF(OR(AND(AUTOEVENTO="Manual",$M20=1),$M20&gt;(ROW(PLE.lastrow)-ROW(PLE.firstrow))),0,IF(OFFSET(PLE!$G$14,$M20,BE$13)="",10^12,OFFSET(PLE!$G$14,$M20,BE$13))))</f>
        <v>1000000000000</v>
      </c>
      <c r="BF20" s="179">
        <f ca="1">IF($D20&lt;&gt;"Serviço",0,IF(OR(AND(AUTOEVENTO="Manual",$M20=1),$M20&gt;(ROW(PLE.lastrow)-ROW(PLE.firstrow))),0,IF(OFFSET(PLE!$G$14,$M20,BF$13)="",10^12,OFFSET(PLE!$G$14,$M20,BF$13))))</f>
        <v>1000000000000</v>
      </c>
      <c r="BG20" s="179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7" t="str">
        <f ca="1">IF(AUTOEVENTO="Manual",IF(K21&lt;&gt;"",MIN(VALUE(LEFT(K21,FIND(".",K21)-1)),COUNTA(EVENTOS.Lista)),0),IF(OR($B21&gt;AUTOEVENTO,$B21="S",$B21=0),SUBSTITUTE(OFFSET($A21,-1,0),IF($D21="Serviço",".",""),""),ROW(A21)-ROW($A$15)&amp;"."))</f>
        <v>2</v>
      </c>
      <c r="B21" s="7" t="str">
        <f ca="1">OFFSET(ORÇAMENTO!C$15,ROW(B21)-ROW(B$15),0)</f>
        <v>S</v>
      </c>
      <c r="C21" s="7" t="str">
        <f ca="1">OFFSET(ORÇAMENTO!L$15,ROW(C21)-ROW(C$15),0)</f>
        <v/>
      </c>
      <c r="D21" s="115" t="str">
        <f ca="1">OFFSET(ORÇAMENTO!N$15,ROW(D21)-ROW(D$15),0)</f>
        <v>Serviço</v>
      </c>
      <c r="E21" s="116" t="str">
        <f ca="1">OFFSET(ORÇAMENTO!O$15,ROW(E21)-ROW(E$15),0)</f>
        <v>-</v>
      </c>
      <c r="F21" s="169" t="str">
        <f ca="1">OFFSET(ORÇAMENTO!R$15,ROW(F21)-ROW(F$15),0)</f>
        <v>(abra o arquivo 'Referência 10-2024.xlsm)</v>
      </c>
      <c r="G21" s="170" t="str">
        <f ca="1">IF($D21&lt;&gt;"Serviço","",OFFSET(ORÇAMENTO!S$15,ROW(G21)-ROW(G$15),0))</f>
        <v>-</v>
      </c>
      <c r="H21" s="121">
        <f ca="1">IF($D21&lt;&gt;"Serviço",0,IF(ACOMPANHAMENTO="BM",ROUND(OFFSET(ORÇAMENTO!AJ$15,ROW(H21)-ROW(H$15),0),15-13*ORÇAMENTO!$AF$7),SUMPRODUCT(($Q$12:$AA$12&lt;&gt;"")*ROUND($Q21:$AA21,15-13*ORÇAMENTO!$AF$7))))</f>
        <v>1</v>
      </c>
      <c r="I21" s="558" t="s">
        <v>551</v>
      </c>
      <c r="K21" s="171"/>
      <c r="L21" s="172" t="s">
        <v>255</v>
      </c>
      <c r="M21" s="173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174" t="str">
        <f ca="1">IF($D21&lt;&gt;"Serviço","",IF(AUTOEVENTO="Manual",IF($A21=0,"&lt;-- defina o número do agrupador",OFFSET(EVENTOS!$D$14,$A21,0)),OFFSET($F$15,$A21,0)))</f>
        <v>ADMINISTRAÇÃO E CANTEIRO DE OBRAS</v>
      </c>
      <c r="O21" s="175"/>
      <c r="Q21" s="175"/>
      <c r="R21" s="176"/>
      <c r="S21" s="176"/>
      <c r="T21" s="176"/>
      <c r="U21" s="176"/>
      <c r="V21" s="176"/>
      <c r="W21" s="176"/>
      <c r="X21" s="176"/>
      <c r="Y21" s="176"/>
      <c r="Z21" s="177"/>
      <c r="AB21" s="541">
        <f ca="1">IF(AND($D21="Serviço",AB$12&lt;&gt;0,$H21&gt;0,OR(AUTOEVENTO&lt;&gt;"manual",$M21&lt;&gt;1)),
IF(Import.TipoArredondamento&lt;&gt;"TransfereGOV",
ROUND(OFFSET($P21,0,AB$13),15-13*ORÇAMENTO!$AF$7)/$H21*OFFSET(ORÇAMENTO!$X$15,ROW(AB21)-ROW(AB$15),0),
ROUND(ROUND(OFFSET($P21,0,AB$13),15-13*ORÇAMENTO!$AF$7)*OFFSET(ORÇAMENTO!$W$15,ROW(AB21)-ROW(AB$15),0),15-13*ORÇAMENTO!$AF$11)),0)</f>
        <v>0</v>
      </c>
      <c r="AC21" s="542">
        <f ca="1">IF(AND($D21="Serviço",AC$12&lt;&gt;0,$H21&gt;0,OR(AUTOEVENTO&lt;&gt;"manual",$M21&lt;&gt;1)),
IF(Import.TipoArredondamento&lt;&gt;"TransfereGOV",
ROUND(OFFSET($P21,0,AC$13),15-13*ORÇAMENTO!$AF$7)/$H21*OFFSET(ORÇAMENTO!$X$15,ROW(AC21)-ROW(AC$15),0),
ROUND(ROUND(OFFSET($P21,0,AC$13),15-13*ORÇAMENTO!$AF$7)*OFFSET(ORÇAMENTO!$W$15,ROW(AC21)-ROW(AC$15),0),15-13*ORÇAMENTO!$AF$11)),0)</f>
        <v>0</v>
      </c>
      <c r="AD21" s="542">
        <f ca="1">IF(AND($D21="Serviço",AD$12&lt;&gt;0,$H21&gt;0,OR(AUTOEVENTO&lt;&gt;"manual",$M21&lt;&gt;1)),
IF(Import.TipoArredondamento&lt;&gt;"TransfereGOV",
ROUND(OFFSET($P21,0,AD$13),15-13*ORÇAMENTO!$AF$7)/$H21*OFFSET(ORÇAMENTO!$X$15,ROW(AD21)-ROW(AD$15),0),
ROUND(ROUND(OFFSET($P21,0,AD$13),15-13*ORÇAMENTO!$AF$7)*OFFSET(ORÇAMENTO!$W$15,ROW(AD21)-ROW(AD$15),0),15-13*ORÇAMENTO!$AF$11)),0)</f>
        <v>0</v>
      </c>
      <c r="AE21" s="542">
        <f ca="1">IF(AND($D21="Serviço",AE$12&lt;&gt;0,$H21&gt;0,OR(AUTOEVENTO&lt;&gt;"manual",$M21&lt;&gt;1)),
IF(Import.TipoArredondamento&lt;&gt;"TransfereGOV",
ROUND(OFFSET($P21,0,AE$13),15-13*ORÇAMENTO!$AF$7)/$H21*OFFSET(ORÇAMENTO!$X$15,ROW(AE21)-ROW(AE$15),0),
ROUND(ROUND(OFFSET($P21,0,AE$13),15-13*ORÇAMENTO!$AF$7)*OFFSET(ORÇAMENTO!$W$15,ROW(AE21)-ROW(AE$15),0),15-13*ORÇAMENTO!$AF$11)),0)</f>
        <v>0</v>
      </c>
      <c r="AF21" s="542">
        <f ca="1">IF(AND($D21="Serviço",AF$12&lt;&gt;0,$H21&gt;0,OR(AUTOEVENTO&lt;&gt;"manual",$M21&lt;&gt;1)),
IF(Import.TipoArredondamento&lt;&gt;"TransfereGOV",
ROUND(OFFSET($P21,0,AF$13),15-13*ORÇAMENTO!$AF$7)/$H21*OFFSET(ORÇAMENTO!$X$15,ROW(AF21)-ROW(AF$15),0),
ROUND(ROUND(OFFSET($P21,0,AF$13),15-13*ORÇAMENTO!$AF$7)*OFFSET(ORÇAMENTO!$W$15,ROW(AF21)-ROW(AF$15),0),15-13*ORÇAMENTO!$AF$11)),0)</f>
        <v>0</v>
      </c>
      <c r="AG21" s="542">
        <f ca="1">IF(AND($D21="Serviço",AG$12&lt;&gt;0,$H21&gt;0,OR(AUTOEVENTO&lt;&gt;"manual",$M21&lt;&gt;1)),
IF(Import.TipoArredondamento&lt;&gt;"TransfereGOV",
ROUND(OFFSET($P21,0,AG$13),15-13*ORÇAMENTO!$AF$7)/$H21*OFFSET(ORÇAMENTO!$X$15,ROW(AG21)-ROW(AG$15),0),
ROUND(ROUND(OFFSET($P21,0,AG$13),15-13*ORÇAMENTO!$AF$7)*OFFSET(ORÇAMENTO!$W$15,ROW(AG21)-ROW(AG$15),0),15-13*ORÇAMENTO!$AF$11)),0)</f>
        <v>0</v>
      </c>
      <c r="AH21" s="542">
        <f ca="1">IF(AND($D21="Serviço",AH$12&lt;&gt;0,$H21&gt;0,OR(AUTOEVENTO&lt;&gt;"manual",$M21&lt;&gt;1)),
IF(Import.TipoArredondamento&lt;&gt;"TransfereGOV",
ROUND(OFFSET($P21,0,AH$13),15-13*ORÇAMENTO!$AF$7)/$H21*OFFSET(ORÇAMENTO!$X$15,ROW(AH21)-ROW(AH$15),0),
ROUND(ROUND(OFFSET($P21,0,AH$13),15-13*ORÇAMENTO!$AF$7)*OFFSET(ORÇAMENTO!$W$15,ROW(AH21)-ROW(AH$15),0),15-13*ORÇAMENTO!$AF$11)),0)</f>
        <v>0</v>
      </c>
      <c r="AI21" s="542">
        <f ca="1">IF(AND($D21="Serviço",AI$12&lt;&gt;0,$H21&gt;0,OR(AUTOEVENTO&lt;&gt;"manual",$M21&lt;&gt;1)),
IF(Import.TipoArredondamento&lt;&gt;"TransfereGOV",
ROUND(OFFSET($P21,0,AI$13),15-13*ORÇAMENTO!$AF$7)/$H21*OFFSET(ORÇAMENTO!$X$15,ROW(AI21)-ROW(AI$15),0),
ROUND(ROUND(OFFSET($P21,0,AI$13),15-13*ORÇAMENTO!$AF$7)*OFFSET(ORÇAMENTO!$W$15,ROW(AI21)-ROW(AI$15),0),15-13*ORÇAMENTO!$AF$11)),0)</f>
        <v>0</v>
      </c>
      <c r="AJ21" s="542">
        <f ca="1">IF(AND($D21="Serviço",AJ$12&lt;&gt;0,$H21&gt;0,OR(AUTOEVENTO&lt;&gt;"manual",$M21&lt;&gt;1)),
IF(Import.TipoArredondamento&lt;&gt;"TransfereGOV",
ROUND(OFFSET($P21,0,AJ$13),15-13*ORÇAMENTO!$AF$7)/$H21*OFFSET(ORÇAMENTO!$X$15,ROW(AJ21)-ROW(AJ$15),0),
ROUND(ROUND(OFFSET($P21,0,AJ$13),15-13*ORÇAMENTO!$AF$7)*OFFSET(ORÇAMENTO!$W$15,ROW(AJ21)-ROW(AJ$15),0),15-13*ORÇAMENTO!$AF$11)),0)</f>
        <v>0</v>
      </c>
      <c r="AK21" s="543">
        <f ca="1">IF(AND($D21="Serviço",AK$12&lt;&gt;0,$H21&gt;0,OR(AUTOEVENTO&lt;&gt;"manual",$M21&lt;&gt;1)),
IF(Import.TipoArredondamento&lt;&gt;"TransfereGOV",
ROUND(OFFSET($P21,0,AK$13),15-13*ORÇAMENTO!$AF$7)/$H21*OFFSET(ORÇAMENTO!$X$15,ROW(AK21)-ROW(AK$15),0),
ROUND(ROUND(OFFSET($P21,0,AK$13),15-13*ORÇAMENTO!$AF$7)*OFFSET(ORÇAMENTO!$W$15,ROW(AK21)-ROW(AK$15),0),15-13*ORÇAMENTO!$AF$11)),0)</f>
        <v>0</v>
      </c>
      <c r="AM21" s="178">
        <f ca="1">IF($D21&lt;&gt;"Serviço",0,IF(AND(AUTOEVENTO="Manual",$M21=1),0,IF(OFFSET(CRONOPLE!$F$14,$M21,AM$13)="",10^12,OFFSET(CRONOPLE!$F$14,$M21,AM$13))))</f>
        <v>1000000000000</v>
      </c>
      <c r="AN21" s="178">
        <f ca="1">IF($D21&lt;&gt;"Serviço",0,IF(AND(AUTOEVENTO="Manual",$M21=1),0,IF(OFFSET(CRONOPLE!$F$14,$M21,AN$13)="",10^12,OFFSET(CRONOPLE!$F$14,$M21,AN$13))))</f>
        <v>1000000000000</v>
      </c>
      <c r="AO21" s="178">
        <f ca="1">IF($D21&lt;&gt;"Serviço",0,IF(AND(AUTOEVENTO="Manual",$M21=1),0,IF(OFFSET(CRONOPLE!$F$14,$M21,AO$13)="",10^12,OFFSET(CRONOPLE!$F$14,$M21,AO$13))))</f>
        <v>1000000000000</v>
      </c>
      <c r="AP21" s="178">
        <f ca="1">IF($D21&lt;&gt;"Serviço",0,IF(AND(AUTOEVENTO="Manual",$M21=1),0,IF(OFFSET(CRONOPLE!$F$14,$M21,AP$13)="",10^12,OFFSET(CRONOPLE!$F$14,$M21,AP$13))))</f>
        <v>1000000000000</v>
      </c>
      <c r="AQ21" s="178">
        <f ca="1">IF($D21&lt;&gt;"Serviço",0,IF(AND(AUTOEVENTO="Manual",$M21=1),0,IF(OFFSET(CRONOPLE!$F$14,$M21,AQ$13)="",10^12,OFFSET(CRONOPLE!$F$14,$M21,AQ$13))))</f>
        <v>1000000000000</v>
      </c>
      <c r="AR21" s="178">
        <f ca="1">IF($D21&lt;&gt;"Serviço",0,IF(AND(AUTOEVENTO="Manual",$M21=1),0,IF(OFFSET(CRONOPLE!$F$14,$M21,AR$13)="",10^12,OFFSET(CRONOPLE!$F$14,$M21,AR$13))))</f>
        <v>1000000000000</v>
      </c>
      <c r="AS21" s="178">
        <f ca="1">IF($D21&lt;&gt;"Serviço",0,IF(AND(AUTOEVENTO="Manual",$M21=1),0,IF(OFFSET(CRONOPLE!$F$14,$M21,AS$13)="",10^12,OFFSET(CRONOPLE!$F$14,$M21,AS$13))))</f>
        <v>1000000000000</v>
      </c>
      <c r="AT21" s="178">
        <f ca="1">IF($D21&lt;&gt;"Serviço",0,IF(AND(AUTOEVENTO="Manual",$M21=1),0,IF(OFFSET(CRONOPLE!$F$14,$M21,AT$13)="",10^12,OFFSET(CRONOPLE!$F$14,$M21,AT$13))))</f>
        <v>1000000000000</v>
      </c>
      <c r="AU21" s="178">
        <f ca="1">IF($D21&lt;&gt;"Serviço",0,IF(AND(AUTOEVENTO="Manual",$M21=1),0,IF(OFFSET(CRONOPLE!$F$14,$M21,AU$13)="",10^12,OFFSET(CRONOPLE!$F$14,$M21,AU$13))))</f>
        <v>1000000000000</v>
      </c>
      <c r="AV21" s="178">
        <f ca="1">IF($D21&lt;&gt;"Serviço",0,IF(AND(AUTOEVENTO="Manual",$M21=1),0,IF(OFFSET(CRONOPLE!$F$14,$M21,AV$13)="",10^12,OFFSET(CRONOPLE!$F$14,$M21,AV$13))))</f>
        <v>1000000000000</v>
      </c>
      <c r="AX21" s="179">
        <f ca="1">IF($D21&lt;&gt;"Serviço",0,IF(OR(AND(AUTOEVENTO="Manual",$M21=1),$M21&gt;(ROW(PLE.lastrow)-ROW(PLE.firstrow))),0,IF(OFFSET(PLE!$G$14,$M21,AX$13)="",10^12,OFFSET(PLE!$G$14,$M21,AX$13))))</f>
        <v>1000000000000</v>
      </c>
      <c r="AY21" s="179">
        <f ca="1">IF($D21&lt;&gt;"Serviço",0,IF(OR(AND(AUTOEVENTO="Manual",$M21=1),$M21&gt;(ROW(PLE.lastrow)-ROW(PLE.firstrow))),0,IF(OFFSET(PLE!$G$14,$M21,AY$13)="",10^12,OFFSET(PLE!$G$14,$M21,AY$13))))</f>
        <v>1000000000000</v>
      </c>
      <c r="AZ21" s="179">
        <f ca="1">IF($D21&lt;&gt;"Serviço",0,IF(OR(AND(AUTOEVENTO="Manual",$M21=1),$M21&gt;(ROW(PLE.lastrow)-ROW(PLE.firstrow))),0,IF(OFFSET(PLE!$G$14,$M21,AZ$13)="",10^12,OFFSET(PLE!$G$14,$M21,AZ$13))))</f>
        <v>1000000000000</v>
      </c>
      <c r="BA21" s="179">
        <f ca="1">IF($D21&lt;&gt;"Serviço",0,IF(OR(AND(AUTOEVENTO="Manual",$M21=1),$M21&gt;(ROW(PLE.lastrow)-ROW(PLE.firstrow))),0,IF(OFFSET(PLE!$G$14,$M21,BA$13)="",10^12,OFFSET(PLE!$G$14,$M21,BA$13))))</f>
        <v>1000000000000</v>
      </c>
      <c r="BB21" s="179">
        <f ca="1">IF($D21&lt;&gt;"Serviço",0,IF(OR(AND(AUTOEVENTO="Manual",$M21=1),$M21&gt;(ROW(PLE.lastrow)-ROW(PLE.firstrow))),0,IF(OFFSET(PLE!$G$14,$M21,BB$13)="",10^12,OFFSET(PLE!$G$14,$M21,BB$13))))</f>
        <v>1000000000000</v>
      </c>
      <c r="BC21" s="179">
        <f ca="1">IF($D21&lt;&gt;"Serviço",0,IF(OR(AND(AUTOEVENTO="Manual",$M21=1),$M21&gt;(ROW(PLE.lastrow)-ROW(PLE.firstrow))),0,IF(OFFSET(PLE!$G$14,$M21,BC$13)="",10^12,OFFSET(PLE!$G$14,$M21,BC$13))))</f>
        <v>1000000000000</v>
      </c>
      <c r="BD21" s="179">
        <f ca="1">IF($D21&lt;&gt;"Serviço",0,IF(OR(AND(AUTOEVENTO="Manual",$M21=1),$M21&gt;(ROW(PLE.lastrow)-ROW(PLE.firstrow))),0,IF(OFFSET(PLE!$G$14,$M21,BD$13)="",10^12,OFFSET(PLE!$G$14,$M21,BD$13))))</f>
        <v>1000000000000</v>
      </c>
      <c r="BE21" s="179">
        <f ca="1">IF($D21&lt;&gt;"Serviço",0,IF(OR(AND(AUTOEVENTO="Manual",$M21=1),$M21&gt;(ROW(PLE.lastrow)-ROW(PLE.firstrow))),0,IF(OFFSET(PLE!$G$14,$M21,BE$13)="",10^12,OFFSET(PLE!$G$14,$M21,BE$13))))</f>
        <v>1000000000000</v>
      </c>
      <c r="BF21" s="179">
        <f ca="1">IF($D21&lt;&gt;"Serviço",0,IF(OR(AND(AUTOEVENTO="Manual",$M21=1),$M21&gt;(ROW(PLE.lastrow)-ROW(PLE.firstrow))),0,IF(OFFSET(PLE!$G$14,$M21,BF$13)="",10^12,OFFSET(PLE!$G$14,$M21,BF$13))))</f>
        <v>1000000000000</v>
      </c>
      <c r="BG21" s="179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7" t="str">
        <f t="shared" ref="A22:A27" ca="1" si="9">IF(AUTOEVENTO="Manual",IF(K22&lt;&gt;"",MIN(VALUE(LEFT(K22,FIND(".",K22)-1)),COUNTA(EVENTOS.Lista)),0),IF(OR($B22&gt;AUTOEVENTO,$B22="S",$B22=0),SUBSTITUTE(OFFSET($A22,-1,0),IF($D22="Serviço",".",""),""),ROW(A22)-ROW($A$15)&amp;"."))</f>
        <v>7.</v>
      </c>
      <c r="B22" s="7">
        <f ca="1">OFFSET(ORÇAMENTO!C$15,ROW(B22)-ROW(B$15),0)</f>
        <v>2</v>
      </c>
      <c r="C22" s="7" t="str">
        <f ca="1">OFFSET(ORÇAMENTO!L$15,ROW(C22)-ROW(C$15),0)</f>
        <v>F</v>
      </c>
      <c r="D22" s="115" t="str">
        <f ca="1">OFFSET(ORÇAMENTO!N$15,ROW(D22)-ROW(D$15),0)</f>
        <v>Nível 2</v>
      </c>
      <c r="E22" s="116" t="str">
        <f ca="1">OFFSET(ORÇAMENTO!O$15,ROW(E22)-ROW(E$15),0)</f>
        <v>1.2.</v>
      </c>
      <c r="F22" s="169" t="str">
        <f ca="1">OFFSET(ORÇAMENTO!R$15,ROW(F22)-ROW(F$15),0)</f>
        <v>SERVIÇOS PRELIMINARES</v>
      </c>
      <c r="G22" s="170" t="str">
        <f ca="1">IF($D22&lt;&gt;"Serviço","",OFFSET(ORÇAMENTO!S$15,ROW(G22)-ROW(G$15),0))</f>
        <v/>
      </c>
      <c r="H22" s="121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558"/>
      <c r="K22" s="171"/>
      <c r="L22" s="172" t="s">
        <v>255</v>
      </c>
      <c r="M22" s="173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174" t="str">
        <f ca="1">IF($D22&lt;&gt;"Serviço","",IF(AUTOEVENTO="Manual",IF($A22=0,"&lt;-- defina o número do agrupador",OFFSET(EVENTOS!$D$14,$A22,0)),OFFSET($F$15,$A22,0)))</f>
        <v/>
      </c>
      <c r="O22" s="175"/>
      <c r="Q22" s="175"/>
      <c r="R22" s="176"/>
      <c r="S22" s="176"/>
      <c r="T22" s="176"/>
      <c r="U22" s="176"/>
      <c r="V22" s="176"/>
      <c r="W22" s="176"/>
      <c r="X22" s="176"/>
      <c r="Y22" s="176"/>
      <c r="Z22" s="177"/>
      <c r="AB22" s="541">
        <f ca="1">IF(AND($D22="Serviço",AB$12&lt;&gt;0,$H22&gt;0,OR(AUTOEVENTO&lt;&gt;"manual",$M22&lt;&gt;1)),
IF(Import.TipoArredondamento&lt;&gt;"TransfereGOV",
ROUND(OFFSET($P22,0,AB$13),15-13*ORÇAMENTO!$AF$7)/$H22*OFFSET(ORÇAMENTO!$X$15,ROW(AB22)-ROW(AB$15),0),
ROUND(ROUND(OFFSET($P22,0,AB$13),15-13*ORÇAMENTO!$AF$7)*OFFSET(ORÇAMENTO!$W$15,ROW(AB22)-ROW(AB$15),0),15-13*ORÇAMENTO!$AF$11)),0)</f>
        <v>0</v>
      </c>
      <c r="AC22" s="542">
        <f ca="1">IF(AND($D22="Serviço",AC$12&lt;&gt;0,$H22&gt;0,OR(AUTOEVENTO&lt;&gt;"manual",$M22&lt;&gt;1)),
IF(Import.TipoArredondamento&lt;&gt;"TransfereGOV",
ROUND(OFFSET($P22,0,AC$13),15-13*ORÇAMENTO!$AF$7)/$H22*OFFSET(ORÇAMENTO!$X$15,ROW(AC22)-ROW(AC$15),0),
ROUND(ROUND(OFFSET($P22,0,AC$13),15-13*ORÇAMENTO!$AF$7)*OFFSET(ORÇAMENTO!$W$15,ROW(AC22)-ROW(AC$15),0),15-13*ORÇAMENTO!$AF$11)),0)</f>
        <v>0</v>
      </c>
      <c r="AD22" s="542">
        <f ca="1">IF(AND($D22="Serviço",AD$12&lt;&gt;0,$H22&gt;0,OR(AUTOEVENTO&lt;&gt;"manual",$M22&lt;&gt;1)),
IF(Import.TipoArredondamento&lt;&gt;"TransfereGOV",
ROUND(OFFSET($P22,0,AD$13),15-13*ORÇAMENTO!$AF$7)/$H22*OFFSET(ORÇAMENTO!$X$15,ROW(AD22)-ROW(AD$15),0),
ROUND(ROUND(OFFSET($P22,0,AD$13),15-13*ORÇAMENTO!$AF$7)*OFFSET(ORÇAMENTO!$W$15,ROW(AD22)-ROW(AD$15),0),15-13*ORÇAMENTO!$AF$11)),0)</f>
        <v>0</v>
      </c>
      <c r="AE22" s="542">
        <f ca="1">IF(AND($D22="Serviço",AE$12&lt;&gt;0,$H22&gt;0,OR(AUTOEVENTO&lt;&gt;"manual",$M22&lt;&gt;1)),
IF(Import.TipoArredondamento&lt;&gt;"TransfereGOV",
ROUND(OFFSET($P22,0,AE$13),15-13*ORÇAMENTO!$AF$7)/$H22*OFFSET(ORÇAMENTO!$X$15,ROW(AE22)-ROW(AE$15),0),
ROUND(ROUND(OFFSET($P22,0,AE$13),15-13*ORÇAMENTO!$AF$7)*OFFSET(ORÇAMENTO!$W$15,ROW(AE22)-ROW(AE$15),0),15-13*ORÇAMENTO!$AF$11)),0)</f>
        <v>0</v>
      </c>
      <c r="AF22" s="542">
        <f ca="1">IF(AND($D22="Serviço",AF$12&lt;&gt;0,$H22&gt;0,OR(AUTOEVENTO&lt;&gt;"manual",$M22&lt;&gt;1)),
IF(Import.TipoArredondamento&lt;&gt;"TransfereGOV",
ROUND(OFFSET($P22,0,AF$13),15-13*ORÇAMENTO!$AF$7)/$H22*OFFSET(ORÇAMENTO!$X$15,ROW(AF22)-ROW(AF$15),0),
ROUND(ROUND(OFFSET($P22,0,AF$13),15-13*ORÇAMENTO!$AF$7)*OFFSET(ORÇAMENTO!$W$15,ROW(AF22)-ROW(AF$15),0),15-13*ORÇAMENTO!$AF$11)),0)</f>
        <v>0</v>
      </c>
      <c r="AG22" s="542">
        <f ca="1">IF(AND($D22="Serviço",AG$12&lt;&gt;0,$H22&gt;0,OR(AUTOEVENTO&lt;&gt;"manual",$M22&lt;&gt;1)),
IF(Import.TipoArredondamento&lt;&gt;"TransfereGOV",
ROUND(OFFSET($P22,0,AG$13),15-13*ORÇAMENTO!$AF$7)/$H22*OFFSET(ORÇAMENTO!$X$15,ROW(AG22)-ROW(AG$15),0),
ROUND(ROUND(OFFSET($P22,0,AG$13),15-13*ORÇAMENTO!$AF$7)*OFFSET(ORÇAMENTO!$W$15,ROW(AG22)-ROW(AG$15),0),15-13*ORÇAMENTO!$AF$11)),0)</f>
        <v>0</v>
      </c>
      <c r="AH22" s="542">
        <f ca="1">IF(AND($D22="Serviço",AH$12&lt;&gt;0,$H22&gt;0,OR(AUTOEVENTO&lt;&gt;"manual",$M22&lt;&gt;1)),
IF(Import.TipoArredondamento&lt;&gt;"TransfereGOV",
ROUND(OFFSET($P22,0,AH$13),15-13*ORÇAMENTO!$AF$7)/$H22*OFFSET(ORÇAMENTO!$X$15,ROW(AH22)-ROW(AH$15),0),
ROUND(ROUND(OFFSET($P22,0,AH$13),15-13*ORÇAMENTO!$AF$7)*OFFSET(ORÇAMENTO!$W$15,ROW(AH22)-ROW(AH$15),0),15-13*ORÇAMENTO!$AF$11)),0)</f>
        <v>0</v>
      </c>
      <c r="AI22" s="542">
        <f ca="1">IF(AND($D22="Serviço",AI$12&lt;&gt;0,$H22&gt;0,OR(AUTOEVENTO&lt;&gt;"manual",$M22&lt;&gt;1)),
IF(Import.TipoArredondamento&lt;&gt;"TransfereGOV",
ROUND(OFFSET($P22,0,AI$13),15-13*ORÇAMENTO!$AF$7)/$H22*OFFSET(ORÇAMENTO!$X$15,ROW(AI22)-ROW(AI$15),0),
ROUND(ROUND(OFFSET($P22,0,AI$13),15-13*ORÇAMENTO!$AF$7)*OFFSET(ORÇAMENTO!$W$15,ROW(AI22)-ROW(AI$15),0),15-13*ORÇAMENTO!$AF$11)),0)</f>
        <v>0</v>
      </c>
      <c r="AJ22" s="542">
        <f ca="1">IF(AND($D22="Serviço",AJ$12&lt;&gt;0,$H22&gt;0,OR(AUTOEVENTO&lt;&gt;"manual",$M22&lt;&gt;1)),
IF(Import.TipoArredondamento&lt;&gt;"TransfereGOV",
ROUND(OFFSET($P22,0,AJ$13),15-13*ORÇAMENTO!$AF$7)/$H22*OFFSET(ORÇAMENTO!$X$15,ROW(AJ22)-ROW(AJ$15),0),
ROUND(ROUND(OFFSET($P22,0,AJ$13),15-13*ORÇAMENTO!$AF$7)*OFFSET(ORÇAMENTO!$W$15,ROW(AJ22)-ROW(AJ$15),0),15-13*ORÇAMENTO!$AF$11)),0)</f>
        <v>0</v>
      </c>
      <c r="AK22" s="543">
        <f ca="1">IF(AND($D22="Serviço",AK$12&lt;&gt;0,$H22&gt;0,OR(AUTOEVENTO&lt;&gt;"manual",$M22&lt;&gt;1)),
IF(Import.TipoArredondamento&lt;&gt;"TransfereGOV",
ROUND(OFFSET($P22,0,AK$13),15-13*ORÇAMENTO!$AF$7)/$H22*OFFSET(ORÇAMENTO!$X$15,ROW(AK22)-ROW(AK$15),0),
ROUND(ROUND(OFFSET($P22,0,AK$13),15-13*ORÇAMENTO!$AF$7)*OFFSET(ORÇAMENTO!$W$15,ROW(AK22)-ROW(AK$15),0),15-13*ORÇAMENTO!$AF$11)),0)</f>
        <v>0</v>
      </c>
      <c r="AM22" s="178">
        <f ca="1">IF($D22&lt;&gt;"Serviço",0,IF(AND(AUTOEVENTO="Manual",$M22=1),0,IF(OFFSET(CRONOPLE!$F$14,$M22,AM$13)="",10^12,OFFSET(CRONOPLE!$F$14,$M22,AM$13))))</f>
        <v>0</v>
      </c>
      <c r="AN22" s="178">
        <f ca="1">IF($D22&lt;&gt;"Serviço",0,IF(AND(AUTOEVENTO="Manual",$M22=1),0,IF(OFFSET(CRONOPLE!$F$14,$M22,AN$13)="",10^12,OFFSET(CRONOPLE!$F$14,$M22,AN$13))))</f>
        <v>0</v>
      </c>
      <c r="AO22" s="178">
        <f ca="1">IF($D22&lt;&gt;"Serviço",0,IF(AND(AUTOEVENTO="Manual",$M22=1),0,IF(OFFSET(CRONOPLE!$F$14,$M22,AO$13)="",10^12,OFFSET(CRONOPLE!$F$14,$M22,AO$13))))</f>
        <v>0</v>
      </c>
      <c r="AP22" s="178">
        <f ca="1">IF($D22&lt;&gt;"Serviço",0,IF(AND(AUTOEVENTO="Manual",$M22=1),0,IF(OFFSET(CRONOPLE!$F$14,$M22,AP$13)="",10^12,OFFSET(CRONOPLE!$F$14,$M22,AP$13))))</f>
        <v>0</v>
      </c>
      <c r="AQ22" s="178">
        <f ca="1">IF($D22&lt;&gt;"Serviço",0,IF(AND(AUTOEVENTO="Manual",$M22=1),0,IF(OFFSET(CRONOPLE!$F$14,$M22,AQ$13)="",10^12,OFFSET(CRONOPLE!$F$14,$M22,AQ$13))))</f>
        <v>0</v>
      </c>
      <c r="AR22" s="178">
        <f ca="1">IF($D22&lt;&gt;"Serviço",0,IF(AND(AUTOEVENTO="Manual",$M22=1),0,IF(OFFSET(CRONOPLE!$F$14,$M22,AR$13)="",10^12,OFFSET(CRONOPLE!$F$14,$M22,AR$13))))</f>
        <v>0</v>
      </c>
      <c r="AS22" s="178">
        <f ca="1">IF($D22&lt;&gt;"Serviço",0,IF(AND(AUTOEVENTO="Manual",$M22=1),0,IF(OFFSET(CRONOPLE!$F$14,$M22,AS$13)="",10^12,OFFSET(CRONOPLE!$F$14,$M22,AS$13))))</f>
        <v>0</v>
      </c>
      <c r="AT22" s="178">
        <f ca="1">IF($D22&lt;&gt;"Serviço",0,IF(AND(AUTOEVENTO="Manual",$M22=1),0,IF(OFFSET(CRONOPLE!$F$14,$M22,AT$13)="",10^12,OFFSET(CRONOPLE!$F$14,$M22,AT$13))))</f>
        <v>0</v>
      </c>
      <c r="AU22" s="178">
        <f ca="1">IF($D22&lt;&gt;"Serviço",0,IF(AND(AUTOEVENTO="Manual",$M22=1),0,IF(OFFSET(CRONOPLE!$F$14,$M22,AU$13)="",10^12,OFFSET(CRONOPLE!$F$14,$M22,AU$13))))</f>
        <v>0</v>
      </c>
      <c r="AV22" s="178">
        <f ca="1">IF($D22&lt;&gt;"Serviço",0,IF(AND(AUTOEVENTO="Manual",$M22=1),0,IF(OFFSET(CRONOPLE!$F$14,$M22,AV$13)="",10^12,OFFSET(CRONOPLE!$F$14,$M22,AV$13))))</f>
        <v>0</v>
      </c>
      <c r="AX22" s="179">
        <f ca="1">IF($D22&lt;&gt;"Serviço",0,IF(OR(AND(AUTOEVENTO="Manual",$M22=1),$M22&gt;(ROW(PLE.lastrow)-ROW(PLE.firstrow))),0,IF(OFFSET(PLE!$G$14,$M22,AX$13)="",10^12,OFFSET(PLE!$G$14,$M22,AX$13))))</f>
        <v>0</v>
      </c>
      <c r="AY22" s="179">
        <f ca="1">IF($D22&lt;&gt;"Serviço",0,IF(OR(AND(AUTOEVENTO="Manual",$M22=1),$M22&gt;(ROW(PLE.lastrow)-ROW(PLE.firstrow))),0,IF(OFFSET(PLE!$G$14,$M22,AY$13)="",10^12,OFFSET(PLE!$G$14,$M22,AY$13))))</f>
        <v>0</v>
      </c>
      <c r="AZ22" s="179">
        <f ca="1">IF($D22&lt;&gt;"Serviço",0,IF(OR(AND(AUTOEVENTO="Manual",$M22=1),$M22&gt;(ROW(PLE.lastrow)-ROW(PLE.firstrow))),0,IF(OFFSET(PLE!$G$14,$M22,AZ$13)="",10^12,OFFSET(PLE!$G$14,$M22,AZ$13))))</f>
        <v>0</v>
      </c>
      <c r="BA22" s="179">
        <f ca="1">IF($D22&lt;&gt;"Serviço",0,IF(OR(AND(AUTOEVENTO="Manual",$M22=1),$M22&gt;(ROW(PLE.lastrow)-ROW(PLE.firstrow))),0,IF(OFFSET(PLE!$G$14,$M22,BA$13)="",10^12,OFFSET(PLE!$G$14,$M22,BA$13))))</f>
        <v>0</v>
      </c>
      <c r="BB22" s="179">
        <f ca="1">IF($D22&lt;&gt;"Serviço",0,IF(OR(AND(AUTOEVENTO="Manual",$M22=1),$M22&gt;(ROW(PLE.lastrow)-ROW(PLE.firstrow))),0,IF(OFFSET(PLE!$G$14,$M22,BB$13)="",10^12,OFFSET(PLE!$G$14,$M22,BB$13))))</f>
        <v>0</v>
      </c>
      <c r="BC22" s="179">
        <f ca="1">IF($D22&lt;&gt;"Serviço",0,IF(OR(AND(AUTOEVENTO="Manual",$M22=1),$M22&gt;(ROW(PLE.lastrow)-ROW(PLE.firstrow))),0,IF(OFFSET(PLE!$G$14,$M22,BC$13)="",10^12,OFFSET(PLE!$G$14,$M22,BC$13))))</f>
        <v>0</v>
      </c>
      <c r="BD22" s="179">
        <f ca="1">IF($D22&lt;&gt;"Serviço",0,IF(OR(AND(AUTOEVENTO="Manual",$M22=1),$M22&gt;(ROW(PLE.lastrow)-ROW(PLE.firstrow))),0,IF(OFFSET(PLE!$G$14,$M22,BD$13)="",10^12,OFFSET(PLE!$G$14,$M22,BD$13))))</f>
        <v>0</v>
      </c>
      <c r="BE22" s="179">
        <f ca="1">IF($D22&lt;&gt;"Serviço",0,IF(OR(AND(AUTOEVENTO="Manual",$M22=1),$M22&gt;(ROW(PLE.lastrow)-ROW(PLE.firstrow))),0,IF(OFFSET(PLE!$G$14,$M22,BE$13)="",10^12,OFFSET(PLE!$G$14,$M22,BE$13))))</f>
        <v>0</v>
      </c>
      <c r="BF22" s="179">
        <f ca="1">IF($D22&lt;&gt;"Serviço",0,IF(OR(AND(AUTOEVENTO="Manual",$M22=1),$M22&gt;(ROW(PLE.lastrow)-ROW(PLE.firstrow))),0,IF(OFFSET(PLE!$G$14,$M22,BF$13)="",10^12,OFFSET(PLE!$G$14,$M22,BF$13))))</f>
        <v>0</v>
      </c>
      <c r="BG22" s="179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38.25" x14ac:dyDescent="0.2">
      <c r="A23" s="7" t="str">
        <f t="shared" ca="1" si="9"/>
        <v>7</v>
      </c>
      <c r="B23" s="7" t="str">
        <f ca="1">OFFSET(ORÇAMENTO!C$15,ROW(B23)-ROW(B$15),0)</f>
        <v>S</v>
      </c>
      <c r="C23" s="7" t="str">
        <f ca="1">OFFSET(ORÇAMENTO!L$15,ROW(C23)-ROW(C$15),0)</f>
        <v/>
      </c>
      <c r="D23" s="115" t="str">
        <f ca="1">OFFSET(ORÇAMENTO!N$15,ROW(D23)-ROW(D$15),0)</f>
        <v>Serviço</v>
      </c>
      <c r="E23" s="116" t="str">
        <f ca="1">OFFSET(ORÇAMENTO!O$15,ROW(E23)-ROW(E$15),0)</f>
        <v>-</v>
      </c>
      <c r="F23" s="169" t="str">
        <f ca="1">OFFSET(ORÇAMENTO!R$15,ROW(F23)-ROW(F$15),0)</f>
        <v>(abra o arquivo 'Referência 10-2024.xlsm)</v>
      </c>
      <c r="G23" s="170" t="str">
        <f ca="1">IF($D23&lt;&gt;"Serviço","",OFFSET(ORÇAMENTO!S$15,ROW(G23)-ROW(G$15),0))</f>
        <v>-</v>
      </c>
      <c r="H23" s="121">
        <f ca="1">IF($D23&lt;&gt;"Serviço",0,IF(ACOMPANHAMENTO="BM",ROUND(OFFSET(ORÇAMENTO!AJ$15,ROW(H23)-ROW(H$15),0),15-13*ORÇAMENTO!$AF$7),SUMPRODUCT(($Q$12:$AA$12&lt;&gt;"")*ROUND($Q23:$AA23,15-13*ORÇAMENTO!$AF$7))))</f>
        <v>100</v>
      </c>
      <c r="I23" s="558" t="s">
        <v>557</v>
      </c>
      <c r="K23" s="171"/>
      <c r="L23" s="172" t="s">
        <v>255</v>
      </c>
      <c r="M23" s="173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174" t="str">
        <f ca="1">IF($D23&lt;&gt;"Serviço","",IF(AUTOEVENTO="Manual",IF($A23=0,"&lt;-- defina o número do agrupador",OFFSET(EVENTOS!$D$14,$A23,0)),OFFSET($F$15,$A23,0)))</f>
        <v>SERVIÇOS PRELIMINARES</v>
      </c>
      <c r="O23" s="175"/>
      <c r="Q23" s="175"/>
      <c r="R23" s="176"/>
      <c r="S23" s="176"/>
      <c r="T23" s="176"/>
      <c r="U23" s="176"/>
      <c r="V23" s="176"/>
      <c r="W23" s="176"/>
      <c r="X23" s="176"/>
      <c r="Y23" s="176"/>
      <c r="Z23" s="177"/>
      <c r="AB23" s="541">
        <f ca="1">IF(AND($D23="Serviço",AB$12&lt;&gt;0,$H23&gt;0,OR(AUTOEVENTO&lt;&gt;"manual",$M23&lt;&gt;1)),
IF(Import.TipoArredondamento&lt;&gt;"TransfereGOV",
ROUND(OFFSET($P23,0,AB$13),15-13*ORÇAMENTO!$AF$7)/$H23*OFFSET(ORÇAMENTO!$X$15,ROW(AB23)-ROW(AB$15),0),
ROUND(ROUND(OFFSET($P23,0,AB$13),15-13*ORÇAMENTO!$AF$7)*OFFSET(ORÇAMENTO!$W$15,ROW(AB23)-ROW(AB$15),0),15-13*ORÇAMENTO!$AF$11)),0)</f>
        <v>0</v>
      </c>
      <c r="AC23" s="542">
        <f ca="1">IF(AND($D23="Serviço",AC$12&lt;&gt;0,$H23&gt;0,OR(AUTOEVENTO&lt;&gt;"manual",$M23&lt;&gt;1)),
IF(Import.TipoArredondamento&lt;&gt;"TransfereGOV",
ROUND(OFFSET($P23,0,AC$13),15-13*ORÇAMENTO!$AF$7)/$H23*OFFSET(ORÇAMENTO!$X$15,ROW(AC23)-ROW(AC$15),0),
ROUND(ROUND(OFFSET($P23,0,AC$13),15-13*ORÇAMENTO!$AF$7)*OFFSET(ORÇAMENTO!$W$15,ROW(AC23)-ROW(AC$15),0),15-13*ORÇAMENTO!$AF$11)),0)</f>
        <v>0</v>
      </c>
      <c r="AD23" s="542">
        <f ca="1">IF(AND($D23="Serviço",AD$12&lt;&gt;0,$H23&gt;0,OR(AUTOEVENTO&lt;&gt;"manual",$M23&lt;&gt;1)),
IF(Import.TipoArredondamento&lt;&gt;"TransfereGOV",
ROUND(OFFSET($P23,0,AD$13),15-13*ORÇAMENTO!$AF$7)/$H23*OFFSET(ORÇAMENTO!$X$15,ROW(AD23)-ROW(AD$15),0),
ROUND(ROUND(OFFSET($P23,0,AD$13),15-13*ORÇAMENTO!$AF$7)*OFFSET(ORÇAMENTO!$W$15,ROW(AD23)-ROW(AD$15),0),15-13*ORÇAMENTO!$AF$11)),0)</f>
        <v>0</v>
      </c>
      <c r="AE23" s="542">
        <f ca="1">IF(AND($D23="Serviço",AE$12&lt;&gt;0,$H23&gt;0,OR(AUTOEVENTO&lt;&gt;"manual",$M23&lt;&gt;1)),
IF(Import.TipoArredondamento&lt;&gt;"TransfereGOV",
ROUND(OFFSET($P23,0,AE$13),15-13*ORÇAMENTO!$AF$7)/$H23*OFFSET(ORÇAMENTO!$X$15,ROW(AE23)-ROW(AE$15),0),
ROUND(ROUND(OFFSET($P23,0,AE$13),15-13*ORÇAMENTO!$AF$7)*OFFSET(ORÇAMENTO!$W$15,ROW(AE23)-ROW(AE$15),0),15-13*ORÇAMENTO!$AF$11)),0)</f>
        <v>0</v>
      </c>
      <c r="AF23" s="542">
        <f ca="1">IF(AND($D23="Serviço",AF$12&lt;&gt;0,$H23&gt;0,OR(AUTOEVENTO&lt;&gt;"manual",$M23&lt;&gt;1)),
IF(Import.TipoArredondamento&lt;&gt;"TransfereGOV",
ROUND(OFFSET($P23,0,AF$13),15-13*ORÇAMENTO!$AF$7)/$H23*OFFSET(ORÇAMENTO!$X$15,ROW(AF23)-ROW(AF$15),0),
ROUND(ROUND(OFFSET($P23,0,AF$13),15-13*ORÇAMENTO!$AF$7)*OFFSET(ORÇAMENTO!$W$15,ROW(AF23)-ROW(AF$15),0),15-13*ORÇAMENTO!$AF$11)),0)</f>
        <v>0</v>
      </c>
      <c r="AG23" s="542">
        <f ca="1">IF(AND($D23="Serviço",AG$12&lt;&gt;0,$H23&gt;0,OR(AUTOEVENTO&lt;&gt;"manual",$M23&lt;&gt;1)),
IF(Import.TipoArredondamento&lt;&gt;"TransfereGOV",
ROUND(OFFSET($P23,0,AG$13),15-13*ORÇAMENTO!$AF$7)/$H23*OFFSET(ORÇAMENTO!$X$15,ROW(AG23)-ROW(AG$15),0),
ROUND(ROUND(OFFSET($P23,0,AG$13),15-13*ORÇAMENTO!$AF$7)*OFFSET(ORÇAMENTO!$W$15,ROW(AG23)-ROW(AG$15),0),15-13*ORÇAMENTO!$AF$11)),0)</f>
        <v>0</v>
      </c>
      <c r="AH23" s="542">
        <f ca="1">IF(AND($D23="Serviço",AH$12&lt;&gt;0,$H23&gt;0,OR(AUTOEVENTO&lt;&gt;"manual",$M23&lt;&gt;1)),
IF(Import.TipoArredondamento&lt;&gt;"TransfereGOV",
ROUND(OFFSET($P23,0,AH$13),15-13*ORÇAMENTO!$AF$7)/$H23*OFFSET(ORÇAMENTO!$X$15,ROW(AH23)-ROW(AH$15),0),
ROUND(ROUND(OFFSET($P23,0,AH$13),15-13*ORÇAMENTO!$AF$7)*OFFSET(ORÇAMENTO!$W$15,ROW(AH23)-ROW(AH$15),0),15-13*ORÇAMENTO!$AF$11)),0)</f>
        <v>0</v>
      </c>
      <c r="AI23" s="542">
        <f ca="1">IF(AND($D23="Serviço",AI$12&lt;&gt;0,$H23&gt;0,OR(AUTOEVENTO&lt;&gt;"manual",$M23&lt;&gt;1)),
IF(Import.TipoArredondamento&lt;&gt;"TransfereGOV",
ROUND(OFFSET($P23,0,AI$13),15-13*ORÇAMENTO!$AF$7)/$H23*OFFSET(ORÇAMENTO!$X$15,ROW(AI23)-ROW(AI$15),0),
ROUND(ROUND(OFFSET($P23,0,AI$13),15-13*ORÇAMENTO!$AF$7)*OFFSET(ORÇAMENTO!$W$15,ROW(AI23)-ROW(AI$15),0),15-13*ORÇAMENTO!$AF$11)),0)</f>
        <v>0</v>
      </c>
      <c r="AJ23" s="542">
        <f ca="1">IF(AND($D23="Serviço",AJ$12&lt;&gt;0,$H23&gt;0,OR(AUTOEVENTO&lt;&gt;"manual",$M23&lt;&gt;1)),
IF(Import.TipoArredondamento&lt;&gt;"TransfereGOV",
ROUND(OFFSET($P23,0,AJ$13),15-13*ORÇAMENTO!$AF$7)/$H23*OFFSET(ORÇAMENTO!$X$15,ROW(AJ23)-ROW(AJ$15),0),
ROUND(ROUND(OFFSET($P23,0,AJ$13),15-13*ORÇAMENTO!$AF$7)*OFFSET(ORÇAMENTO!$W$15,ROW(AJ23)-ROW(AJ$15),0),15-13*ORÇAMENTO!$AF$11)),0)</f>
        <v>0</v>
      </c>
      <c r="AK23" s="543">
        <f ca="1">IF(AND($D23="Serviço",AK$12&lt;&gt;0,$H23&gt;0,OR(AUTOEVENTO&lt;&gt;"manual",$M23&lt;&gt;1)),
IF(Import.TipoArredondamento&lt;&gt;"TransfereGOV",
ROUND(OFFSET($P23,0,AK$13),15-13*ORÇAMENTO!$AF$7)/$H23*OFFSET(ORÇAMENTO!$X$15,ROW(AK23)-ROW(AK$15),0),
ROUND(ROUND(OFFSET($P23,0,AK$13),15-13*ORÇAMENTO!$AF$7)*OFFSET(ORÇAMENTO!$W$15,ROW(AK23)-ROW(AK$15),0),15-13*ORÇAMENTO!$AF$11)),0)</f>
        <v>0</v>
      </c>
      <c r="AM23" s="178">
        <f ca="1">IF($D23&lt;&gt;"Serviço",0,IF(AND(AUTOEVENTO="Manual",$M23=1),0,IF(OFFSET(CRONOPLE!$F$14,$M23,AM$13)="",10^12,OFFSET(CRONOPLE!$F$14,$M23,AM$13))))</f>
        <v>1000000000000</v>
      </c>
      <c r="AN23" s="178">
        <f ca="1">IF($D23&lt;&gt;"Serviço",0,IF(AND(AUTOEVENTO="Manual",$M23=1),0,IF(OFFSET(CRONOPLE!$F$14,$M23,AN$13)="",10^12,OFFSET(CRONOPLE!$F$14,$M23,AN$13))))</f>
        <v>1000000000000</v>
      </c>
      <c r="AO23" s="178">
        <f ca="1">IF($D23&lt;&gt;"Serviço",0,IF(AND(AUTOEVENTO="Manual",$M23=1),0,IF(OFFSET(CRONOPLE!$F$14,$M23,AO$13)="",10^12,OFFSET(CRONOPLE!$F$14,$M23,AO$13))))</f>
        <v>1000000000000</v>
      </c>
      <c r="AP23" s="178">
        <f ca="1">IF($D23&lt;&gt;"Serviço",0,IF(AND(AUTOEVENTO="Manual",$M23=1),0,IF(OFFSET(CRONOPLE!$F$14,$M23,AP$13)="",10^12,OFFSET(CRONOPLE!$F$14,$M23,AP$13))))</f>
        <v>1000000000000</v>
      </c>
      <c r="AQ23" s="178">
        <f ca="1">IF($D23&lt;&gt;"Serviço",0,IF(AND(AUTOEVENTO="Manual",$M23=1),0,IF(OFFSET(CRONOPLE!$F$14,$M23,AQ$13)="",10^12,OFFSET(CRONOPLE!$F$14,$M23,AQ$13))))</f>
        <v>1000000000000</v>
      </c>
      <c r="AR23" s="178">
        <f ca="1">IF($D23&lt;&gt;"Serviço",0,IF(AND(AUTOEVENTO="Manual",$M23=1),0,IF(OFFSET(CRONOPLE!$F$14,$M23,AR$13)="",10^12,OFFSET(CRONOPLE!$F$14,$M23,AR$13))))</f>
        <v>1000000000000</v>
      </c>
      <c r="AS23" s="178">
        <f ca="1">IF($D23&lt;&gt;"Serviço",0,IF(AND(AUTOEVENTO="Manual",$M23=1),0,IF(OFFSET(CRONOPLE!$F$14,$M23,AS$13)="",10^12,OFFSET(CRONOPLE!$F$14,$M23,AS$13))))</f>
        <v>1000000000000</v>
      </c>
      <c r="AT23" s="178">
        <f ca="1">IF($D23&lt;&gt;"Serviço",0,IF(AND(AUTOEVENTO="Manual",$M23=1),0,IF(OFFSET(CRONOPLE!$F$14,$M23,AT$13)="",10^12,OFFSET(CRONOPLE!$F$14,$M23,AT$13))))</f>
        <v>1000000000000</v>
      </c>
      <c r="AU23" s="178">
        <f ca="1">IF($D23&lt;&gt;"Serviço",0,IF(AND(AUTOEVENTO="Manual",$M23=1),0,IF(OFFSET(CRONOPLE!$F$14,$M23,AU$13)="",10^12,OFFSET(CRONOPLE!$F$14,$M23,AU$13))))</f>
        <v>1000000000000</v>
      </c>
      <c r="AV23" s="178">
        <f ca="1">IF($D23&lt;&gt;"Serviço",0,IF(AND(AUTOEVENTO="Manual",$M23=1),0,IF(OFFSET(CRONOPLE!$F$14,$M23,AV$13)="",10^12,OFFSET(CRONOPLE!$F$14,$M23,AV$13))))</f>
        <v>1000000000000</v>
      </c>
      <c r="AX23" s="179">
        <f ca="1">IF($D23&lt;&gt;"Serviço",0,IF(OR(AND(AUTOEVENTO="Manual",$M23=1),$M23&gt;(ROW(PLE.lastrow)-ROW(PLE.firstrow))),0,IF(OFFSET(PLE!$G$14,$M23,AX$13)="",10^12,OFFSET(PLE!$G$14,$M23,AX$13))))</f>
        <v>1000000000000</v>
      </c>
      <c r="AY23" s="179">
        <f ca="1">IF($D23&lt;&gt;"Serviço",0,IF(OR(AND(AUTOEVENTO="Manual",$M23=1),$M23&gt;(ROW(PLE.lastrow)-ROW(PLE.firstrow))),0,IF(OFFSET(PLE!$G$14,$M23,AY$13)="",10^12,OFFSET(PLE!$G$14,$M23,AY$13))))</f>
        <v>1000000000000</v>
      </c>
      <c r="AZ23" s="179">
        <f ca="1">IF($D23&lt;&gt;"Serviço",0,IF(OR(AND(AUTOEVENTO="Manual",$M23=1),$M23&gt;(ROW(PLE.lastrow)-ROW(PLE.firstrow))),0,IF(OFFSET(PLE!$G$14,$M23,AZ$13)="",10^12,OFFSET(PLE!$G$14,$M23,AZ$13))))</f>
        <v>1000000000000</v>
      </c>
      <c r="BA23" s="179">
        <f ca="1">IF($D23&lt;&gt;"Serviço",0,IF(OR(AND(AUTOEVENTO="Manual",$M23=1),$M23&gt;(ROW(PLE.lastrow)-ROW(PLE.firstrow))),0,IF(OFFSET(PLE!$G$14,$M23,BA$13)="",10^12,OFFSET(PLE!$G$14,$M23,BA$13))))</f>
        <v>1000000000000</v>
      </c>
      <c r="BB23" s="179">
        <f ca="1">IF($D23&lt;&gt;"Serviço",0,IF(OR(AND(AUTOEVENTO="Manual",$M23=1),$M23&gt;(ROW(PLE.lastrow)-ROW(PLE.firstrow))),0,IF(OFFSET(PLE!$G$14,$M23,BB$13)="",10^12,OFFSET(PLE!$G$14,$M23,BB$13))))</f>
        <v>1000000000000</v>
      </c>
      <c r="BC23" s="179">
        <f ca="1">IF($D23&lt;&gt;"Serviço",0,IF(OR(AND(AUTOEVENTO="Manual",$M23=1),$M23&gt;(ROW(PLE.lastrow)-ROW(PLE.firstrow))),0,IF(OFFSET(PLE!$G$14,$M23,BC$13)="",10^12,OFFSET(PLE!$G$14,$M23,BC$13))))</f>
        <v>1000000000000</v>
      </c>
      <c r="BD23" s="179">
        <f ca="1">IF($D23&lt;&gt;"Serviço",0,IF(OR(AND(AUTOEVENTO="Manual",$M23=1),$M23&gt;(ROW(PLE.lastrow)-ROW(PLE.firstrow))),0,IF(OFFSET(PLE!$G$14,$M23,BD$13)="",10^12,OFFSET(PLE!$G$14,$M23,BD$13))))</f>
        <v>1000000000000</v>
      </c>
      <c r="BE23" s="179">
        <f ca="1">IF($D23&lt;&gt;"Serviço",0,IF(OR(AND(AUTOEVENTO="Manual",$M23=1),$M23&gt;(ROW(PLE.lastrow)-ROW(PLE.firstrow))),0,IF(OFFSET(PLE!$G$14,$M23,BE$13)="",10^12,OFFSET(PLE!$G$14,$M23,BE$13))))</f>
        <v>1000000000000</v>
      </c>
      <c r="BF23" s="179">
        <f ca="1">IF($D23&lt;&gt;"Serviço",0,IF(OR(AND(AUTOEVENTO="Manual",$M23=1),$M23&gt;(ROW(PLE.lastrow)-ROW(PLE.firstrow))),0,IF(OFFSET(PLE!$G$14,$M23,BF$13)="",10^12,OFFSET(PLE!$G$14,$M23,BF$13))))</f>
        <v>1000000000000</v>
      </c>
      <c r="BG23" s="179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7" t="str">
        <f t="shared" ca="1" si="9"/>
        <v>7</v>
      </c>
      <c r="B24" s="7" t="str">
        <f ca="1">OFFSET(ORÇAMENTO!C$15,ROW(B24)-ROW(B$15),0)</f>
        <v>S</v>
      </c>
      <c r="C24" s="7" t="str">
        <f ca="1">OFFSET(ORÇAMENTO!L$15,ROW(C24)-ROW(C$15),0)</f>
        <v/>
      </c>
      <c r="D24" s="115" t="str">
        <f ca="1">OFFSET(ORÇAMENTO!N$15,ROW(D24)-ROW(D$15),0)</f>
        <v>Serviço</v>
      </c>
      <c r="E24" s="116" t="str">
        <f ca="1">OFFSET(ORÇAMENTO!O$15,ROW(E24)-ROW(E$15),0)</f>
        <v>-</v>
      </c>
      <c r="F24" s="169" t="str">
        <f ca="1">OFFSET(ORÇAMENTO!R$15,ROW(F24)-ROW(F$15),0)</f>
        <v>(abra o arquivo 'Referência 10-2024.xlsm)</v>
      </c>
      <c r="G24" s="170" t="str">
        <f ca="1">IF($D24&lt;&gt;"Serviço","",OFFSET(ORÇAMENTO!S$15,ROW(G24)-ROW(G$15),0))</f>
        <v>-</v>
      </c>
      <c r="H24" s="121">
        <f ca="1">IF($D24&lt;&gt;"Serviço",0,IF(ACOMPANHAMENTO="BM",ROUND(OFFSET(ORÇAMENTO!AJ$15,ROW(H24)-ROW(H$15),0),15-13*ORÇAMENTO!$AF$7),SUMPRODUCT(($Q$12:$AA$12&lt;&gt;"")*ROUND($Q24:$AA24,15-13*ORÇAMENTO!$AF$7))))</f>
        <v>38</v>
      </c>
      <c r="I24" s="558" t="s">
        <v>558</v>
      </c>
      <c r="K24" s="171"/>
      <c r="L24" s="172" t="s">
        <v>255</v>
      </c>
      <c r="M24" s="173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174" t="str">
        <f ca="1">IF($D24&lt;&gt;"Serviço","",IF(AUTOEVENTO="Manual",IF($A24=0,"&lt;-- defina o número do agrupador",OFFSET(EVENTOS!$D$14,$A24,0)),OFFSET($F$15,$A24,0)))</f>
        <v>SERVIÇOS PRELIMINARES</v>
      </c>
      <c r="O24" s="175"/>
      <c r="Q24" s="175"/>
      <c r="R24" s="176"/>
      <c r="S24" s="176"/>
      <c r="T24" s="176"/>
      <c r="U24" s="176"/>
      <c r="V24" s="176"/>
      <c r="W24" s="176"/>
      <c r="X24" s="176"/>
      <c r="Y24" s="176"/>
      <c r="Z24" s="177"/>
      <c r="AB24" s="541">
        <f ca="1">IF(AND($D24="Serviço",AB$12&lt;&gt;0,$H24&gt;0,OR(AUTOEVENTO&lt;&gt;"manual",$M24&lt;&gt;1)),
IF(Import.TipoArredondamento&lt;&gt;"TransfereGOV",
ROUND(OFFSET($P24,0,AB$13),15-13*ORÇAMENTO!$AF$7)/$H24*OFFSET(ORÇAMENTO!$X$15,ROW(AB24)-ROW(AB$15),0),
ROUND(ROUND(OFFSET($P24,0,AB$13),15-13*ORÇAMENTO!$AF$7)*OFFSET(ORÇAMENTO!$W$15,ROW(AB24)-ROW(AB$15),0),15-13*ORÇAMENTO!$AF$11)),0)</f>
        <v>0</v>
      </c>
      <c r="AC24" s="542">
        <f ca="1">IF(AND($D24="Serviço",AC$12&lt;&gt;0,$H24&gt;0,OR(AUTOEVENTO&lt;&gt;"manual",$M24&lt;&gt;1)),
IF(Import.TipoArredondamento&lt;&gt;"TransfereGOV",
ROUND(OFFSET($P24,0,AC$13),15-13*ORÇAMENTO!$AF$7)/$H24*OFFSET(ORÇAMENTO!$X$15,ROW(AC24)-ROW(AC$15),0),
ROUND(ROUND(OFFSET($P24,0,AC$13),15-13*ORÇAMENTO!$AF$7)*OFFSET(ORÇAMENTO!$W$15,ROW(AC24)-ROW(AC$15),0),15-13*ORÇAMENTO!$AF$11)),0)</f>
        <v>0</v>
      </c>
      <c r="AD24" s="542">
        <f ca="1">IF(AND($D24="Serviço",AD$12&lt;&gt;0,$H24&gt;0,OR(AUTOEVENTO&lt;&gt;"manual",$M24&lt;&gt;1)),
IF(Import.TipoArredondamento&lt;&gt;"TransfereGOV",
ROUND(OFFSET($P24,0,AD$13),15-13*ORÇAMENTO!$AF$7)/$H24*OFFSET(ORÇAMENTO!$X$15,ROW(AD24)-ROW(AD$15),0),
ROUND(ROUND(OFFSET($P24,0,AD$13),15-13*ORÇAMENTO!$AF$7)*OFFSET(ORÇAMENTO!$W$15,ROW(AD24)-ROW(AD$15),0),15-13*ORÇAMENTO!$AF$11)),0)</f>
        <v>0</v>
      </c>
      <c r="AE24" s="542">
        <f ca="1">IF(AND($D24="Serviço",AE$12&lt;&gt;0,$H24&gt;0,OR(AUTOEVENTO&lt;&gt;"manual",$M24&lt;&gt;1)),
IF(Import.TipoArredondamento&lt;&gt;"TransfereGOV",
ROUND(OFFSET($P24,0,AE$13),15-13*ORÇAMENTO!$AF$7)/$H24*OFFSET(ORÇAMENTO!$X$15,ROW(AE24)-ROW(AE$15),0),
ROUND(ROUND(OFFSET($P24,0,AE$13),15-13*ORÇAMENTO!$AF$7)*OFFSET(ORÇAMENTO!$W$15,ROW(AE24)-ROW(AE$15),0),15-13*ORÇAMENTO!$AF$11)),0)</f>
        <v>0</v>
      </c>
      <c r="AF24" s="542">
        <f ca="1">IF(AND($D24="Serviço",AF$12&lt;&gt;0,$H24&gt;0,OR(AUTOEVENTO&lt;&gt;"manual",$M24&lt;&gt;1)),
IF(Import.TipoArredondamento&lt;&gt;"TransfereGOV",
ROUND(OFFSET($P24,0,AF$13),15-13*ORÇAMENTO!$AF$7)/$H24*OFFSET(ORÇAMENTO!$X$15,ROW(AF24)-ROW(AF$15),0),
ROUND(ROUND(OFFSET($P24,0,AF$13),15-13*ORÇAMENTO!$AF$7)*OFFSET(ORÇAMENTO!$W$15,ROW(AF24)-ROW(AF$15),0),15-13*ORÇAMENTO!$AF$11)),0)</f>
        <v>0</v>
      </c>
      <c r="AG24" s="542">
        <f ca="1">IF(AND($D24="Serviço",AG$12&lt;&gt;0,$H24&gt;0,OR(AUTOEVENTO&lt;&gt;"manual",$M24&lt;&gt;1)),
IF(Import.TipoArredondamento&lt;&gt;"TransfereGOV",
ROUND(OFFSET($P24,0,AG$13),15-13*ORÇAMENTO!$AF$7)/$H24*OFFSET(ORÇAMENTO!$X$15,ROW(AG24)-ROW(AG$15),0),
ROUND(ROUND(OFFSET($P24,0,AG$13),15-13*ORÇAMENTO!$AF$7)*OFFSET(ORÇAMENTO!$W$15,ROW(AG24)-ROW(AG$15),0),15-13*ORÇAMENTO!$AF$11)),0)</f>
        <v>0</v>
      </c>
      <c r="AH24" s="542">
        <f ca="1">IF(AND($D24="Serviço",AH$12&lt;&gt;0,$H24&gt;0,OR(AUTOEVENTO&lt;&gt;"manual",$M24&lt;&gt;1)),
IF(Import.TipoArredondamento&lt;&gt;"TransfereGOV",
ROUND(OFFSET($P24,0,AH$13),15-13*ORÇAMENTO!$AF$7)/$H24*OFFSET(ORÇAMENTO!$X$15,ROW(AH24)-ROW(AH$15),0),
ROUND(ROUND(OFFSET($P24,0,AH$13),15-13*ORÇAMENTO!$AF$7)*OFFSET(ORÇAMENTO!$W$15,ROW(AH24)-ROW(AH$15),0),15-13*ORÇAMENTO!$AF$11)),0)</f>
        <v>0</v>
      </c>
      <c r="AI24" s="542">
        <f ca="1">IF(AND($D24="Serviço",AI$12&lt;&gt;0,$H24&gt;0,OR(AUTOEVENTO&lt;&gt;"manual",$M24&lt;&gt;1)),
IF(Import.TipoArredondamento&lt;&gt;"TransfereGOV",
ROUND(OFFSET($P24,0,AI$13),15-13*ORÇAMENTO!$AF$7)/$H24*OFFSET(ORÇAMENTO!$X$15,ROW(AI24)-ROW(AI$15),0),
ROUND(ROUND(OFFSET($P24,0,AI$13),15-13*ORÇAMENTO!$AF$7)*OFFSET(ORÇAMENTO!$W$15,ROW(AI24)-ROW(AI$15),0),15-13*ORÇAMENTO!$AF$11)),0)</f>
        <v>0</v>
      </c>
      <c r="AJ24" s="542">
        <f ca="1">IF(AND($D24="Serviço",AJ$12&lt;&gt;0,$H24&gt;0,OR(AUTOEVENTO&lt;&gt;"manual",$M24&lt;&gt;1)),
IF(Import.TipoArredondamento&lt;&gt;"TransfereGOV",
ROUND(OFFSET($P24,0,AJ$13),15-13*ORÇAMENTO!$AF$7)/$H24*OFFSET(ORÇAMENTO!$X$15,ROW(AJ24)-ROW(AJ$15),0),
ROUND(ROUND(OFFSET($P24,0,AJ$13),15-13*ORÇAMENTO!$AF$7)*OFFSET(ORÇAMENTO!$W$15,ROW(AJ24)-ROW(AJ$15),0),15-13*ORÇAMENTO!$AF$11)),0)</f>
        <v>0</v>
      </c>
      <c r="AK24" s="543">
        <f ca="1">IF(AND($D24="Serviço",AK$12&lt;&gt;0,$H24&gt;0,OR(AUTOEVENTO&lt;&gt;"manual",$M24&lt;&gt;1)),
IF(Import.TipoArredondamento&lt;&gt;"TransfereGOV",
ROUND(OFFSET($P24,0,AK$13),15-13*ORÇAMENTO!$AF$7)/$H24*OFFSET(ORÇAMENTO!$X$15,ROW(AK24)-ROW(AK$15),0),
ROUND(ROUND(OFFSET($P24,0,AK$13),15-13*ORÇAMENTO!$AF$7)*OFFSET(ORÇAMENTO!$W$15,ROW(AK24)-ROW(AK$15),0),15-13*ORÇAMENTO!$AF$11)),0)</f>
        <v>0</v>
      </c>
      <c r="AM24" s="178">
        <f ca="1">IF($D24&lt;&gt;"Serviço",0,IF(AND(AUTOEVENTO="Manual",$M24=1),0,IF(OFFSET(CRONOPLE!$F$14,$M24,AM$13)="",10^12,OFFSET(CRONOPLE!$F$14,$M24,AM$13))))</f>
        <v>1000000000000</v>
      </c>
      <c r="AN24" s="178">
        <f ca="1">IF($D24&lt;&gt;"Serviço",0,IF(AND(AUTOEVENTO="Manual",$M24=1),0,IF(OFFSET(CRONOPLE!$F$14,$M24,AN$13)="",10^12,OFFSET(CRONOPLE!$F$14,$M24,AN$13))))</f>
        <v>1000000000000</v>
      </c>
      <c r="AO24" s="178">
        <f ca="1">IF($D24&lt;&gt;"Serviço",0,IF(AND(AUTOEVENTO="Manual",$M24=1),0,IF(OFFSET(CRONOPLE!$F$14,$M24,AO$13)="",10^12,OFFSET(CRONOPLE!$F$14,$M24,AO$13))))</f>
        <v>1000000000000</v>
      </c>
      <c r="AP24" s="178">
        <f ca="1">IF($D24&lt;&gt;"Serviço",0,IF(AND(AUTOEVENTO="Manual",$M24=1),0,IF(OFFSET(CRONOPLE!$F$14,$M24,AP$13)="",10^12,OFFSET(CRONOPLE!$F$14,$M24,AP$13))))</f>
        <v>1000000000000</v>
      </c>
      <c r="AQ24" s="178">
        <f ca="1">IF($D24&lt;&gt;"Serviço",0,IF(AND(AUTOEVENTO="Manual",$M24=1),0,IF(OFFSET(CRONOPLE!$F$14,$M24,AQ$13)="",10^12,OFFSET(CRONOPLE!$F$14,$M24,AQ$13))))</f>
        <v>1000000000000</v>
      </c>
      <c r="AR24" s="178">
        <f ca="1">IF($D24&lt;&gt;"Serviço",0,IF(AND(AUTOEVENTO="Manual",$M24=1),0,IF(OFFSET(CRONOPLE!$F$14,$M24,AR$13)="",10^12,OFFSET(CRONOPLE!$F$14,$M24,AR$13))))</f>
        <v>1000000000000</v>
      </c>
      <c r="AS24" s="178">
        <f ca="1">IF($D24&lt;&gt;"Serviço",0,IF(AND(AUTOEVENTO="Manual",$M24=1),0,IF(OFFSET(CRONOPLE!$F$14,$M24,AS$13)="",10^12,OFFSET(CRONOPLE!$F$14,$M24,AS$13))))</f>
        <v>1000000000000</v>
      </c>
      <c r="AT24" s="178">
        <f ca="1">IF($D24&lt;&gt;"Serviço",0,IF(AND(AUTOEVENTO="Manual",$M24=1),0,IF(OFFSET(CRONOPLE!$F$14,$M24,AT$13)="",10^12,OFFSET(CRONOPLE!$F$14,$M24,AT$13))))</f>
        <v>1000000000000</v>
      </c>
      <c r="AU24" s="178">
        <f ca="1">IF($D24&lt;&gt;"Serviço",0,IF(AND(AUTOEVENTO="Manual",$M24=1),0,IF(OFFSET(CRONOPLE!$F$14,$M24,AU$13)="",10^12,OFFSET(CRONOPLE!$F$14,$M24,AU$13))))</f>
        <v>1000000000000</v>
      </c>
      <c r="AV24" s="178">
        <f ca="1">IF($D24&lt;&gt;"Serviço",0,IF(AND(AUTOEVENTO="Manual",$M24=1),0,IF(OFFSET(CRONOPLE!$F$14,$M24,AV$13)="",10^12,OFFSET(CRONOPLE!$F$14,$M24,AV$13))))</f>
        <v>1000000000000</v>
      </c>
      <c r="AX24" s="179">
        <f ca="1">IF($D24&lt;&gt;"Serviço",0,IF(OR(AND(AUTOEVENTO="Manual",$M24=1),$M24&gt;(ROW(PLE.lastrow)-ROW(PLE.firstrow))),0,IF(OFFSET(PLE!$G$14,$M24,AX$13)="",10^12,OFFSET(PLE!$G$14,$M24,AX$13))))</f>
        <v>1000000000000</v>
      </c>
      <c r="AY24" s="179">
        <f ca="1">IF($D24&lt;&gt;"Serviço",0,IF(OR(AND(AUTOEVENTO="Manual",$M24=1),$M24&gt;(ROW(PLE.lastrow)-ROW(PLE.firstrow))),0,IF(OFFSET(PLE!$G$14,$M24,AY$13)="",10^12,OFFSET(PLE!$G$14,$M24,AY$13))))</f>
        <v>1000000000000</v>
      </c>
      <c r="AZ24" s="179">
        <f ca="1">IF($D24&lt;&gt;"Serviço",0,IF(OR(AND(AUTOEVENTO="Manual",$M24=1),$M24&gt;(ROW(PLE.lastrow)-ROW(PLE.firstrow))),0,IF(OFFSET(PLE!$G$14,$M24,AZ$13)="",10^12,OFFSET(PLE!$G$14,$M24,AZ$13))))</f>
        <v>1000000000000</v>
      </c>
      <c r="BA24" s="179">
        <f ca="1">IF($D24&lt;&gt;"Serviço",0,IF(OR(AND(AUTOEVENTO="Manual",$M24=1),$M24&gt;(ROW(PLE.lastrow)-ROW(PLE.firstrow))),0,IF(OFFSET(PLE!$G$14,$M24,BA$13)="",10^12,OFFSET(PLE!$G$14,$M24,BA$13))))</f>
        <v>1000000000000</v>
      </c>
      <c r="BB24" s="179">
        <f ca="1">IF($D24&lt;&gt;"Serviço",0,IF(OR(AND(AUTOEVENTO="Manual",$M24=1),$M24&gt;(ROW(PLE.lastrow)-ROW(PLE.firstrow))),0,IF(OFFSET(PLE!$G$14,$M24,BB$13)="",10^12,OFFSET(PLE!$G$14,$M24,BB$13))))</f>
        <v>1000000000000</v>
      </c>
      <c r="BC24" s="179">
        <f ca="1">IF($D24&lt;&gt;"Serviço",0,IF(OR(AND(AUTOEVENTO="Manual",$M24=1),$M24&gt;(ROW(PLE.lastrow)-ROW(PLE.firstrow))),0,IF(OFFSET(PLE!$G$14,$M24,BC$13)="",10^12,OFFSET(PLE!$G$14,$M24,BC$13))))</f>
        <v>1000000000000</v>
      </c>
      <c r="BD24" s="179">
        <f ca="1">IF($D24&lt;&gt;"Serviço",0,IF(OR(AND(AUTOEVENTO="Manual",$M24=1),$M24&gt;(ROW(PLE.lastrow)-ROW(PLE.firstrow))),0,IF(OFFSET(PLE!$G$14,$M24,BD$13)="",10^12,OFFSET(PLE!$G$14,$M24,BD$13))))</f>
        <v>1000000000000</v>
      </c>
      <c r="BE24" s="179">
        <f ca="1">IF($D24&lt;&gt;"Serviço",0,IF(OR(AND(AUTOEVENTO="Manual",$M24=1),$M24&gt;(ROW(PLE.lastrow)-ROW(PLE.firstrow))),0,IF(OFFSET(PLE!$G$14,$M24,BE$13)="",10^12,OFFSET(PLE!$G$14,$M24,BE$13))))</f>
        <v>1000000000000</v>
      </c>
      <c r="BF24" s="179">
        <f ca="1">IF($D24&lt;&gt;"Serviço",0,IF(OR(AND(AUTOEVENTO="Manual",$M24=1),$M24&gt;(ROW(PLE.lastrow)-ROW(PLE.firstrow))),0,IF(OFFSET(PLE!$G$14,$M24,BF$13)="",10^12,OFFSET(PLE!$G$14,$M24,BF$13))))</f>
        <v>1000000000000</v>
      </c>
      <c r="BG24" s="179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7" t="str">
        <f t="shared" ca="1" si="9"/>
        <v>7</v>
      </c>
      <c r="B25" s="7" t="str">
        <f ca="1">OFFSET(ORÇAMENTO!C$15,ROW(B25)-ROW(B$15),0)</f>
        <v>S</v>
      </c>
      <c r="C25" s="7" t="str">
        <f ca="1">OFFSET(ORÇAMENTO!L$15,ROW(C25)-ROW(C$15),0)</f>
        <v/>
      </c>
      <c r="D25" s="115" t="str">
        <f ca="1">OFFSET(ORÇAMENTO!N$15,ROW(D25)-ROW(D$15),0)</f>
        <v>Serviço</v>
      </c>
      <c r="E25" s="116" t="str">
        <f ca="1">OFFSET(ORÇAMENTO!O$15,ROW(E25)-ROW(E$15),0)</f>
        <v>-</v>
      </c>
      <c r="F25" s="169" t="str">
        <f ca="1">OFFSET(ORÇAMENTO!R$15,ROW(F25)-ROW(F$15),0)</f>
        <v>(abra o arquivo 'Referência 10-2024.xlsm)</v>
      </c>
      <c r="G25" s="170" t="str">
        <f ca="1">IF($D25&lt;&gt;"Serviço","",OFFSET(ORÇAMENTO!S$15,ROW(G25)-ROW(G$15),0))</f>
        <v>-</v>
      </c>
      <c r="H25" s="121">
        <f ca="1">IF($D25&lt;&gt;"Serviço",0,IF(ACOMPANHAMENTO="BM",ROUND(OFFSET(ORÇAMENTO!AJ$15,ROW(H25)-ROW(H$15),0),15-13*ORÇAMENTO!$AF$7),SUMPRODUCT(($Q$12:$AA$12&lt;&gt;"")*ROUND($Q25:$AA25,15-13*ORÇAMENTO!$AF$7))))</f>
        <v>78</v>
      </c>
      <c r="I25" s="558" t="s">
        <v>559</v>
      </c>
      <c r="K25" s="171"/>
      <c r="L25" s="172" t="s">
        <v>255</v>
      </c>
      <c r="M25" s="173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174" t="str">
        <f ca="1">IF($D25&lt;&gt;"Serviço","",IF(AUTOEVENTO="Manual",IF($A25=0,"&lt;-- defina o número do agrupador",OFFSET(EVENTOS!$D$14,$A25,0)),OFFSET($F$15,$A25,0)))</f>
        <v>SERVIÇOS PRELIMINARES</v>
      </c>
      <c r="O25" s="175"/>
      <c r="Q25" s="175"/>
      <c r="R25" s="176"/>
      <c r="S25" s="176"/>
      <c r="T25" s="176"/>
      <c r="U25" s="176"/>
      <c r="V25" s="176"/>
      <c r="W25" s="176"/>
      <c r="X25" s="176"/>
      <c r="Y25" s="176"/>
      <c r="Z25" s="177"/>
      <c r="AB25" s="541">
        <f ca="1">IF(AND($D25="Serviço",AB$12&lt;&gt;0,$H25&gt;0,OR(AUTOEVENTO&lt;&gt;"manual",$M25&lt;&gt;1)),
IF(Import.TipoArredondamento&lt;&gt;"TransfereGOV",
ROUND(OFFSET($P25,0,AB$13),15-13*ORÇAMENTO!$AF$7)/$H25*OFFSET(ORÇAMENTO!$X$15,ROW(AB25)-ROW(AB$15),0),
ROUND(ROUND(OFFSET($P25,0,AB$13),15-13*ORÇAMENTO!$AF$7)*OFFSET(ORÇAMENTO!$W$15,ROW(AB25)-ROW(AB$15),0),15-13*ORÇAMENTO!$AF$11)),0)</f>
        <v>0</v>
      </c>
      <c r="AC25" s="542">
        <f ca="1">IF(AND($D25="Serviço",AC$12&lt;&gt;0,$H25&gt;0,OR(AUTOEVENTO&lt;&gt;"manual",$M25&lt;&gt;1)),
IF(Import.TipoArredondamento&lt;&gt;"TransfereGOV",
ROUND(OFFSET($P25,0,AC$13),15-13*ORÇAMENTO!$AF$7)/$H25*OFFSET(ORÇAMENTO!$X$15,ROW(AC25)-ROW(AC$15),0),
ROUND(ROUND(OFFSET($P25,0,AC$13),15-13*ORÇAMENTO!$AF$7)*OFFSET(ORÇAMENTO!$W$15,ROW(AC25)-ROW(AC$15),0),15-13*ORÇAMENTO!$AF$11)),0)</f>
        <v>0</v>
      </c>
      <c r="AD25" s="542">
        <f ca="1">IF(AND($D25="Serviço",AD$12&lt;&gt;0,$H25&gt;0,OR(AUTOEVENTO&lt;&gt;"manual",$M25&lt;&gt;1)),
IF(Import.TipoArredondamento&lt;&gt;"TransfereGOV",
ROUND(OFFSET($P25,0,AD$13),15-13*ORÇAMENTO!$AF$7)/$H25*OFFSET(ORÇAMENTO!$X$15,ROW(AD25)-ROW(AD$15),0),
ROUND(ROUND(OFFSET($P25,0,AD$13),15-13*ORÇAMENTO!$AF$7)*OFFSET(ORÇAMENTO!$W$15,ROW(AD25)-ROW(AD$15),0),15-13*ORÇAMENTO!$AF$11)),0)</f>
        <v>0</v>
      </c>
      <c r="AE25" s="542">
        <f ca="1">IF(AND($D25="Serviço",AE$12&lt;&gt;0,$H25&gt;0,OR(AUTOEVENTO&lt;&gt;"manual",$M25&lt;&gt;1)),
IF(Import.TipoArredondamento&lt;&gt;"TransfereGOV",
ROUND(OFFSET($P25,0,AE$13),15-13*ORÇAMENTO!$AF$7)/$H25*OFFSET(ORÇAMENTO!$X$15,ROW(AE25)-ROW(AE$15),0),
ROUND(ROUND(OFFSET($P25,0,AE$13),15-13*ORÇAMENTO!$AF$7)*OFFSET(ORÇAMENTO!$W$15,ROW(AE25)-ROW(AE$15),0),15-13*ORÇAMENTO!$AF$11)),0)</f>
        <v>0</v>
      </c>
      <c r="AF25" s="542">
        <f ca="1">IF(AND($D25="Serviço",AF$12&lt;&gt;0,$H25&gt;0,OR(AUTOEVENTO&lt;&gt;"manual",$M25&lt;&gt;1)),
IF(Import.TipoArredondamento&lt;&gt;"TransfereGOV",
ROUND(OFFSET($P25,0,AF$13),15-13*ORÇAMENTO!$AF$7)/$H25*OFFSET(ORÇAMENTO!$X$15,ROW(AF25)-ROW(AF$15),0),
ROUND(ROUND(OFFSET($P25,0,AF$13),15-13*ORÇAMENTO!$AF$7)*OFFSET(ORÇAMENTO!$W$15,ROW(AF25)-ROW(AF$15),0),15-13*ORÇAMENTO!$AF$11)),0)</f>
        <v>0</v>
      </c>
      <c r="AG25" s="542">
        <f ca="1">IF(AND($D25="Serviço",AG$12&lt;&gt;0,$H25&gt;0,OR(AUTOEVENTO&lt;&gt;"manual",$M25&lt;&gt;1)),
IF(Import.TipoArredondamento&lt;&gt;"TransfereGOV",
ROUND(OFFSET($P25,0,AG$13),15-13*ORÇAMENTO!$AF$7)/$H25*OFFSET(ORÇAMENTO!$X$15,ROW(AG25)-ROW(AG$15),0),
ROUND(ROUND(OFFSET($P25,0,AG$13),15-13*ORÇAMENTO!$AF$7)*OFFSET(ORÇAMENTO!$W$15,ROW(AG25)-ROW(AG$15),0),15-13*ORÇAMENTO!$AF$11)),0)</f>
        <v>0</v>
      </c>
      <c r="AH25" s="542">
        <f ca="1">IF(AND($D25="Serviço",AH$12&lt;&gt;0,$H25&gt;0,OR(AUTOEVENTO&lt;&gt;"manual",$M25&lt;&gt;1)),
IF(Import.TipoArredondamento&lt;&gt;"TransfereGOV",
ROUND(OFFSET($P25,0,AH$13),15-13*ORÇAMENTO!$AF$7)/$H25*OFFSET(ORÇAMENTO!$X$15,ROW(AH25)-ROW(AH$15),0),
ROUND(ROUND(OFFSET($P25,0,AH$13),15-13*ORÇAMENTO!$AF$7)*OFFSET(ORÇAMENTO!$W$15,ROW(AH25)-ROW(AH$15),0),15-13*ORÇAMENTO!$AF$11)),0)</f>
        <v>0</v>
      </c>
      <c r="AI25" s="542">
        <f ca="1">IF(AND($D25="Serviço",AI$12&lt;&gt;0,$H25&gt;0,OR(AUTOEVENTO&lt;&gt;"manual",$M25&lt;&gt;1)),
IF(Import.TipoArredondamento&lt;&gt;"TransfereGOV",
ROUND(OFFSET($P25,0,AI$13),15-13*ORÇAMENTO!$AF$7)/$H25*OFFSET(ORÇAMENTO!$X$15,ROW(AI25)-ROW(AI$15),0),
ROUND(ROUND(OFFSET($P25,0,AI$13),15-13*ORÇAMENTO!$AF$7)*OFFSET(ORÇAMENTO!$W$15,ROW(AI25)-ROW(AI$15),0),15-13*ORÇAMENTO!$AF$11)),0)</f>
        <v>0</v>
      </c>
      <c r="AJ25" s="542">
        <f ca="1">IF(AND($D25="Serviço",AJ$12&lt;&gt;0,$H25&gt;0,OR(AUTOEVENTO&lt;&gt;"manual",$M25&lt;&gt;1)),
IF(Import.TipoArredondamento&lt;&gt;"TransfereGOV",
ROUND(OFFSET($P25,0,AJ$13),15-13*ORÇAMENTO!$AF$7)/$H25*OFFSET(ORÇAMENTO!$X$15,ROW(AJ25)-ROW(AJ$15),0),
ROUND(ROUND(OFFSET($P25,0,AJ$13),15-13*ORÇAMENTO!$AF$7)*OFFSET(ORÇAMENTO!$W$15,ROW(AJ25)-ROW(AJ$15),0),15-13*ORÇAMENTO!$AF$11)),0)</f>
        <v>0</v>
      </c>
      <c r="AK25" s="543">
        <f ca="1">IF(AND($D25="Serviço",AK$12&lt;&gt;0,$H25&gt;0,OR(AUTOEVENTO&lt;&gt;"manual",$M25&lt;&gt;1)),
IF(Import.TipoArredondamento&lt;&gt;"TransfereGOV",
ROUND(OFFSET($P25,0,AK$13),15-13*ORÇAMENTO!$AF$7)/$H25*OFFSET(ORÇAMENTO!$X$15,ROW(AK25)-ROW(AK$15),0),
ROUND(ROUND(OFFSET($P25,0,AK$13),15-13*ORÇAMENTO!$AF$7)*OFFSET(ORÇAMENTO!$W$15,ROW(AK25)-ROW(AK$15),0),15-13*ORÇAMENTO!$AF$11)),0)</f>
        <v>0</v>
      </c>
      <c r="AM25" s="178">
        <f ca="1">IF($D25&lt;&gt;"Serviço",0,IF(AND(AUTOEVENTO="Manual",$M25=1),0,IF(OFFSET(CRONOPLE!$F$14,$M25,AM$13)="",10^12,OFFSET(CRONOPLE!$F$14,$M25,AM$13))))</f>
        <v>1000000000000</v>
      </c>
      <c r="AN25" s="178">
        <f ca="1">IF($D25&lt;&gt;"Serviço",0,IF(AND(AUTOEVENTO="Manual",$M25=1),0,IF(OFFSET(CRONOPLE!$F$14,$M25,AN$13)="",10^12,OFFSET(CRONOPLE!$F$14,$M25,AN$13))))</f>
        <v>1000000000000</v>
      </c>
      <c r="AO25" s="178">
        <f ca="1">IF($D25&lt;&gt;"Serviço",0,IF(AND(AUTOEVENTO="Manual",$M25=1),0,IF(OFFSET(CRONOPLE!$F$14,$M25,AO$13)="",10^12,OFFSET(CRONOPLE!$F$14,$M25,AO$13))))</f>
        <v>1000000000000</v>
      </c>
      <c r="AP25" s="178">
        <f ca="1">IF($D25&lt;&gt;"Serviço",0,IF(AND(AUTOEVENTO="Manual",$M25=1),0,IF(OFFSET(CRONOPLE!$F$14,$M25,AP$13)="",10^12,OFFSET(CRONOPLE!$F$14,$M25,AP$13))))</f>
        <v>1000000000000</v>
      </c>
      <c r="AQ25" s="178">
        <f ca="1">IF($D25&lt;&gt;"Serviço",0,IF(AND(AUTOEVENTO="Manual",$M25=1),0,IF(OFFSET(CRONOPLE!$F$14,$M25,AQ$13)="",10^12,OFFSET(CRONOPLE!$F$14,$M25,AQ$13))))</f>
        <v>1000000000000</v>
      </c>
      <c r="AR25" s="178">
        <f ca="1">IF($D25&lt;&gt;"Serviço",0,IF(AND(AUTOEVENTO="Manual",$M25=1),0,IF(OFFSET(CRONOPLE!$F$14,$M25,AR$13)="",10^12,OFFSET(CRONOPLE!$F$14,$M25,AR$13))))</f>
        <v>1000000000000</v>
      </c>
      <c r="AS25" s="178">
        <f ca="1">IF($D25&lt;&gt;"Serviço",0,IF(AND(AUTOEVENTO="Manual",$M25=1),0,IF(OFFSET(CRONOPLE!$F$14,$M25,AS$13)="",10^12,OFFSET(CRONOPLE!$F$14,$M25,AS$13))))</f>
        <v>1000000000000</v>
      </c>
      <c r="AT25" s="178">
        <f ca="1">IF($D25&lt;&gt;"Serviço",0,IF(AND(AUTOEVENTO="Manual",$M25=1),0,IF(OFFSET(CRONOPLE!$F$14,$M25,AT$13)="",10^12,OFFSET(CRONOPLE!$F$14,$M25,AT$13))))</f>
        <v>1000000000000</v>
      </c>
      <c r="AU25" s="178">
        <f ca="1">IF($D25&lt;&gt;"Serviço",0,IF(AND(AUTOEVENTO="Manual",$M25=1),0,IF(OFFSET(CRONOPLE!$F$14,$M25,AU$13)="",10^12,OFFSET(CRONOPLE!$F$14,$M25,AU$13))))</f>
        <v>1000000000000</v>
      </c>
      <c r="AV25" s="178">
        <f ca="1">IF($D25&lt;&gt;"Serviço",0,IF(AND(AUTOEVENTO="Manual",$M25=1),0,IF(OFFSET(CRONOPLE!$F$14,$M25,AV$13)="",10^12,OFFSET(CRONOPLE!$F$14,$M25,AV$13))))</f>
        <v>1000000000000</v>
      </c>
      <c r="AX25" s="179">
        <f ca="1">IF($D25&lt;&gt;"Serviço",0,IF(OR(AND(AUTOEVENTO="Manual",$M25=1),$M25&gt;(ROW(PLE.lastrow)-ROW(PLE.firstrow))),0,IF(OFFSET(PLE!$G$14,$M25,AX$13)="",10^12,OFFSET(PLE!$G$14,$M25,AX$13))))</f>
        <v>1000000000000</v>
      </c>
      <c r="AY25" s="179">
        <f ca="1">IF($D25&lt;&gt;"Serviço",0,IF(OR(AND(AUTOEVENTO="Manual",$M25=1),$M25&gt;(ROW(PLE.lastrow)-ROW(PLE.firstrow))),0,IF(OFFSET(PLE!$G$14,$M25,AY$13)="",10^12,OFFSET(PLE!$G$14,$M25,AY$13))))</f>
        <v>1000000000000</v>
      </c>
      <c r="AZ25" s="179">
        <f ca="1">IF($D25&lt;&gt;"Serviço",0,IF(OR(AND(AUTOEVENTO="Manual",$M25=1),$M25&gt;(ROW(PLE.lastrow)-ROW(PLE.firstrow))),0,IF(OFFSET(PLE!$G$14,$M25,AZ$13)="",10^12,OFFSET(PLE!$G$14,$M25,AZ$13))))</f>
        <v>1000000000000</v>
      </c>
      <c r="BA25" s="179">
        <f ca="1">IF($D25&lt;&gt;"Serviço",0,IF(OR(AND(AUTOEVENTO="Manual",$M25=1),$M25&gt;(ROW(PLE.lastrow)-ROW(PLE.firstrow))),0,IF(OFFSET(PLE!$G$14,$M25,BA$13)="",10^12,OFFSET(PLE!$G$14,$M25,BA$13))))</f>
        <v>1000000000000</v>
      </c>
      <c r="BB25" s="179">
        <f ca="1">IF($D25&lt;&gt;"Serviço",0,IF(OR(AND(AUTOEVENTO="Manual",$M25=1),$M25&gt;(ROW(PLE.lastrow)-ROW(PLE.firstrow))),0,IF(OFFSET(PLE!$G$14,$M25,BB$13)="",10^12,OFFSET(PLE!$G$14,$M25,BB$13))))</f>
        <v>1000000000000</v>
      </c>
      <c r="BC25" s="179">
        <f ca="1">IF($D25&lt;&gt;"Serviço",0,IF(OR(AND(AUTOEVENTO="Manual",$M25=1),$M25&gt;(ROW(PLE.lastrow)-ROW(PLE.firstrow))),0,IF(OFFSET(PLE!$G$14,$M25,BC$13)="",10^12,OFFSET(PLE!$G$14,$M25,BC$13))))</f>
        <v>1000000000000</v>
      </c>
      <c r="BD25" s="179">
        <f ca="1">IF($D25&lt;&gt;"Serviço",0,IF(OR(AND(AUTOEVENTO="Manual",$M25=1),$M25&gt;(ROW(PLE.lastrow)-ROW(PLE.firstrow))),0,IF(OFFSET(PLE!$G$14,$M25,BD$13)="",10^12,OFFSET(PLE!$G$14,$M25,BD$13))))</f>
        <v>1000000000000</v>
      </c>
      <c r="BE25" s="179">
        <f ca="1">IF($D25&lt;&gt;"Serviço",0,IF(OR(AND(AUTOEVENTO="Manual",$M25=1),$M25&gt;(ROW(PLE.lastrow)-ROW(PLE.firstrow))),0,IF(OFFSET(PLE!$G$14,$M25,BE$13)="",10^12,OFFSET(PLE!$G$14,$M25,BE$13))))</f>
        <v>1000000000000</v>
      </c>
      <c r="BF25" s="179">
        <f ca="1">IF($D25&lt;&gt;"Serviço",0,IF(OR(AND(AUTOEVENTO="Manual",$M25=1),$M25&gt;(ROW(PLE.lastrow)-ROW(PLE.firstrow))),0,IF(OFFSET(PLE!$G$14,$M25,BF$13)="",10^12,OFFSET(PLE!$G$14,$M25,BF$13))))</f>
        <v>1000000000000</v>
      </c>
      <c r="BG25" s="179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51" x14ac:dyDescent="0.2">
      <c r="A26" s="7" t="str">
        <f t="shared" ca="1" si="9"/>
        <v>7</v>
      </c>
      <c r="B26" s="7" t="str">
        <f ca="1">OFFSET(ORÇAMENTO!C$15,ROW(B26)-ROW(B$15),0)</f>
        <v>S</v>
      </c>
      <c r="C26" s="7" t="str">
        <f ca="1">OFFSET(ORÇAMENTO!L$15,ROW(C26)-ROW(C$15),0)</f>
        <v/>
      </c>
      <c r="D26" s="115" t="str">
        <f ca="1">OFFSET(ORÇAMENTO!N$15,ROW(D26)-ROW(D$15),0)</f>
        <v>Serviço</v>
      </c>
      <c r="E26" s="116" t="str">
        <f ca="1">OFFSET(ORÇAMENTO!O$15,ROW(E26)-ROW(E$15),0)</f>
        <v>-</v>
      </c>
      <c r="F26" s="169" t="str">
        <f ca="1">OFFSET(ORÇAMENTO!R$15,ROW(F26)-ROW(F$15),0)</f>
        <v>(abra o arquivo 'Referência 10-2024.xlsm)</v>
      </c>
      <c r="G26" s="170" t="str">
        <f ca="1">IF($D26&lt;&gt;"Serviço","",OFFSET(ORÇAMENTO!S$15,ROW(G26)-ROW(G$15),0))</f>
        <v>-</v>
      </c>
      <c r="H26" s="121">
        <f ca="1">IF($D26&lt;&gt;"Serviço",0,IF(ACOMPANHAMENTO="BM",ROUND(OFFSET(ORÇAMENTO!AJ$15,ROW(H26)-ROW(H$15),0),15-13*ORÇAMENTO!$AF$7),SUMPRODUCT(($Q$12:$AA$12&lt;&gt;"")*ROUND($Q26:$AA26,15-13*ORÇAMENTO!$AF$7))))</f>
        <v>78</v>
      </c>
      <c r="I26" s="558" t="s">
        <v>559</v>
      </c>
      <c r="K26" s="171"/>
      <c r="L26" s="172" t="s">
        <v>255</v>
      </c>
      <c r="M26" s="173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174" t="str">
        <f ca="1">IF($D26&lt;&gt;"Serviço","",IF(AUTOEVENTO="Manual",IF($A26=0,"&lt;-- defina o número do agrupador",OFFSET(EVENTOS!$D$14,$A26,0)),OFFSET($F$15,$A26,0)))</f>
        <v>SERVIÇOS PRELIMINARES</v>
      </c>
      <c r="O26" s="175"/>
      <c r="Q26" s="175"/>
      <c r="R26" s="176"/>
      <c r="S26" s="176"/>
      <c r="T26" s="176"/>
      <c r="U26" s="176"/>
      <c r="V26" s="176"/>
      <c r="W26" s="176"/>
      <c r="X26" s="176"/>
      <c r="Y26" s="176"/>
      <c r="Z26" s="177"/>
      <c r="AB26" s="541">
        <f ca="1">IF(AND($D26="Serviço",AB$12&lt;&gt;0,$H26&gt;0,OR(AUTOEVENTO&lt;&gt;"manual",$M26&lt;&gt;1)),
IF(Import.TipoArredondamento&lt;&gt;"TransfereGOV",
ROUND(OFFSET($P26,0,AB$13),15-13*ORÇAMENTO!$AF$7)/$H26*OFFSET(ORÇAMENTO!$X$15,ROW(AB26)-ROW(AB$15),0),
ROUND(ROUND(OFFSET($P26,0,AB$13),15-13*ORÇAMENTO!$AF$7)*OFFSET(ORÇAMENTO!$W$15,ROW(AB26)-ROW(AB$15),0),15-13*ORÇAMENTO!$AF$11)),0)</f>
        <v>0</v>
      </c>
      <c r="AC26" s="542">
        <f ca="1">IF(AND($D26="Serviço",AC$12&lt;&gt;0,$H26&gt;0,OR(AUTOEVENTO&lt;&gt;"manual",$M26&lt;&gt;1)),
IF(Import.TipoArredondamento&lt;&gt;"TransfereGOV",
ROUND(OFFSET($P26,0,AC$13),15-13*ORÇAMENTO!$AF$7)/$H26*OFFSET(ORÇAMENTO!$X$15,ROW(AC26)-ROW(AC$15),0),
ROUND(ROUND(OFFSET($P26,0,AC$13),15-13*ORÇAMENTO!$AF$7)*OFFSET(ORÇAMENTO!$W$15,ROW(AC26)-ROW(AC$15),0),15-13*ORÇAMENTO!$AF$11)),0)</f>
        <v>0</v>
      </c>
      <c r="AD26" s="542">
        <f ca="1">IF(AND($D26="Serviço",AD$12&lt;&gt;0,$H26&gt;0,OR(AUTOEVENTO&lt;&gt;"manual",$M26&lt;&gt;1)),
IF(Import.TipoArredondamento&lt;&gt;"TransfereGOV",
ROUND(OFFSET($P26,0,AD$13),15-13*ORÇAMENTO!$AF$7)/$H26*OFFSET(ORÇAMENTO!$X$15,ROW(AD26)-ROW(AD$15),0),
ROUND(ROUND(OFFSET($P26,0,AD$13),15-13*ORÇAMENTO!$AF$7)*OFFSET(ORÇAMENTO!$W$15,ROW(AD26)-ROW(AD$15),0),15-13*ORÇAMENTO!$AF$11)),0)</f>
        <v>0</v>
      </c>
      <c r="AE26" s="542">
        <f ca="1">IF(AND($D26="Serviço",AE$12&lt;&gt;0,$H26&gt;0,OR(AUTOEVENTO&lt;&gt;"manual",$M26&lt;&gt;1)),
IF(Import.TipoArredondamento&lt;&gt;"TransfereGOV",
ROUND(OFFSET($P26,0,AE$13),15-13*ORÇAMENTO!$AF$7)/$H26*OFFSET(ORÇAMENTO!$X$15,ROW(AE26)-ROW(AE$15),0),
ROUND(ROUND(OFFSET($P26,0,AE$13),15-13*ORÇAMENTO!$AF$7)*OFFSET(ORÇAMENTO!$W$15,ROW(AE26)-ROW(AE$15),0),15-13*ORÇAMENTO!$AF$11)),0)</f>
        <v>0</v>
      </c>
      <c r="AF26" s="542">
        <f ca="1">IF(AND($D26="Serviço",AF$12&lt;&gt;0,$H26&gt;0,OR(AUTOEVENTO&lt;&gt;"manual",$M26&lt;&gt;1)),
IF(Import.TipoArredondamento&lt;&gt;"TransfereGOV",
ROUND(OFFSET($P26,0,AF$13),15-13*ORÇAMENTO!$AF$7)/$H26*OFFSET(ORÇAMENTO!$X$15,ROW(AF26)-ROW(AF$15),0),
ROUND(ROUND(OFFSET($P26,0,AF$13),15-13*ORÇAMENTO!$AF$7)*OFFSET(ORÇAMENTO!$W$15,ROW(AF26)-ROW(AF$15),0),15-13*ORÇAMENTO!$AF$11)),0)</f>
        <v>0</v>
      </c>
      <c r="AG26" s="542">
        <f ca="1">IF(AND($D26="Serviço",AG$12&lt;&gt;0,$H26&gt;0,OR(AUTOEVENTO&lt;&gt;"manual",$M26&lt;&gt;1)),
IF(Import.TipoArredondamento&lt;&gt;"TransfereGOV",
ROUND(OFFSET($P26,0,AG$13),15-13*ORÇAMENTO!$AF$7)/$H26*OFFSET(ORÇAMENTO!$X$15,ROW(AG26)-ROW(AG$15),0),
ROUND(ROUND(OFFSET($P26,0,AG$13),15-13*ORÇAMENTO!$AF$7)*OFFSET(ORÇAMENTO!$W$15,ROW(AG26)-ROW(AG$15),0),15-13*ORÇAMENTO!$AF$11)),0)</f>
        <v>0</v>
      </c>
      <c r="AH26" s="542">
        <f ca="1">IF(AND($D26="Serviço",AH$12&lt;&gt;0,$H26&gt;0,OR(AUTOEVENTO&lt;&gt;"manual",$M26&lt;&gt;1)),
IF(Import.TipoArredondamento&lt;&gt;"TransfereGOV",
ROUND(OFFSET($P26,0,AH$13),15-13*ORÇAMENTO!$AF$7)/$H26*OFFSET(ORÇAMENTO!$X$15,ROW(AH26)-ROW(AH$15),0),
ROUND(ROUND(OFFSET($P26,0,AH$13),15-13*ORÇAMENTO!$AF$7)*OFFSET(ORÇAMENTO!$W$15,ROW(AH26)-ROW(AH$15),0),15-13*ORÇAMENTO!$AF$11)),0)</f>
        <v>0</v>
      </c>
      <c r="AI26" s="542">
        <f ca="1">IF(AND($D26="Serviço",AI$12&lt;&gt;0,$H26&gt;0,OR(AUTOEVENTO&lt;&gt;"manual",$M26&lt;&gt;1)),
IF(Import.TipoArredondamento&lt;&gt;"TransfereGOV",
ROUND(OFFSET($P26,0,AI$13),15-13*ORÇAMENTO!$AF$7)/$H26*OFFSET(ORÇAMENTO!$X$15,ROW(AI26)-ROW(AI$15),0),
ROUND(ROUND(OFFSET($P26,0,AI$13),15-13*ORÇAMENTO!$AF$7)*OFFSET(ORÇAMENTO!$W$15,ROW(AI26)-ROW(AI$15),0),15-13*ORÇAMENTO!$AF$11)),0)</f>
        <v>0</v>
      </c>
      <c r="AJ26" s="542">
        <f ca="1">IF(AND($D26="Serviço",AJ$12&lt;&gt;0,$H26&gt;0,OR(AUTOEVENTO&lt;&gt;"manual",$M26&lt;&gt;1)),
IF(Import.TipoArredondamento&lt;&gt;"TransfereGOV",
ROUND(OFFSET($P26,0,AJ$13),15-13*ORÇAMENTO!$AF$7)/$H26*OFFSET(ORÇAMENTO!$X$15,ROW(AJ26)-ROW(AJ$15),0),
ROUND(ROUND(OFFSET($P26,0,AJ$13),15-13*ORÇAMENTO!$AF$7)*OFFSET(ORÇAMENTO!$W$15,ROW(AJ26)-ROW(AJ$15),0),15-13*ORÇAMENTO!$AF$11)),0)</f>
        <v>0</v>
      </c>
      <c r="AK26" s="543">
        <f ca="1">IF(AND($D26="Serviço",AK$12&lt;&gt;0,$H26&gt;0,OR(AUTOEVENTO&lt;&gt;"manual",$M26&lt;&gt;1)),
IF(Import.TipoArredondamento&lt;&gt;"TransfereGOV",
ROUND(OFFSET($P26,0,AK$13),15-13*ORÇAMENTO!$AF$7)/$H26*OFFSET(ORÇAMENTO!$X$15,ROW(AK26)-ROW(AK$15),0),
ROUND(ROUND(OFFSET($P26,0,AK$13),15-13*ORÇAMENTO!$AF$7)*OFFSET(ORÇAMENTO!$W$15,ROW(AK26)-ROW(AK$15),0),15-13*ORÇAMENTO!$AF$11)),0)</f>
        <v>0</v>
      </c>
      <c r="AM26" s="178">
        <f ca="1">IF($D26&lt;&gt;"Serviço",0,IF(AND(AUTOEVENTO="Manual",$M26=1),0,IF(OFFSET(CRONOPLE!$F$14,$M26,AM$13)="",10^12,OFFSET(CRONOPLE!$F$14,$M26,AM$13))))</f>
        <v>1000000000000</v>
      </c>
      <c r="AN26" s="178">
        <f ca="1">IF($D26&lt;&gt;"Serviço",0,IF(AND(AUTOEVENTO="Manual",$M26=1),0,IF(OFFSET(CRONOPLE!$F$14,$M26,AN$13)="",10^12,OFFSET(CRONOPLE!$F$14,$M26,AN$13))))</f>
        <v>1000000000000</v>
      </c>
      <c r="AO26" s="178">
        <f ca="1">IF($D26&lt;&gt;"Serviço",0,IF(AND(AUTOEVENTO="Manual",$M26=1),0,IF(OFFSET(CRONOPLE!$F$14,$M26,AO$13)="",10^12,OFFSET(CRONOPLE!$F$14,$M26,AO$13))))</f>
        <v>1000000000000</v>
      </c>
      <c r="AP26" s="178">
        <f ca="1">IF($D26&lt;&gt;"Serviço",0,IF(AND(AUTOEVENTO="Manual",$M26=1),0,IF(OFFSET(CRONOPLE!$F$14,$M26,AP$13)="",10^12,OFFSET(CRONOPLE!$F$14,$M26,AP$13))))</f>
        <v>1000000000000</v>
      </c>
      <c r="AQ26" s="178">
        <f ca="1">IF($D26&lt;&gt;"Serviço",0,IF(AND(AUTOEVENTO="Manual",$M26=1),0,IF(OFFSET(CRONOPLE!$F$14,$M26,AQ$13)="",10^12,OFFSET(CRONOPLE!$F$14,$M26,AQ$13))))</f>
        <v>1000000000000</v>
      </c>
      <c r="AR26" s="178">
        <f ca="1">IF($D26&lt;&gt;"Serviço",0,IF(AND(AUTOEVENTO="Manual",$M26=1),0,IF(OFFSET(CRONOPLE!$F$14,$M26,AR$13)="",10^12,OFFSET(CRONOPLE!$F$14,$M26,AR$13))))</f>
        <v>1000000000000</v>
      </c>
      <c r="AS26" s="178">
        <f ca="1">IF($D26&lt;&gt;"Serviço",0,IF(AND(AUTOEVENTO="Manual",$M26=1),0,IF(OFFSET(CRONOPLE!$F$14,$M26,AS$13)="",10^12,OFFSET(CRONOPLE!$F$14,$M26,AS$13))))</f>
        <v>1000000000000</v>
      </c>
      <c r="AT26" s="178">
        <f ca="1">IF($D26&lt;&gt;"Serviço",0,IF(AND(AUTOEVENTO="Manual",$M26=1),0,IF(OFFSET(CRONOPLE!$F$14,$M26,AT$13)="",10^12,OFFSET(CRONOPLE!$F$14,$M26,AT$13))))</f>
        <v>1000000000000</v>
      </c>
      <c r="AU26" s="178">
        <f ca="1">IF($D26&lt;&gt;"Serviço",0,IF(AND(AUTOEVENTO="Manual",$M26=1),0,IF(OFFSET(CRONOPLE!$F$14,$M26,AU$13)="",10^12,OFFSET(CRONOPLE!$F$14,$M26,AU$13))))</f>
        <v>1000000000000</v>
      </c>
      <c r="AV26" s="178">
        <f ca="1">IF($D26&lt;&gt;"Serviço",0,IF(AND(AUTOEVENTO="Manual",$M26=1),0,IF(OFFSET(CRONOPLE!$F$14,$M26,AV$13)="",10^12,OFFSET(CRONOPLE!$F$14,$M26,AV$13))))</f>
        <v>1000000000000</v>
      </c>
      <c r="AX26" s="179">
        <f ca="1">IF($D26&lt;&gt;"Serviço",0,IF(OR(AND(AUTOEVENTO="Manual",$M26=1),$M26&gt;(ROW(PLE.lastrow)-ROW(PLE.firstrow))),0,IF(OFFSET(PLE!$G$14,$M26,AX$13)="",10^12,OFFSET(PLE!$G$14,$M26,AX$13))))</f>
        <v>1000000000000</v>
      </c>
      <c r="AY26" s="179">
        <f ca="1">IF($D26&lt;&gt;"Serviço",0,IF(OR(AND(AUTOEVENTO="Manual",$M26=1),$M26&gt;(ROW(PLE.lastrow)-ROW(PLE.firstrow))),0,IF(OFFSET(PLE!$G$14,$M26,AY$13)="",10^12,OFFSET(PLE!$G$14,$M26,AY$13))))</f>
        <v>1000000000000</v>
      </c>
      <c r="AZ26" s="179">
        <f ca="1">IF($D26&lt;&gt;"Serviço",0,IF(OR(AND(AUTOEVENTO="Manual",$M26=1),$M26&gt;(ROW(PLE.lastrow)-ROW(PLE.firstrow))),0,IF(OFFSET(PLE!$G$14,$M26,AZ$13)="",10^12,OFFSET(PLE!$G$14,$M26,AZ$13))))</f>
        <v>1000000000000</v>
      </c>
      <c r="BA26" s="179">
        <f ca="1">IF($D26&lt;&gt;"Serviço",0,IF(OR(AND(AUTOEVENTO="Manual",$M26=1),$M26&gt;(ROW(PLE.lastrow)-ROW(PLE.firstrow))),0,IF(OFFSET(PLE!$G$14,$M26,BA$13)="",10^12,OFFSET(PLE!$G$14,$M26,BA$13))))</f>
        <v>1000000000000</v>
      </c>
      <c r="BB26" s="179">
        <f ca="1">IF($D26&lt;&gt;"Serviço",0,IF(OR(AND(AUTOEVENTO="Manual",$M26=1),$M26&gt;(ROW(PLE.lastrow)-ROW(PLE.firstrow))),0,IF(OFFSET(PLE!$G$14,$M26,BB$13)="",10^12,OFFSET(PLE!$G$14,$M26,BB$13))))</f>
        <v>1000000000000</v>
      </c>
      <c r="BC26" s="179">
        <f ca="1">IF($D26&lt;&gt;"Serviço",0,IF(OR(AND(AUTOEVENTO="Manual",$M26=1),$M26&gt;(ROW(PLE.lastrow)-ROW(PLE.firstrow))),0,IF(OFFSET(PLE!$G$14,$M26,BC$13)="",10^12,OFFSET(PLE!$G$14,$M26,BC$13))))</f>
        <v>1000000000000</v>
      </c>
      <c r="BD26" s="179">
        <f ca="1">IF($D26&lt;&gt;"Serviço",0,IF(OR(AND(AUTOEVENTO="Manual",$M26=1),$M26&gt;(ROW(PLE.lastrow)-ROW(PLE.firstrow))),0,IF(OFFSET(PLE!$G$14,$M26,BD$13)="",10^12,OFFSET(PLE!$G$14,$M26,BD$13))))</f>
        <v>1000000000000</v>
      </c>
      <c r="BE26" s="179">
        <f ca="1">IF($D26&lt;&gt;"Serviço",0,IF(OR(AND(AUTOEVENTO="Manual",$M26=1),$M26&gt;(ROW(PLE.lastrow)-ROW(PLE.firstrow))),0,IF(OFFSET(PLE!$G$14,$M26,BE$13)="",10^12,OFFSET(PLE!$G$14,$M26,BE$13))))</f>
        <v>1000000000000</v>
      </c>
      <c r="BF26" s="179">
        <f ca="1">IF($D26&lt;&gt;"Serviço",0,IF(OR(AND(AUTOEVENTO="Manual",$M26=1),$M26&gt;(ROW(PLE.lastrow)-ROW(PLE.firstrow))),0,IF(OFFSET(PLE!$G$14,$M26,BF$13)="",10^12,OFFSET(PLE!$G$14,$M26,BF$13))))</f>
        <v>1000000000000</v>
      </c>
      <c r="BG26" s="179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51" x14ac:dyDescent="0.2">
      <c r="A27" s="7" t="str">
        <f t="shared" ca="1" si="9"/>
        <v>7</v>
      </c>
      <c r="B27" s="7" t="str">
        <f ca="1">OFFSET(ORÇAMENTO!C$15,ROW(B27)-ROW(B$15),0)</f>
        <v>S</v>
      </c>
      <c r="C27" s="7" t="str">
        <f ca="1">OFFSET(ORÇAMENTO!L$15,ROW(C27)-ROW(C$15),0)</f>
        <v/>
      </c>
      <c r="D27" s="115" t="str">
        <f ca="1">OFFSET(ORÇAMENTO!N$15,ROW(D27)-ROW(D$15),0)</f>
        <v>Serviço</v>
      </c>
      <c r="E27" s="116" t="str">
        <f ca="1">OFFSET(ORÇAMENTO!O$15,ROW(E27)-ROW(E$15),0)</f>
        <v>-</v>
      </c>
      <c r="F27" s="169" t="str">
        <f ca="1">OFFSET(ORÇAMENTO!R$15,ROW(F27)-ROW(F$15),0)</f>
        <v>(abra o arquivo 'Referência 10-2024.xlsm)</v>
      </c>
      <c r="G27" s="170" t="str">
        <f ca="1">IF($D27&lt;&gt;"Serviço","",OFFSET(ORÇAMENTO!S$15,ROW(G27)-ROW(G$15),0))</f>
        <v>-</v>
      </c>
      <c r="H27" s="121">
        <f ca="1">IF($D27&lt;&gt;"Serviço",0,IF(ACOMPANHAMENTO="BM",ROUND(OFFSET(ORÇAMENTO!AJ$15,ROW(H27)-ROW(H$15),0),15-13*ORÇAMENTO!$AF$7),SUMPRODUCT(($Q$12:$AA$12&lt;&gt;"")*ROUND($Q27:$AA27,15-13*ORÇAMENTO!$AF$7))))</f>
        <v>78</v>
      </c>
      <c r="I27" s="558" t="s">
        <v>559</v>
      </c>
      <c r="K27" s="171"/>
      <c r="L27" s="172" t="s">
        <v>255</v>
      </c>
      <c r="M27" s="173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174" t="str">
        <f ca="1">IF($D27&lt;&gt;"Serviço","",IF(AUTOEVENTO="Manual",IF($A27=0,"&lt;-- defina o número do agrupador",OFFSET(EVENTOS!$D$14,$A27,0)),OFFSET($F$15,$A27,0)))</f>
        <v>SERVIÇOS PRELIMINARES</v>
      </c>
      <c r="O27" s="175"/>
      <c r="Q27" s="175"/>
      <c r="R27" s="176"/>
      <c r="S27" s="176"/>
      <c r="T27" s="176"/>
      <c r="U27" s="176"/>
      <c r="V27" s="176"/>
      <c r="W27" s="176"/>
      <c r="X27" s="176"/>
      <c r="Y27" s="176"/>
      <c r="Z27" s="177"/>
      <c r="AB27" s="541">
        <f ca="1">IF(AND($D27="Serviço",AB$12&lt;&gt;0,$H27&gt;0,OR(AUTOEVENTO&lt;&gt;"manual",$M27&lt;&gt;1)),
IF(Import.TipoArredondamento&lt;&gt;"TransfereGOV",
ROUND(OFFSET($P27,0,AB$13),15-13*ORÇAMENTO!$AF$7)/$H27*OFFSET(ORÇAMENTO!$X$15,ROW(AB27)-ROW(AB$15),0),
ROUND(ROUND(OFFSET($P27,0,AB$13),15-13*ORÇAMENTO!$AF$7)*OFFSET(ORÇAMENTO!$W$15,ROW(AB27)-ROW(AB$15),0),15-13*ORÇAMENTO!$AF$11)),0)</f>
        <v>0</v>
      </c>
      <c r="AC27" s="542">
        <f ca="1">IF(AND($D27="Serviço",AC$12&lt;&gt;0,$H27&gt;0,OR(AUTOEVENTO&lt;&gt;"manual",$M27&lt;&gt;1)),
IF(Import.TipoArredondamento&lt;&gt;"TransfereGOV",
ROUND(OFFSET($P27,0,AC$13),15-13*ORÇAMENTO!$AF$7)/$H27*OFFSET(ORÇAMENTO!$X$15,ROW(AC27)-ROW(AC$15),0),
ROUND(ROUND(OFFSET($P27,0,AC$13),15-13*ORÇAMENTO!$AF$7)*OFFSET(ORÇAMENTO!$W$15,ROW(AC27)-ROW(AC$15),0),15-13*ORÇAMENTO!$AF$11)),0)</f>
        <v>0</v>
      </c>
      <c r="AD27" s="542">
        <f ca="1">IF(AND($D27="Serviço",AD$12&lt;&gt;0,$H27&gt;0,OR(AUTOEVENTO&lt;&gt;"manual",$M27&lt;&gt;1)),
IF(Import.TipoArredondamento&lt;&gt;"TransfereGOV",
ROUND(OFFSET($P27,0,AD$13),15-13*ORÇAMENTO!$AF$7)/$H27*OFFSET(ORÇAMENTO!$X$15,ROW(AD27)-ROW(AD$15),0),
ROUND(ROUND(OFFSET($P27,0,AD$13),15-13*ORÇAMENTO!$AF$7)*OFFSET(ORÇAMENTO!$W$15,ROW(AD27)-ROW(AD$15),0),15-13*ORÇAMENTO!$AF$11)),0)</f>
        <v>0</v>
      </c>
      <c r="AE27" s="542">
        <f ca="1">IF(AND($D27="Serviço",AE$12&lt;&gt;0,$H27&gt;0,OR(AUTOEVENTO&lt;&gt;"manual",$M27&lt;&gt;1)),
IF(Import.TipoArredondamento&lt;&gt;"TransfereGOV",
ROUND(OFFSET($P27,0,AE$13),15-13*ORÇAMENTO!$AF$7)/$H27*OFFSET(ORÇAMENTO!$X$15,ROW(AE27)-ROW(AE$15),0),
ROUND(ROUND(OFFSET($P27,0,AE$13),15-13*ORÇAMENTO!$AF$7)*OFFSET(ORÇAMENTO!$W$15,ROW(AE27)-ROW(AE$15),0),15-13*ORÇAMENTO!$AF$11)),0)</f>
        <v>0</v>
      </c>
      <c r="AF27" s="542">
        <f ca="1">IF(AND($D27="Serviço",AF$12&lt;&gt;0,$H27&gt;0,OR(AUTOEVENTO&lt;&gt;"manual",$M27&lt;&gt;1)),
IF(Import.TipoArredondamento&lt;&gt;"TransfereGOV",
ROUND(OFFSET($P27,0,AF$13),15-13*ORÇAMENTO!$AF$7)/$H27*OFFSET(ORÇAMENTO!$X$15,ROW(AF27)-ROW(AF$15),0),
ROUND(ROUND(OFFSET($P27,0,AF$13),15-13*ORÇAMENTO!$AF$7)*OFFSET(ORÇAMENTO!$W$15,ROW(AF27)-ROW(AF$15),0),15-13*ORÇAMENTO!$AF$11)),0)</f>
        <v>0</v>
      </c>
      <c r="AG27" s="542">
        <f ca="1">IF(AND($D27="Serviço",AG$12&lt;&gt;0,$H27&gt;0,OR(AUTOEVENTO&lt;&gt;"manual",$M27&lt;&gt;1)),
IF(Import.TipoArredondamento&lt;&gt;"TransfereGOV",
ROUND(OFFSET($P27,0,AG$13),15-13*ORÇAMENTO!$AF$7)/$H27*OFFSET(ORÇAMENTO!$X$15,ROW(AG27)-ROW(AG$15),0),
ROUND(ROUND(OFFSET($P27,0,AG$13),15-13*ORÇAMENTO!$AF$7)*OFFSET(ORÇAMENTO!$W$15,ROW(AG27)-ROW(AG$15),0),15-13*ORÇAMENTO!$AF$11)),0)</f>
        <v>0</v>
      </c>
      <c r="AH27" s="542">
        <f ca="1">IF(AND($D27="Serviço",AH$12&lt;&gt;0,$H27&gt;0,OR(AUTOEVENTO&lt;&gt;"manual",$M27&lt;&gt;1)),
IF(Import.TipoArredondamento&lt;&gt;"TransfereGOV",
ROUND(OFFSET($P27,0,AH$13),15-13*ORÇAMENTO!$AF$7)/$H27*OFFSET(ORÇAMENTO!$X$15,ROW(AH27)-ROW(AH$15),0),
ROUND(ROUND(OFFSET($P27,0,AH$13),15-13*ORÇAMENTO!$AF$7)*OFFSET(ORÇAMENTO!$W$15,ROW(AH27)-ROW(AH$15),0),15-13*ORÇAMENTO!$AF$11)),0)</f>
        <v>0</v>
      </c>
      <c r="AI27" s="542">
        <f ca="1">IF(AND($D27="Serviço",AI$12&lt;&gt;0,$H27&gt;0,OR(AUTOEVENTO&lt;&gt;"manual",$M27&lt;&gt;1)),
IF(Import.TipoArredondamento&lt;&gt;"TransfereGOV",
ROUND(OFFSET($P27,0,AI$13),15-13*ORÇAMENTO!$AF$7)/$H27*OFFSET(ORÇAMENTO!$X$15,ROW(AI27)-ROW(AI$15),0),
ROUND(ROUND(OFFSET($P27,0,AI$13),15-13*ORÇAMENTO!$AF$7)*OFFSET(ORÇAMENTO!$W$15,ROW(AI27)-ROW(AI$15),0),15-13*ORÇAMENTO!$AF$11)),0)</f>
        <v>0</v>
      </c>
      <c r="AJ27" s="542">
        <f ca="1">IF(AND($D27="Serviço",AJ$12&lt;&gt;0,$H27&gt;0,OR(AUTOEVENTO&lt;&gt;"manual",$M27&lt;&gt;1)),
IF(Import.TipoArredondamento&lt;&gt;"TransfereGOV",
ROUND(OFFSET($P27,0,AJ$13),15-13*ORÇAMENTO!$AF$7)/$H27*OFFSET(ORÇAMENTO!$X$15,ROW(AJ27)-ROW(AJ$15),0),
ROUND(ROUND(OFFSET($P27,0,AJ$13),15-13*ORÇAMENTO!$AF$7)*OFFSET(ORÇAMENTO!$W$15,ROW(AJ27)-ROW(AJ$15),0),15-13*ORÇAMENTO!$AF$11)),0)</f>
        <v>0</v>
      </c>
      <c r="AK27" s="543">
        <f ca="1">IF(AND($D27="Serviço",AK$12&lt;&gt;0,$H27&gt;0,OR(AUTOEVENTO&lt;&gt;"manual",$M27&lt;&gt;1)),
IF(Import.TipoArredondamento&lt;&gt;"TransfereGOV",
ROUND(OFFSET($P27,0,AK$13),15-13*ORÇAMENTO!$AF$7)/$H27*OFFSET(ORÇAMENTO!$X$15,ROW(AK27)-ROW(AK$15),0),
ROUND(ROUND(OFFSET($P27,0,AK$13),15-13*ORÇAMENTO!$AF$7)*OFFSET(ORÇAMENTO!$W$15,ROW(AK27)-ROW(AK$15),0),15-13*ORÇAMENTO!$AF$11)),0)</f>
        <v>0</v>
      </c>
      <c r="AM27" s="178">
        <f ca="1">IF($D27&lt;&gt;"Serviço",0,IF(AND(AUTOEVENTO="Manual",$M27=1),0,IF(OFFSET(CRONOPLE!$F$14,$M27,AM$13)="",10^12,OFFSET(CRONOPLE!$F$14,$M27,AM$13))))</f>
        <v>1000000000000</v>
      </c>
      <c r="AN27" s="178">
        <f ca="1">IF($D27&lt;&gt;"Serviço",0,IF(AND(AUTOEVENTO="Manual",$M27=1),0,IF(OFFSET(CRONOPLE!$F$14,$M27,AN$13)="",10^12,OFFSET(CRONOPLE!$F$14,$M27,AN$13))))</f>
        <v>1000000000000</v>
      </c>
      <c r="AO27" s="178">
        <f ca="1">IF($D27&lt;&gt;"Serviço",0,IF(AND(AUTOEVENTO="Manual",$M27=1),0,IF(OFFSET(CRONOPLE!$F$14,$M27,AO$13)="",10^12,OFFSET(CRONOPLE!$F$14,$M27,AO$13))))</f>
        <v>1000000000000</v>
      </c>
      <c r="AP27" s="178">
        <f ca="1">IF($D27&lt;&gt;"Serviço",0,IF(AND(AUTOEVENTO="Manual",$M27=1),0,IF(OFFSET(CRONOPLE!$F$14,$M27,AP$13)="",10^12,OFFSET(CRONOPLE!$F$14,$M27,AP$13))))</f>
        <v>1000000000000</v>
      </c>
      <c r="AQ27" s="178">
        <f ca="1">IF($D27&lt;&gt;"Serviço",0,IF(AND(AUTOEVENTO="Manual",$M27=1),0,IF(OFFSET(CRONOPLE!$F$14,$M27,AQ$13)="",10^12,OFFSET(CRONOPLE!$F$14,$M27,AQ$13))))</f>
        <v>1000000000000</v>
      </c>
      <c r="AR27" s="178">
        <f ca="1">IF($D27&lt;&gt;"Serviço",0,IF(AND(AUTOEVENTO="Manual",$M27=1),0,IF(OFFSET(CRONOPLE!$F$14,$M27,AR$13)="",10^12,OFFSET(CRONOPLE!$F$14,$M27,AR$13))))</f>
        <v>1000000000000</v>
      </c>
      <c r="AS27" s="178">
        <f ca="1">IF($D27&lt;&gt;"Serviço",0,IF(AND(AUTOEVENTO="Manual",$M27=1),0,IF(OFFSET(CRONOPLE!$F$14,$M27,AS$13)="",10^12,OFFSET(CRONOPLE!$F$14,$M27,AS$13))))</f>
        <v>1000000000000</v>
      </c>
      <c r="AT27" s="178">
        <f ca="1">IF($D27&lt;&gt;"Serviço",0,IF(AND(AUTOEVENTO="Manual",$M27=1),0,IF(OFFSET(CRONOPLE!$F$14,$M27,AT$13)="",10^12,OFFSET(CRONOPLE!$F$14,$M27,AT$13))))</f>
        <v>1000000000000</v>
      </c>
      <c r="AU27" s="178">
        <f ca="1">IF($D27&lt;&gt;"Serviço",0,IF(AND(AUTOEVENTO="Manual",$M27=1),0,IF(OFFSET(CRONOPLE!$F$14,$M27,AU$13)="",10^12,OFFSET(CRONOPLE!$F$14,$M27,AU$13))))</f>
        <v>1000000000000</v>
      </c>
      <c r="AV27" s="178">
        <f ca="1">IF($D27&lt;&gt;"Serviço",0,IF(AND(AUTOEVENTO="Manual",$M27=1),0,IF(OFFSET(CRONOPLE!$F$14,$M27,AV$13)="",10^12,OFFSET(CRONOPLE!$F$14,$M27,AV$13))))</f>
        <v>1000000000000</v>
      </c>
      <c r="AX27" s="179">
        <f ca="1">IF($D27&lt;&gt;"Serviço",0,IF(OR(AND(AUTOEVENTO="Manual",$M27=1),$M27&gt;(ROW(PLE.lastrow)-ROW(PLE.firstrow))),0,IF(OFFSET(PLE!$G$14,$M27,AX$13)="",10^12,OFFSET(PLE!$G$14,$M27,AX$13))))</f>
        <v>1000000000000</v>
      </c>
      <c r="AY27" s="179">
        <f ca="1">IF($D27&lt;&gt;"Serviço",0,IF(OR(AND(AUTOEVENTO="Manual",$M27=1),$M27&gt;(ROW(PLE.lastrow)-ROW(PLE.firstrow))),0,IF(OFFSET(PLE!$G$14,$M27,AY$13)="",10^12,OFFSET(PLE!$G$14,$M27,AY$13))))</f>
        <v>1000000000000</v>
      </c>
      <c r="AZ27" s="179">
        <f ca="1">IF($D27&lt;&gt;"Serviço",0,IF(OR(AND(AUTOEVENTO="Manual",$M27=1),$M27&gt;(ROW(PLE.lastrow)-ROW(PLE.firstrow))),0,IF(OFFSET(PLE!$G$14,$M27,AZ$13)="",10^12,OFFSET(PLE!$G$14,$M27,AZ$13))))</f>
        <v>1000000000000</v>
      </c>
      <c r="BA27" s="179">
        <f ca="1">IF($D27&lt;&gt;"Serviço",0,IF(OR(AND(AUTOEVENTO="Manual",$M27=1),$M27&gt;(ROW(PLE.lastrow)-ROW(PLE.firstrow))),0,IF(OFFSET(PLE!$G$14,$M27,BA$13)="",10^12,OFFSET(PLE!$G$14,$M27,BA$13))))</f>
        <v>1000000000000</v>
      </c>
      <c r="BB27" s="179">
        <f ca="1">IF($D27&lt;&gt;"Serviço",0,IF(OR(AND(AUTOEVENTO="Manual",$M27=1),$M27&gt;(ROW(PLE.lastrow)-ROW(PLE.firstrow))),0,IF(OFFSET(PLE!$G$14,$M27,BB$13)="",10^12,OFFSET(PLE!$G$14,$M27,BB$13))))</f>
        <v>1000000000000</v>
      </c>
      <c r="BC27" s="179">
        <f ca="1">IF($D27&lt;&gt;"Serviço",0,IF(OR(AND(AUTOEVENTO="Manual",$M27=1),$M27&gt;(ROW(PLE.lastrow)-ROW(PLE.firstrow))),0,IF(OFFSET(PLE!$G$14,$M27,BC$13)="",10^12,OFFSET(PLE!$G$14,$M27,BC$13))))</f>
        <v>1000000000000</v>
      </c>
      <c r="BD27" s="179">
        <f ca="1">IF($D27&lt;&gt;"Serviço",0,IF(OR(AND(AUTOEVENTO="Manual",$M27=1),$M27&gt;(ROW(PLE.lastrow)-ROW(PLE.firstrow))),0,IF(OFFSET(PLE!$G$14,$M27,BD$13)="",10^12,OFFSET(PLE!$G$14,$M27,BD$13))))</f>
        <v>1000000000000</v>
      </c>
      <c r="BE27" s="179">
        <f ca="1">IF($D27&lt;&gt;"Serviço",0,IF(OR(AND(AUTOEVENTO="Manual",$M27=1),$M27&gt;(ROW(PLE.lastrow)-ROW(PLE.firstrow))),0,IF(OFFSET(PLE!$G$14,$M27,BE$13)="",10^12,OFFSET(PLE!$G$14,$M27,BE$13))))</f>
        <v>1000000000000</v>
      </c>
      <c r="BF27" s="179">
        <f ca="1">IF($D27&lt;&gt;"Serviço",0,IF(OR(AND(AUTOEVENTO="Manual",$M27=1),$M27&gt;(ROW(PLE.lastrow)-ROW(PLE.firstrow))),0,IF(OFFSET(PLE!$G$14,$M27,BF$13)="",10^12,OFFSET(PLE!$G$14,$M27,BF$13))))</f>
        <v>1000000000000</v>
      </c>
      <c r="BG27" s="179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7" t="str">
        <f t="shared" ca="1" si="8"/>
        <v>13.</v>
      </c>
      <c r="B28" s="7">
        <f ca="1">OFFSET(ORÇAMENTO!C$15,ROW(B28)-ROW(B$15),0)</f>
        <v>2</v>
      </c>
      <c r="C28" s="7" t="str">
        <f ca="1">OFFSET(ORÇAMENTO!L$15,ROW(C28)-ROW(C$15),0)</f>
        <v>F</v>
      </c>
      <c r="D28" s="115" t="str">
        <f ca="1">OFFSET(ORÇAMENTO!N$15,ROW(D28)-ROW(D$15),0)</f>
        <v>Nível 2</v>
      </c>
      <c r="E28" s="116" t="str">
        <f ca="1">OFFSET(ORÇAMENTO!O$15,ROW(E28)-ROW(E$15),0)</f>
        <v>1.3.</v>
      </c>
      <c r="F28" s="169" t="str">
        <f ca="1">OFFSET(ORÇAMENTO!R$15,ROW(F28)-ROW(F$15),0)</f>
        <v>FUNDAÇÕES</v>
      </c>
      <c r="G28" s="170" t="str">
        <f ca="1">IF($D28&lt;&gt;"Serviço","",OFFSET(ORÇAMENTO!S$15,ROW(G28)-ROW(G$15),0))</f>
        <v/>
      </c>
      <c r="H28" s="121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558"/>
      <c r="K28" s="171"/>
      <c r="L28" s="172" t="s">
        <v>255</v>
      </c>
      <c r="M28" s="173" t="str">
        <f ca="1">IF($D28&lt;&gt;"Serviço","",IF(AUTOEVENTO="manual",$A28,IF(ISERROR(MATCH($A28,$A$15:OFFSET($A28,-1,0),0)),MAX($M$15:OFFSET(M28,-1,0))+1,INDEX($M$15:OFFSET(M28,-1,0),MATCH($A28,$A$15:OFFSET($A28,-1,0),0)))))</f>
        <v/>
      </c>
      <c r="N28" s="174" t="str">
        <f ca="1">IF($D28&lt;&gt;"Serviço","",IF(AUTOEVENTO="Manual",IF($A28=0,"&lt;-- defina o número do agrupador",OFFSET(EVENTOS!$D$14,$A28,0)),OFFSET($F$15,$A28,0)))</f>
        <v/>
      </c>
      <c r="O28" s="175"/>
      <c r="Q28" s="175"/>
      <c r="R28" s="176"/>
      <c r="S28" s="176"/>
      <c r="T28" s="176"/>
      <c r="U28" s="176"/>
      <c r="V28" s="176"/>
      <c r="W28" s="176"/>
      <c r="X28" s="176"/>
      <c r="Y28" s="176"/>
      <c r="Z28" s="177"/>
      <c r="AB28" s="541">
        <f ca="1">IF(AND($D28="Serviço",AB$12&lt;&gt;0,$H28&gt;0,OR(AUTOEVENTO&lt;&gt;"manual",$M28&lt;&gt;1)),
IF(Import.TipoArredondamento&lt;&gt;"TransfereGOV",
ROUND(OFFSET($P28,0,AB$13),15-13*ORÇAMENTO!$AF$7)/$H28*OFFSET(ORÇAMENTO!$X$15,ROW(AB28)-ROW(AB$15),0),
ROUND(ROUND(OFFSET($P28,0,AB$13),15-13*ORÇAMENTO!$AF$7)*OFFSET(ORÇAMENTO!$W$15,ROW(AB28)-ROW(AB$15),0),15-13*ORÇAMENTO!$AF$11)),0)</f>
        <v>0</v>
      </c>
      <c r="AC28" s="542">
        <f ca="1">IF(AND($D28="Serviço",AC$12&lt;&gt;0,$H28&gt;0,OR(AUTOEVENTO&lt;&gt;"manual",$M28&lt;&gt;1)),
IF(Import.TipoArredondamento&lt;&gt;"TransfereGOV",
ROUND(OFFSET($P28,0,AC$13),15-13*ORÇAMENTO!$AF$7)/$H28*OFFSET(ORÇAMENTO!$X$15,ROW(AC28)-ROW(AC$15),0),
ROUND(ROUND(OFFSET($P28,0,AC$13),15-13*ORÇAMENTO!$AF$7)*OFFSET(ORÇAMENTO!$W$15,ROW(AC28)-ROW(AC$15),0),15-13*ORÇAMENTO!$AF$11)),0)</f>
        <v>0</v>
      </c>
      <c r="AD28" s="542">
        <f ca="1">IF(AND($D28="Serviço",AD$12&lt;&gt;0,$H28&gt;0,OR(AUTOEVENTO&lt;&gt;"manual",$M28&lt;&gt;1)),
IF(Import.TipoArredondamento&lt;&gt;"TransfereGOV",
ROUND(OFFSET($P28,0,AD$13),15-13*ORÇAMENTO!$AF$7)/$H28*OFFSET(ORÇAMENTO!$X$15,ROW(AD28)-ROW(AD$15),0),
ROUND(ROUND(OFFSET($P28,0,AD$13),15-13*ORÇAMENTO!$AF$7)*OFFSET(ORÇAMENTO!$W$15,ROW(AD28)-ROW(AD$15),0),15-13*ORÇAMENTO!$AF$11)),0)</f>
        <v>0</v>
      </c>
      <c r="AE28" s="542">
        <f ca="1">IF(AND($D28="Serviço",AE$12&lt;&gt;0,$H28&gt;0,OR(AUTOEVENTO&lt;&gt;"manual",$M28&lt;&gt;1)),
IF(Import.TipoArredondamento&lt;&gt;"TransfereGOV",
ROUND(OFFSET($P28,0,AE$13),15-13*ORÇAMENTO!$AF$7)/$H28*OFFSET(ORÇAMENTO!$X$15,ROW(AE28)-ROW(AE$15),0),
ROUND(ROUND(OFFSET($P28,0,AE$13),15-13*ORÇAMENTO!$AF$7)*OFFSET(ORÇAMENTO!$W$15,ROW(AE28)-ROW(AE$15),0),15-13*ORÇAMENTO!$AF$11)),0)</f>
        <v>0</v>
      </c>
      <c r="AF28" s="542">
        <f ca="1">IF(AND($D28="Serviço",AF$12&lt;&gt;0,$H28&gt;0,OR(AUTOEVENTO&lt;&gt;"manual",$M28&lt;&gt;1)),
IF(Import.TipoArredondamento&lt;&gt;"TransfereGOV",
ROUND(OFFSET($P28,0,AF$13),15-13*ORÇAMENTO!$AF$7)/$H28*OFFSET(ORÇAMENTO!$X$15,ROW(AF28)-ROW(AF$15),0),
ROUND(ROUND(OFFSET($P28,0,AF$13),15-13*ORÇAMENTO!$AF$7)*OFFSET(ORÇAMENTO!$W$15,ROW(AF28)-ROW(AF$15),0),15-13*ORÇAMENTO!$AF$11)),0)</f>
        <v>0</v>
      </c>
      <c r="AG28" s="542">
        <f ca="1">IF(AND($D28="Serviço",AG$12&lt;&gt;0,$H28&gt;0,OR(AUTOEVENTO&lt;&gt;"manual",$M28&lt;&gt;1)),
IF(Import.TipoArredondamento&lt;&gt;"TransfereGOV",
ROUND(OFFSET($P28,0,AG$13),15-13*ORÇAMENTO!$AF$7)/$H28*OFFSET(ORÇAMENTO!$X$15,ROW(AG28)-ROW(AG$15),0),
ROUND(ROUND(OFFSET($P28,0,AG$13),15-13*ORÇAMENTO!$AF$7)*OFFSET(ORÇAMENTO!$W$15,ROW(AG28)-ROW(AG$15),0),15-13*ORÇAMENTO!$AF$11)),0)</f>
        <v>0</v>
      </c>
      <c r="AH28" s="542">
        <f ca="1">IF(AND($D28="Serviço",AH$12&lt;&gt;0,$H28&gt;0,OR(AUTOEVENTO&lt;&gt;"manual",$M28&lt;&gt;1)),
IF(Import.TipoArredondamento&lt;&gt;"TransfereGOV",
ROUND(OFFSET($P28,0,AH$13),15-13*ORÇAMENTO!$AF$7)/$H28*OFFSET(ORÇAMENTO!$X$15,ROW(AH28)-ROW(AH$15),0),
ROUND(ROUND(OFFSET($P28,0,AH$13),15-13*ORÇAMENTO!$AF$7)*OFFSET(ORÇAMENTO!$W$15,ROW(AH28)-ROW(AH$15),0),15-13*ORÇAMENTO!$AF$11)),0)</f>
        <v>0</v>
      </c>
      <c r="AI28" s="542">
        <f ca="1">IF(AND($D28="Serviço",AI$12&lt;&gt;0,$H28&gt;0,OR(AUTOEVENTO&lt;&gt;"manual",$M28&lt;&gt;1)),
IF(Import.TipoArredondamento&lt;&gt;"TransfereGOV",
ROUND(OFFSET($P28,0,AI$13),15-13*ORÇAMENTO!$AF$7)/$H28*OFFSET(ORÇAMENTO!$X$15,ROW(AI28)-ROW(AI$15),0),
ROUND(ROUND(OFFSET($P28,0,AI$13),15-13*ORÇAMENTO!$AF$7)*OFFSET(ORÇAMENTO!$W$15,ROW(AI28)-ROW(AI$15),0),15-13*ORÇAMENTO!$AF$11)),0)</f>
        <v>0</v>
      </c>
      <c r="AJ28" s="542">
        <f ca="1">IF(AND($D28="Serviço",AJ$12&lt;&gt;0,$H28&gt;0,OR(AUTOEVENTO&lt;&gt;"manual",$M28&lt;&gt;1)),
IF(Import.TipoArredondamento&lt;&gt;"TransfereGOV",
ROUND(OFFSET($P28,0,AJ$13),15-13*ORÇAMENTO!$AF$7)/$H28*OFFSET(ORÇAMENTO!$X$15,ROW(AJ28)-ROW(AJ$15),0),
ROUND(ROUND(OFFSET($P28,0,AJ$13),15-13*ORÇAMENTO!$AF$7)*OFFSET(ORÇAMENTO!$W$15,ROW(AJ28)-ROW(AJ$15),0),15-13*ORÇAMENTO!$AF$11)),0)</f>
        <v>0</v>
      </c>
      <c r="AK28" s="543">
        <f ca="1">IF(AND($D28="Serviço",AK$12&lt;&gt;0,$H28&gt;0,OR(AUTOEVENTO&lt;&gt;"manual",$M28&lt;&gt;1)),
IF(Import.TipoArredondamento&lt;&gt;"TransfereGOV",
ROUND(OFFSET($P28,0,AK$13),15-13*ORÇAMENTO!$AF$7)/$H28*OFFSET(ORÇAMENTO!$X$15,ROW(AK28)-ROW(AK$15),0),
ROUND(ROUND(OFFSET($P28,0,AK$13),15-13*ORÇAMENTO!$AF$7)*OFFSET(ORÇAMENTO!$W$15,ROW(AK28)-ROW(AK$15),0),15-13*ORÇAMENTO!$AF$11)),0)</f>
        <v>0</v>
      </c>
      <c r="AM28" s="178">
        <f ca="1">IF($D28&lt;&gt;"Serviço",0,IF(AND(AUTOEVENTO="Manual",$M28=1),0,IF(OFFSET(CRONOPLE!$F$14,$M28,AM$13)="",10^12,OFFSET(CRONOPLE!$F$14,$M28,AM$13))))</f>
        <v>0</v>
      </c>
      <c r="AN28" s="178">
        <f ca="1">IF($D28&lt;&gt;"Serviço",0,IF(AND(AUTOEVENTO="Manual",$M28=1),0,IF(OFFSET(CRONOPLE!$F$14,$M28,AN$13)="",10^12,OFFSET(CRONOPLE!$F$14,$M28,AN$13))))</f>
        <v>0</v>
      </c>
      <c r="AO28" s="178">
        <f ca="1">IF($D28&lt;&gt;"Serviço",0,IF(AND(AUTOEVENTO="Manual",$M28=1),0,IF(OFFSET(CRONOPLE!$F$14,$M28,AO$13)="",10^12,OFFSET(CRONOPLE!$F$14,$M28,AO$13))))</f>
        <v>0</v>
      </c>
      <c r="AP28" s="178">
        <f ca="1">IF($D28&lt;&gt;"Serviço",0,IF(AND(AUTOEVENTO="Manual",$M28=1),0,IF(OFFSET(CRONOPLE!$F$14,$M28,AP$13)="",10^12,OFFSET(CRONOPLE!$F$14,$M28,AP$13))))</f>
        <v>0</v>
      </c>
      <c r="AQ28" s="178">
        <f ca="1">IF($D28&lt;&gt;"Serviço",0,IF(AND(AUTOEVENTO="Manual",$M28=1),0,IF(OFFSET(CRONOPLE!$F$14,$M28,AQ$13)="",10^12,OFFSET(CRONOPLE!$F$14,$M28,AQ$13))))</f>
        <v>0</v>
      </c>
      <c r="AR28" s="178">
        <f ca="1">IF($D28&lt;&gt;"Serviço",0,IF(AND(AUTOEVENTO="Manual",$M28=1),0,IF(OFFSET(CRONOPLE!$F$14,$M28,AR$13)="",10^12,OFFSET(CRONOPLE!$F$14,$M28,AR$13))))</f>
        <v>0</v>
      </c>
      <c r="AS28" s="178">
        <f ca="1">IF($D28&lt;&gt;"Serviço",0,IF(AND(AUTOEVENTO="Manual",$M28=1),0,IF(OFFSET(CRONOPLE!$F$14,$M28,AS$13)="",10^12,OFFSET(CRONOPLE!$F$14,$M28,AS$13))))</f>
        <v>0</v>
      </c>
      <c r="AT28" s="178">
        <f ca="1">IF($D28&lt;&gt;"Serviço",0,IF(AND(AUTOEVENTO="Manual",$M28=1),0,IF(OFFSET(CRONOPLE!$F$14,$M28,AT$13)="",10^12,OFFSET(CRONOPLE!$F$14,$M28,AT$13))))</f>
        <v>0</v>
      </c>
      <c r="AU28" s="178">
        <f ca="1">IF($D28&lt;&gt;"Serviço",0,IF(AND(AUTOEVENTO="Manual",$M28=1),0,IF(OFFSET(CRONOPLE!$F$14,$M28,AU$13)="",10^12,OFFSET(CRONOPLE!$F$14,$M28,AU$13))))</f>
        <v>0</v>
      </c>
      <c r="AV28" s="178">
        <f ca="1">IF($D28&lt;&gt;"Serviço",0,IF(AND(AUTOEVENTO="Manual",$M28=1),0,IF(OFFSET(CRONOPLE!$F$14,$M28,AV$13)="",10^12,OFFSET(CRONOPLE!$F$14,$M28,AV$13))))</f>
        <v>0</v>
      </c>
      <c r="AX28" s="179">
        <f ca="1">IF($D28&lt;&gt;"Serviço",0,IF(OR(AND(AUTOEVENTO="Manual",$M28=1),$M28&gt;(ROW(PLE.lastrow)-ROW(PLE.firstrow))),0,IF(OFFSET(PLE!$G$14,$M28,AX$13)="",10^12,OFFSET(PLE!$G$14,$M28,AX$13))))</f>
        <v>0</v>
      </c>
      <c r="AY28" s="179">
        <f ca="1">IF($D28&lt;&gt;"Serviço",0,IF(OR(AND(AUTOEVENTO="Manual",$M28=1),$M28&gt;(ROW(PLE.lastrow)-ROW(PLE.firstrow))),0,IF(OFFSET(PLE!$G$14,$M28,AY$13)="",10^12,OFFSET(PLE!$G$14,$M28,AY$13))))</f>
        <v>0</v>
      </c>
      <c r="AZ28" s="179">
        <f ca="1">IF($D28&lt;&gt;"Serviço",0,IF(OR(AND(AUTOEVENTO="Manual",$M28=1),$M28&gt;(ROW(PLE.lastrow)-ROW(PLE.firstrow))),0,IF(OFFSET(PLE!$G$14,$M28,AZ$13)="",10^12,OFFSET(PLE!$G$14,$M28,AZ$13))))</f>
        <v>0</v>
      </c>
      <c r="BA28" s="179">
        <f ca="1">IF($D28&lt;&gt;"Serviço",0,IF(OR(AND(AUTOEVENTO="Manual",$M28=1),$M28&gt;(ROW(PLE.lastrow)-ROW(PLE.firstrow))),0,IF(OFFSET(PLE!$G$14,$M28,BA$13)="",10^12,OFFSET(PLE!$G$14,$M28,BA$13))))</f>
        <v>0</v>
      </c>
      <c r="BB28" s="179">
        <f ca="1">IF($D28&lt;&gt;"Serviço",0,IF(OR(AND(AUTOEVENTO="Manual",$M28=1),$M28&gt;(ROW(PLE.lastrow)-ROW(PLE.firstrow))),0,IF(OFFSET(PLE!$G$14,$M28,BB$13)="",10^12,OFFSET(PLE!$G$14,$M28,BB$13))))</f>
        <v>0</v>
      </c>
      <c r="BC28" s="179">
        <f ca="1">IF($D28&lt;&gt;"Serviço",0,IF(OR(AND(AUTOEVENTO="Manual",$M28=1),$M28&gt;(ROW(PLE.lastrow)-ROW(PLE.firstrow))),0,IF(OFFSET(PLE!$G$14,$M28,BC$13)="",10^12,OFFSET(PLE!$G$14,$M28,BC$13))))</f>
        <v>0</v>
      </c>
      <c r="BD28" s="179">
        <f ca="1">IF($D28&lt;&gt;"Serviço",0,IF(OR(AND(AUTOEVENTO="Manual",$M28=1),$M28&gt;(ROW(PLE.lastrow)-ROW(PLE.firstrow))),0,IF(OFFSET(PLE!$G$14,$M28,BD$13)="",10^12,OFFSET(PLE!$G$14,$M28,BD$13))))</f>
        <v>0</v>
      </c>
      <c r="BE28" s="179">
        <f ca="1">IF($D28&lt;&gt;"Serviço",0,IF(OR(AND(AUTOEVENTO="Manual",$M28=1),$M28&gt;(ROW(PLE.lastrow)-ROW(PLE.firstrow))),0,IF(OFFSET(PLE!$G$14,$M28,BE$13)="",10^12,OFFSET(PLE!$G$14,$M28,BE$13))))</f>
        <v>0</v>
      </c>
      <c r="BF28" s="179">
        <f ca="1">IF($D28&lt;&gt;"Serviço",0,IF(OR(AND(AUTOEVENTO="Manual",$M28=1),$M28&gt;(ROW(PLE.lastrow)-ROW(PLE.firstrow))),0,IF(OFFSET(PLE!$G$14,$M28,BF$13)="",10^12,OFFSET(PLE!$G$14,$M28,BF$13))))</f>
        <v>0</v>
      </c>
      <c r="BG28" s="179">
        <f ca="1">IF($D28&lt;&gt;"Serviço",0,IF(OR(AND(AUTOEVENTO="Manual",$M28=1),$M28&gt;(ROW(PLE.lastrow)-ROW(PLE.firstrow))),0,IF(OFFSET(PLE!$G$14,$M28,BG$13)="",10^12,OFFSET(PLE!$G$14,$M28,BG$13))))</f>
        <v>0</v>
      </c>
    </row>
    <row r="29" spans="1:59" ht="38.25" x14ac:dyDescent="0.2">
      <c r="A29" s="7" t="str">
        <f t="shared" ca="1" si="8"/>
        <v>13</v>
      </c>
      <c r="B29" s="7" t="str">
        <f ca="1">OFFSET(ORÇAMENTO!C$15,ROW(B29)-ROW(B$15),0)</f>
        <v>S</v>
      </c>
      <c r="C29" s="7" t="str">
        <f ca="1">OFFSET(ORÇAMENTO!L$15,ROW(C29)-ROW(C$15),0)</f>
        <v/>
      </c>
      <c r="D29" s="115" t="str">
        <f ca="1">OFFSET(ORÇAMENTO!N$15,ROW(D29)-ROW(D$15),0)</f>
        <v>Serviço</v>
      </c>
      <c r="E29" s="116" t="str">
        <f ca="1">OFFSET(ORÇAMENTO!O$15,ROW(E29)-ROW(E$15),0)</f>
        <v>-</v>
      </c>
      <c r="F29" s="169" t="str">
        <f ca="1">OFFSET(ORÇAMENTO!R$15,ROW(F29)-ROW(F$15),0)</f>
        <v>(abra o arquivo 'Referência 10-2024.xlsm)</v>
      </c>
      <c r="G29" s="170" t="str">
        <f ca="1">IF($D29&lt;&gt;"Serviço","",OFFSET(ORÇAMENTO!S$15,ROW(G29)-ROW(G$15),0))</f>
        <v>-</v>
      </c>
      <c r="H29" s="121">
        <f ca="1">IF($D29&lt;&gt;"Serviço",0,IF(ACOMPANHAMENTO="BM",ROUND(OFFSET(ORÇAMENTO!AJ$15,ROW(H29)-ROW(H$15),0),15-13*ORÇAMENTO!$AF$7),SUMPRODUCT(($Q$12:$AA$12&lt;&gt;"")*ROUND($Q29:$AA29,15-13*ORÇAMENTO!$AF$7))))</f>
        <v>12.8</v>
      </c>
      <c r="I29" s="558" t="s">
        <v>561</v>
      </c>
      <c r="K29" s="171"/>
      <c r="L29" s="172" t="s">
        <v>255</v>
      </c>
      <c r="M29" s="173">
        <f ca="1">IF($D29&lt;&gt;"Serviço","",IF(AUTOEVENTO="manual",$A29,IF(ISERROR(MATCH($A29,$A$15:OFFSET($A29,-1,0),0)),MAX($M$15:OFFSET(M29,-1,0))+1,INDEX($M$15:OFFSET(M29,-1,0),MATCH($A29,$A$15:OFFSET($A29,-1,0),0)))))</f>
        <v>4</v>
      </c>
      <c r="N29" s="174" t="str">
        <f ca="1">IF($D29&lt;&gt;"Serviço","",IF(AUTOEVENTO="Manual",IF($A29=0,"&lt;-- defina o número do agrupador",OFFSET(EVENTOS!$D$14,$A29,0)),OFFSET($F$15,$A29,0)))</f>
        <v>FUNDAÇÕES</v>
      </c>
      <c r="O29" s="175"/>
      <c r="Q29" s="175"/>
      <c r="R29" s="176"/>
      <c r="S29" s="176"/>
      <c r="T29" s="176"/>
      <c r="U29" s="176"/>
      <c r="V29" s="176"/>
      <c r="W29" s="176"/>
      <c r="X29" s="176"/>
      <c r="Y29" s="176"/>
      <c r="Z29" s="177"/>
      <c r="AB29" s="541">
        <f ca="1">IF(AND($D29="Serviço",AB$12&lt;&gt;0,$H29&gt;0,OR(AUTOEVENTO&lt;&gt;"manual",$M29&lt;&gt;1)),
IF(Import.TipoArredondamento&lt;&gt;"TransfereGOV",
ROUND(OFFSET($P29,0,AB$13),15-13*ORÇAMENTO!$AF$7)/$H29*OFFSET(ORÇAMENTO!$X$15,ROW(AB29)-ROW(AB$15),0),
ROUND(ROUND(OFFSET($P29,0,AB$13),15-13*ORÇAMENTO!$AF$7)*OFFSET(ORÇAMENTO!$W$15,ROW(AB29)-ROW(AB$15),0),15-13*ORÇAMENTO!$AF$11)),0)</f>
        <v>0</v>
      </c>
      <c r="AC29" s="542">
        <f ca="1">IF(AND($D29="Serviço",AC$12&lt;&gt;0,$H29&gt;0,OR(AUTOEVENTO&lt;&gt;"manual",$M29&lt;&gt;1)),
IF(Import.TipoArredondamento&lt;&gt;"TransfereGOV",
ROUND(OFFSET($P29,0,AC$13),15-13*ORÇAMENTO!$AF$7)/$H29*OFFSET(ORÇAMENTO!$X$15,ROW(AC29)-ROW(AC$15),0),
ROUND(ROUND(OFFSET($P29,0,AC$13),15-13*ORÇAMENTO!$AF$7)*OFFSET(ORÇAMENTO!$W$15,ROW(AC29)-ROW(AC$15),0),15-13*ORÇAMENTO!$AF$11)),0)</f>
        <v>0</v>
      </c>
      <c r="AD29" s="542">
        <f ca="1">IF(AND($D29="Serviço",AD$12&lt;&gt;0,$H29&gt;0,OR(AUTOEVENTO&lt;&gt;"manual",$M29&lt;&gt;1)),
IF(Import.TipoArredondamento&lt;&gt;"TransfereGOV",
ROUND(OFFSET($P29,0,AD$13),15-13*ORÇAMENTO!$AF$7)/$H29*OFFSET(ORÇAMENTO!$X$15,ROW(AD29)-ROW(AD$15),0),
ROUND(ROUND(OFFSET($P29,0,AD$13),15-13*ORÇAMENTO!$AF$7)*OFFSET(ORÇAMENTO!$W$15,ROW(AD29)-ROW(AD$15),0),15-13*ORÇAMENTO!$AF$11)),0)</f>
        <v>0</v>
      </c>
      <c r="AE29" s="542">
        <f ca="1">IF(AND($D29="Serviço",AE$12&lt;&gt;0,$H29&gt;0,OR(AUTOEVENTO&lt;&gt;"manual",$M29&lt;&gt;1)),
IF(Import.TipoArredondamento&lt;&gt;"TransfereGOV",
ROUND(OFFSET($P29,0,AE$13),15-13*ORÇAMENTO!$AF$7)/$H29*OFFSET(ORÇAMENTO!$X$15,ROW(AE29)-ROW(AE$15),0),
ROUND(ROUND(OFFSET($P29,0,AE$13),15-13*ORÇAMENTO!$AF$7)*OFFSET(ORÇAMENTO!$W$15,ROW(AE29)-ROW(AE$15),0),15-13*ORÇAMENTO!$AF$11)),0)</f>
        <v>0</v>
      </c>
      <c r="AF29" s="542">
        <f ca="1">IF(AND($D29="Serviço",AF$12&lt;&gt;0,$H29&gt;0,OR(AUTOEVENTO&lt;&gt;"manual",$M29&lt;&gt;1)),
IF(Import.TipoArredondamento&lt;&gt;"TransfereGOV",
ROUND(OFFSET($P29,0,AF$13),15-13*ORÇAMENTO!$AF$7)/$H29*OFFSET(ORÇAMENTO!$X$15,ROW(AF29)-ROW(AF$15),0),
ROUND(ROUND(OFFSET($P29,0,AF$13),15-13*ORÇAMENTO!$AF$7)*OFFSET(ORÇAMENTO!$W$15,ROW(AF29)-ROW(AF$15),0),15-13*ORÇAMENTO!$AF$11)),0)</f>
        <v>0</v>
      </c>
      <c r="AG29" s="542">
        <f ca="1">IF(AND($D29="Serviço",AG$12&lt;&gt;0,$H29&gt;0,OR(AUTOEVENTO&lt;&gt;"manual",$M29&lt;&gt;1)),
IF(Import.TipoArredondamento&lt;&gt;"TransfereGOV",
ROUND(OFFSET($P29,0,AG$13),15-13*ORÇAMENTO!$AF$7)/$H29*OFFSET(ORÇAMENTO!$X$15,ROW(AG29)-ROW(AG$15),0),
ROUND(ROUND(OFFSET($P29,0,AG$13),15-13*ORÇAMENTO!$AF$7)*OFFSET(ORÇAMENTO!$W$15,ROW(AG29)-ROW(AG$15),0),15-13*ORÇAMENTO!$AF$11)),0)</f>
        <v>0</v>
      </c>
      <c r="AH29" s="542">
        <f ca="1">IF(AND($D29="Serviço",AH$12&lt;&gt;0,$H29&gt;0,OR(AUTOEVENTO&lt;&gt;"manual",$M29&lt;&gt;1)),
IF(Import.TipoArredondamento&lt;&gt;"TransfereGOV",
ROUND(OFFSET($P29,0,AH$13),15-13*ORÇAMENTO!$AF$7)/$H29*OFFSET(ORÇAMENTO!$X$15,ROW(AH29)-ROW(AH$15),0),
ROUND(ROUND(OFFSET($P29,0,AH$13),15-13*ORÇAMENTO!$AF$7)*OFFSET(ORÇAMENTO!$W$15,ROW(AH29)-ROW(AH$15),0),15-13*ORÇAMENTO!$AF$11)),0)</f>
        <v>0</v>
      </c>
      <c r="AI29" s="542">
        <f ca="1">IF(AND($D29="Serviço",AI$12&lt;&gt;0,$H29&gt;0,OR(AUTOEVENTO&lt;&gt;"manual",$M29&lt;&gt;1)),
IF(Import.TipoArredondamento&lt;&gt;"TransfereGOV",
ROUND(OFFSET($P29,0,AI$13),15-13*ORÇAMENTO!$AF$7)/$H29*OFFSET(ORÇAMENTO!$X$15,ROW(AI29)-ROW(AI$15),0),
ROUND(ROUND(OFFSET($P29,0,AI$13),15-13*ORÇAMENTO!$AF$7)*OFFSET(ORÇAMENTO!$W$15,ROW(AI29)-ROW(AI$15),0),15-13*ORÇAMENTO!$AF$11)),0)</f>
        <v>0</v>
      </c>
      <c r="AJ29" s="542">
        <f ca="1">IF(AND($D29="Serviço",AJ$12&lt;&gt;0,$H29&gt;0,OR(AUTOEVENTO&lt;&gt;"manual",$M29&lt;&gt;1)),
IF(Import.TipoArredondamento&lt;&gt;"TransfereGOV",
ROUND(OFFSET($P29,0,AJ$13),15-13*ORÇAMENTO!$AF$7)/$H29*OFFSET(ORÇAMENTO!$X$15,ROW(AJ29)-ROW(AJ$15),0),
ROUND(ROUND(OFFSET($P29,0,AJ$13),15-13*ORÇAMENTO!$AF$7)*OFFSET(ORÇAMENTO!$W$15,ROW(AJ29)-ROW(AJ$15),0),15-13*ORÇAMENTO!$AF$11)),0)</f>
        <v>0</v>
      </c>
      <c r="AK29" s="543">
        <f ca="1">IF(AND($D29="Serviço",AK$12&lt;&gt;0,$H29&gt;0,OR(AUTOEVENTO&lt;&gt;"manual",$M29&lt;&gt;1)),
IF(Import.TipoArredondamento&lt;&gt;"TransfereGOV",
ROUND(OFFSET($P29,0,AK$13),15-13*ORÇAMENTO!$AF$7)/$H29*OFFSET(ORÇAMENTO!$X$15,ROW(AK29)-ROW(AK$15),0),
ROUND(ROUND(OFFSET($P29,0,AK$13),15-13*ORÇAMENTO!$AF$7)*OFFSET(ORÇAMENTO!$W$15,ROW(AK29)-ROW(AK$15),0),15-13*ORÇAMENTO!$AF$11)),0)</f>
        <v>0</v>
      </c>
      <c r="AM29" s="178">
        <f ca="1">IF($D29&lt;&gt;"Serviço",0,IF(AND(AUTOEVENTO="Manual",$M29=1),0,IF(OFFSET(CRONOPLE!$F$14,$M29,AM$13)="",10^12,OFFSET(CRONOPLE!$F$14,$M29,AM$13))))</f>
        <v>1000000000000</v>
      </c>
      <c r="AN29" s="178">
        <f ca="1">IF($D29&lt;&gt;"Serviço",0,IF(AND(AUTOEVENTO="Manual",$M29=1),0,IF(OFFSET(CRONOPLE!$F$14,$M29,AN$13)="",10^12,OFFSET(CRONOPLE!$F$14,$M29,AN$13))))</f>
        <v>1000000000000</v>
      </c>
      <c r="AO29" s="178">
        <f ca="1">IF($D29&lt;&gt;"Serviço",0,IF(AND(AUTOEVENTO="Manual",$M29=1),0,IF(OFFSET(CRONOPLE!$F$14,$M29,AO$13)="",10^12,OFFSET(CRONOPLE!$F$14,$M29,AO$13))))</f>
        <v>1000000000000</v>
      </c>
      <c r="AP29" s="178">
        <f ca="1">IF($D29&lt;&gt;"Serviço",0,IF(AND(AUTOEVENTO="Manual",$M29=1),0,IF(OFFSET(CRONOPLE!$F$14,$M29,AP$13)="",10^12,OFFSET(CRONOPLE!$F$14,$M29,AP$13))))</f>
        <v>1000000000000</v>
      </c>
      <c r="AQ29" s="178">
        <f ca="1">IF($D29&lt;&gt;"Serviço",0,IF(AND(AUTOEVENTO="Manual",$M29=1),0,IF(OFFSET(CRONOPLE!$F$14,$M29,AQ$13)="",10^12,OFFSET(CRONOPLE!$F$14,$M29,AQ$13))))</f>
        <v>1000000000000</v>
      </c>
      <c r="AR29" s="178">
        <f ca="1">IF($D29&lt;&gt;"Serviço",0,IF(AND(AUTOEVENTO="Manual",$M29=1),0,IF(OFFSET(CRONOPLE!$F$14,$M29,AR$13)="",10^12,OFFSET(CRONOPLE!$F$14,$M29,AR$13))))</f>
        <v>1000000000000</v>
      </c>
      <c r="AS29" s="178">
        <f ca="1">IF($D29&lt;&gt;"Serviço",0,IF(AND(AUTOEVENTO="Manual",$M29=1),0,IF(OFFSET(CRONOPLE!$F$14,$M29,AS$13)="",10^12,OFFSET(CRONOPLE!$F$14,$M29,AS$13))))</f>
        <v>1000000000000</v>
      </c>
      <c r="AT29" s="178">
        <f ca="1">IF($D29&lt;&gt;"Serviço",0,IF(AND(AUTOEVENTO="Manual",$M29=1),0,IF(OFFSET(CRONOPLE!$F$14,$M29,AT$13)="",10^12,OFFSET(CRONOPLE!$F$14,$M29,AT$13))))</f>
        <v>1000000000000</v>
      </c>
      <c r="AU29" s="178">
        <f ca="1">IF($D29&lt;&gt;"Serviço",0,IF(AND(AUTOEVENTO="Manual",$M29=1),0,IF(OFFSET(CRONOPLE!$F$14,$M29,AU$13)="",10^12,OFFSET(CRONOPLE!$F$14,$M29,AU$13))))</f>
        <v>1000000000000</v>
      </c>
      <c r="AV29" s="178">
        <f ca="1">IF($D29&lt;&gt;"Serviço",0,IF(AND(AUTOEVENTO="Manual",$M29=1),0,IF(OFFSET(CRONOPLE!$F$14,$M29,AV$13)="",10^12,OFFSET(CRONOPLE!$F$14,$M29,AV$13))))</f>
        <v>1000000000000</v>
      </c>
      <c r="AX29" s="179">
        <f ca="1">IF($D29&lt;&gt;"Serviço",0,IF(OR(AND(AUTOEVENTO="Manual",$M29=1),$M29&gt;(ROW(PLE.lastrow)-ROW(PLE.firstrow))),0,IF(OFFSET(PLE!$G$14,$M29,AX$13)="",10^12,OFFSET(PLE!$G$14,$M29,AX$13))))</f>
        <v>1000000000000</v>
      </c>
      <c r="AY29" s="179">
        <f ca="1">IF($D29&lt;&gt;"Serviço",0,IF(OR(AND(AUTOEVENTO="Manual",$M29=1),$M29&gt;(ROW(PLE.lastrow)-ROW(PLE.firstrow))),0,IF(OFFSET(PLE!$G$14,$M29,AY$13)="",10^12,OFFSET(PLE!$G$14,$M29,AY$13))))</f>
        <v>1000000000000</v>
      </c>
      <c r="AZ29" s="179">
        <f ca="1">IF($D29&lt;&gt;"Serviço",0,IF(OR(AND(AUTOEVENTO="Manual",$M29=1),$M29&gt;(ROW(PLE.lastrow)-ROW(PLE.firstrow))),0,IF(OFFSET(PLE!$G$14,$M29,AZ$13)="",10^12,OFFSET(PLE!$G$14,$M29,AZ$13))))</f>
        <v>1000000000000</v>
      </c>
      <c r="BA29" s="179">
        <f ca="1">IF($D29&lt;&gt;"Serviço",0,IF(OR(AND(AUTOEVENTO="Manual",$M29=1),$M29&gt;(ROW(PLE.lastrow)-ROW(PLE.firstrow))),0,IF(OFFSET(PLE!$G$14,$M29,BA$13)="",10^12,OFFSET(PLE!$G$14,$M29,BA$13))))</f>
        <v>1000000000000</v>
      </c>
      <c r="BB29" s="179">
        <f ca="1">IF($D29&lt;&gt;"Serviço",0,IF(OR(AND(AUTOEVENTO="Manual",$M29=1),$M29&gt;(ROW(PLE.lastrow)-ROW(PLE.firstrow))),0,IF(OFFSET(PLE!$G$14,$M29,BB$13)="",10^12,OFFSET(PLE!$G$14,$M29,BB$13))))</f>
        <v>1000000000000</v>
      </c>
      <c r="BC29" s="179">
        <f ca="1">IF($D29&lt;&gt;"Serviço",0,IF(OR(AND(AUTOEVENTO="Manual",$M29=1),$M29&gt;(ROW(PLE.lastrow)-ROW(PLE.firstrow))),0,IF(OFFSET(PLE!$G$14,$M29,BC$13)="",10^12,OFFSET(PLE!$G$14,$M29,BC$13))))</f>
        <v>1000000000000</v>
      </c>
      <c r="BD29" s="179">
        <f ca="1">IF($D29&lt;&gt;"Serviço",0,IF(OR(AND(AUTOEVENTO="Manual",$M29=1),$M29&gt;(ROW(PLE.lastrow)-ROW(PLE.firstrow))),0,IF(OFFSET(PLE!$G$14,$M29,BD$13)="",10^12,OFFSET(PLE!$G$14,$M29,BD$13))))</f>
        <v>1000000000000</v>
      </c>
      <c r="BE29" s="179">
        <f ca="1">IF($D29&lt;&gt;"Serviço",0,IF(OR(AND(AUTOEVENTO="Manual",$M29=1),$M29&gt;(ROW(PLE.lastrow)-ROW(PLE.firstrow))),0,IF(OFFSET(PLE!$G$14,$M29,BE$13)="",10^12,OFFSET(PLE!$G$14,$M29,BE$13))))</f>
        <v>1000000000000</v>
      </c>
      <c r="BF29" s="179">
        <f ca="1">IF($D29&lt;&gt;"Serviço",0,IF(OR(AND(AUTOEVENTO="Manual",$M29=1),$M29&gt;(ROW(PLE.lastrow)-ROW(PLE.firstrow))),0,IF(OFFSET(PLE!$G$14,$M29,BF$13)="",10^12,OFFSET(PLE!$G$14,$M29,BF$13))))</f>
        <v>1000000000000</v>
      </c>
      <c r="BG29" s="179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38.25" x14ac:dyDescent="0.2">
      <c r="A30" s="7" t="str">
        <f t="shared" ca="1" si="8"/>
        <v>13</v>
      </c>
      <c r="B30" s="7" t="str">
        <f ca="1">OFFSET(ORÇAMENTO!C$15,ROW(B30)-ROW(B$15),0)</f>
        <v>S</v>
      </c>
      <c r="C30" s="7" t="str">
        <f ca="1">OFFSET(ORÇAMENTO!L$15,ROW(C30)-ROW(C$15),0)</f>
        <v/>
      </c>
      <c r="D30" s="115" t="str">
        <f ca="1">OFFSET(ORÇAMENTO!N$15,ROW(D30)-ROW(D$15),0)</f>
        <v>Serviço</v>
      </c>
      <c r="E30" s="116" t="str">
        <f ca="1">OFFSET(ORÇAMENTO!O$15,ROW(E30)-ROW(E$15),0)</f>
        <v>-</v>
      </c>
      <c r="F30" s="169" t="str">
        <f ca="1">OFFSET(ORÇAMENTO!R$15,ROW(F30)-ROW(F$15),0)</f>
        <v>(abra o arquivo 'Referência 10-2024.xlsm)</v>
      </c>
      <c r="G30" s="170" t="str">
        <f ca="1">IF($D30&lt;&gt;"Serviço","",OFFSET(ORÇAMENTO!S$15,ROW(G30)-ROW(G$15),0))</f>
        <v>-</v>
      </c>
      <c r="H30" s="121">
        <f ca="1">IF($D30&lt;&gt;"Serviço",0,IF(ACOMPANHAMENTO="BM",ROUND(OFFSET(ORÇAMENTO!AJ$15,ROW(H30)-ROW(H$15),0),15-13*ORÇAMENTO!$AF$7),SUMPRODUCT(($Q$12:$AA$12&lt;&gt;"")*ROUND($Q30:$AA30,15-13*ORÇAMENTO!$AF$7))))</f>
        <v>1.92</v>
      </c>
      <c r="I30" s="558" t="s">
        <v>561</v>
      </c>
      <c r="K30" s="171"/>
      <c r="L30" s="172" t="s">
        <v>255</v>
      </c>
      <c r="M30" s="173">
        <f ca="1">IF($D30&lt;&gt;"Serviço","",IF(AUTOEVENTO="manual",$A30,IF(ISERROR(MATCH($A30,$A$15:OFFSET($A30,-1,0),0)),MAX($M$15:OFFSET(M30,-1,0))+1,INDEX($M$15:OFFSET(M30,-1,0),MATCH($A30,$A$15:OFFSET($A30,-1,0),0)))))</f>
        <v>4</v>
      </c>
      <c r="N30" s="174" t="str">
        <f ca="1">IF($D30&lt;&gt;"Serviço","",IF(AUTOEVENTO="Manual",IF($A30=0,"&lt;-- defina o número do agrupador",OFFSET(EVENTOS!$D$14,$A30,0)),OFFSET($F$15,$A30,0)))</f>
        <v>FUNDAÇÕES</v>
      </c>
      <c r="O30" s="175"/>
      <c r="Q30" s="175"/>
      <c r="R30" s="176"/>
      <c r="S30" s="176"/>
      <c r="T30" s="176"/>
      <c r="U30" s="176"/>
      <c r="V30" s="176"/>
      <c r="W30" s="176"/>
      <c r="X30" s="176"/>
      <c r="Y30" s="176"/>
      <c r="Z30" s="177"/>
      <c r="AB30" s="541">
        <f ca="1">IF(AND($D30="Serviço",AB$12&lt;&gt;0,$H30&gt;0,OR(AUTOEVENTO&lt;&gt;"manual",$M30&lt;&gt;1)),
IF(Import.TipoArredondamento&lt;&gt;"TransfereGOV",
ROUND(OFFSET($P30,0,AB$13),15-13*ORÇAMENTO!$AF$7)/$H30*OFFSET(ORÇAMENTO!$X$15,ROW(AB30)-ROW(AB$15),0),
ROUND(ROUND(OFFSET($P30,0,AB$13),15-13*ORÇAMENTO!$AF$7)*OFFSET(ORÇAMENTO!$W$15,ROW(AB30)-ROW(AB$15),0),15-13*ORÇAMENTO!$AF$11)),0)</f>
        <v>0</v>
      </c>
      <c r="AC30" s="542">
        <f ca="1">IF(AND($D30="Serviço",AC$12&lt;&gt;0,$H30&gt;0,OR(AUTOEVENTO&lt;&gt;"manual",$M30&lt;&gt;1)),
IF(Import.TipoArredondamento&lt;&gt;"TransfereGOV",
ROUND(OFFSET($P30,0,AC$13),15-13*ORÇAMENTO!$AF$7)/$H30*OFFSET(ORÇAMENTO!$X$15,ROW(AC30)-ROW(AC$15),0),
ROUND(ROUND(OFFSET($P30,0,AC$13),15-13*ORÇAMENTO!$AF$7)*OFFSET(ORÇAMENTO!$W$15,ROW(AC30)-ROW(AC$15),0),15-13*ORÇAMENTO!$AF$11)),0)</f>
        <v>0</v>
      </c>
      <c r="AD30" s="542">
        <f ca="1">IF(AND($D30="Serviço",AD$12&lt;&gt;0,$H30&gt;0,OR(AUTOEVENTO&lt;&gt;"manual",$M30&lt;&gt;1)),
IF(Import.TipoArredondamento&lt;&gt;"TransfereGOV",
ROUND(OFFSET($P30,0,AD$13),15-13*ORÇAMENTO!$AF$7)/$H30*OFFSET(ORÇAMENTO!$X$15,ROW(AD30)-ROW(AD$15),0),
ROUND(ROUND(OFFSET($P30,0,AD$13),15-13*ORÇAMENTO!$AF$7)*OFFSET(ORÇAMENTO!$W$15,ROW(AD30)-ROW(AD$15),0),15-13*ORÇAMENTO!$AF$11)),0)</f>
        <v>0</v>
      </c>
      <c r="AE30" s="542">
        <f ca="1">IF(AND($D30="Serviço",AE$12&lt;&gt;0,$H30&gt;0,OR(AUTOEVENTO&lt;&gt;"manual",$M30&lt;&gt;1)),
IF(Import.TipoArredondamento&lt;&gt;"TransfereGOV",
ROUND(OFFSET($P30,0,AE$13),15-13*ORÇAMENTO!$AF$7)/$H30*OFFSET(ORÇAMENTO!$X$15,ROW(AE30)-ROW(AE$15),0),
ROUND(ROUND(OFFSET($P30,0,AE$13),15-13*ORÇAMENTO!$AF$7)*OFFSET(ORÇAMENTO!$W$15,ROW(AE30)-ROW(AE$15),0),15-13*ORÇAMENTO!$AF$11)),0)</f>
        <v>0</v>
      </c>
      <c r="AF30" s="542">
        <f ca="1">IF(AND($D30="Serviço",AF$12&lt;&gt;0,$H30&gt;0,OR(AUTOEVENTO&lt;&gt;"manual",$M30&lt;&gt;1)),
IF(Import.TipoArredondamento&lt;&gt;"TransfereGOV",
ROUND(OFFSET($P30,0,AF$13),15-13*ORÇAMENTO!$AF$7)/$H30*OFFSET(ORÇAMENTO!$X$15,ROW(AF30)-ROW(AF$15),0),
ROUND(ROUND(OFFSET($P30,0,AF$13),15-13*ORÇAMENTO!$AF$7)*OFFSET(ORÇAMENTO!$W$15,ROW(AF30)-ROW(AF$15),0),15-13*ORÇAMENTO!$AF$11)),0)</f>
        <v>0</v>
      </c>
      <c r="AG30" s="542">
        <f ca="1">IF(AND($D30="Serviço",AG$12&lt;&gt;0,$H30&gt;0,OR(AUTOEVENTO&lt;&gt;"manual",$M30&lt;&gt;1)),
IF(Import.TipoArredondamento&lt;&gt;"TransfereGOV",
ROUND(OFFSET($P30,0,AG$13),15-13*ORÇAMENTO!$AF$7)/$H30*OFFSET(ORÇAMENTO!$X$15,ROW(AG30)-ROW(AG$15),0),
ROUND(ROUND(OFFSET($P30,0,AG$13),15-13*ORÇAMENTO!$AF$7)*OFFSET(ORÇAMENTO!$W$15,ROW(AG30)-ROW(AG$15),0),15-13*ORÇAMENTO!$AF$11)),0)</f>
        <v>0</v>
      </c>
      <c r="AH30" s="542">
        <f ca="1">IF(AND($D30="Serviço",AH$12&lt;&gt;0,$H30&gt;0,OR(AUTOEVENTO&lt;&gt;"manual",$M30&lt;&gt;1)),
IF(Import.TipoArredondamento&lt;&gt;"TransfereGOV",
ROUND(OFFSET($P30,0,AH$13),15-13*ORÇAMENTO!$AF$7)/$H30*OFFSET(ORÇAMENTO!$X$15,ROW(AH30)-ROW(AH$15),0),
ROUND(ROUND(OFFSET($P30,0,AH$13),15-13*ORÇAMENTO!$AF$7)*OFFSET(ORÇAMENTO!$W$15,ROW(AH30)-ROW(AH$15),0),15-13*ORÇAMENTO!$AF$11)),0)</f>
        <v>0</v>
      </c>
      <c r="AI30" s="542">
        <f ca="1">IF(AND($D30="Serviço",AI$12&lt;&gt;0,$H30&gt;0,OR(AUTOEVENTO&lt;&gt;"manual",$M30&lt;&gt;1)),
IF(Import.TipoArredondamento&lt;&gt;"TransfereGOV",
ROUND(OFFSET($P30,0,AI$13),15-13*ORÇAMENTO!$AF$7)/$H30*OFFSET(ORÇAMENTO!$X$15,ROW(AI30)-ROW(AI$15),0),
ROUND(ROUND(OFFSET($P30,0,AI$13),15-13*ORÇAMENTO!$AF$7)*OFFSET(ORÇAMENTO!$W$15,ROW(AI30)-ROW(AI$15),0),15-13*ORÇAMENTO!$AF$11)),0)</f>
        <v>0</v>
      </c>
      <c r="AJ30" s="542">
        <f ca="1">IF(AND($D30="Serviço",AJ$12&lt;&gt;0,$H30&gt;0,OR(AUTOEVENTO&lt;&gt;"manual",$M30&lt;&gt;1)),
IF(Import.TipoArredondamento&lt;&gt;"TransfereGOV",
ROUND(OFFSET($P30,0,AJ$13),15-13*ORÇAMENTO!$AF$7)/$H30*OFFSET(ORÇAMENTO!$X$15,ROW(AJ30)-ROW(AJ$15),0),
ROUND(ROUND(OFFSET($P30,0,AJ$13),15-13*ORÇAMENTO!$AF$7)*OFFSET(ORÇAMENTO!$W$15,ROW(AJ30)-ROW(AJ$15),0),15-13*ORÇAMENTO!$AF$11)),0)</f>
        <v>0</v>
      </c>
      <c r="AK30" s="543">
        <f ca="1">IF(AND($D30="Serviço",AK$12&lt;&gt;0,$H30&gt;0,OR(AUTOEVENTO&lt;&gt;"manual",$M30&lt;&gt;1)),
IF(Import.TipoArredondamento&lt;&gt;"TransfereGOV",
ROUND(OFFSET($P30,0,AK$13),15-13*ORÇAMENTO!$AF$7)/$H30*OFFSET(ORÇAMENTO!$X$15,ROW(AK30)-ROW(AK$15),0),
ROUND(ROUND(OFFSET($P30,0,AK$13),15-13*ORÇAMENTO!$AF$7)*OFFSET(ORÇAMENTO!$W$15,ROW(AK30)-ROW(AK$15),0),15-13*ORÇAMENTO!$AF$11)),0)</f>
        <v>0</v>
      </c>
      <c r="AM30" s="178">
        <f ca="1">IF($D30&lt;&gt;"Serviço",0,IF(AND(AUTOEVENTO="Manual",$M30=1),0,IF(OFFSET(CRONOPLE!$F$14,$M30,AM$13)="",10^12,OFFSET(CRONOPLE!$F$14,$M30,AM$13))))</f>
        <v>1000000000000</v>
      </c>
      <c r="AN30" s="178">
        <f ca="1">IF($D30&lt;&gt;"Serviço",0,IF(AND(AUTOEVENTO="Manual",$M30=1),0,IF(OFFSET(CRONOPLE!$F$14,$M30,AN$13)="",10^12,OFFSET(CRONOPLE!$F$14,$M30,AN$13))))</f>
        <v>1000000000000</v>
      </c>
      <c r="AO30" s="178">
        <f ca="1">IF($D30&lt;&gt;"Serviço",0,IF(AND(AUTOEVENTO="Manual",$M30=1),0,IF(OFFSET(CRONOPLE!$F$14,$M30,AO$13)="",10^12,OFFSET(CRONOPLE!$F$14,$M30,AO$13))))</f>
        <v>1000000000000</v>
      </c>
      <c r="AP30" s="178">
        <f ca="1">IF($D30&lt;&gt;"Serviço",0,IF(AND(AUTOEVENTO="Manual",$M30=1),0,IF(OFFSET(CRONOPLE!$F$14,$M30,AP$13)="",10^12,OFFSET(CRONOPLE!$F$14,$M30,AP$13))))</f>
        <v>1000000000000</v>
      </c>
      <c r="AQ30" s="178">
        <f ca="1">IF($D30&lt;&gt;"Serviço",0,IF(AND(AUTOEVENTO="Manual",$M30=1),0,IF(OFFSET(CRONOPLE!$F$14,$M30,AQ$13)="",10^12,OFFSET(CRONOPLE!$F$14,$M30,AQ$13))))</f>
        <v>1000000000000</v>
      </c>
      <c r="AR30" s="178">
        <f ca="1">IF($D30&lt;&gt;"Serviço",0,IF(AND(AUTOEVENTO="Manual",$M30=1),0,IF(OFFSET(CRONOPLE!$F$14,$M30,AR$13)="",10^12,OFFSET(CRONOPLE!$F$14,$M30,AR$13))))</f>
        <v>1000000000000</v>
      </c>
      <c r="AS30" s="178">
        <f ca="1">IF($D30&lt;&gt;"Serviço",0,IF(AND(AUTOEVENTO="Manual",$M30=1),0,IF(OFFSET(CRONOPLE!$F$14,$M30,AS$13)="",10^12,OFFSET(CRONOPLE!$F$14,$M30,AS$13))))</f>
        <v>1000000000000</v>
      </c>
      <c r="AT30" s="178">
        <f ca="1">IF($D30&lt;&gt;"Serviço",0,IF(AND(AUTOEVENTO="Manual",$M30=1),0,IF(OFFSET(CRONOPLE!$F$14,$M30,AT$13)="",10^12,OFFSET(CRONOPLE!$F$14,$M30,AT$13))))</f>
        <v>1000000000000</v>
      </c>
      <c r="AU30" s="178">
        <f ca="1">IF($D30&lt;&gt;"Serviço",0,IF(AND(AUTOEVENTO="Manual",$M30=1),0,IF(OFFSET(CRONOPLE!$F$14,$M30,AU$13)="",10^12,OFFSET(CRONOPLE!$F$14,$M30,AU$13))))</f>
        <v>1000000000000</v>
      </c>
      <c r="AV30" s="178">
        <f ca="1">IF($D30&lt;&gt;"Serviço",0,IF(AND(AUTOEVENTO="Manual",$M30=1),0,IF(OFFSET(CRONOPLE!$F$14,$M30,AV$13)="",10^12,OFFSET(CRONOPLE!$F$14,$M30,AV$13))))</f>
        <v>1000000000000</v>
      </c>
      <c r="AX30" s="179">
        <f ca="1">IF($D30&lt;&gt;"Serviço",0,IF(OR(AND(AUTOEVENTO="Manual",$M30=1),$M30&gt;(ROW(PLE.lastrow)-ROW(PLE.firstrow))),0,IF(OFFSET(PLE!$G$14,$M30,AX$13)="",10^12,OFFSET(PLE!$G$14,$M30,AX$13))))</f>
        <v>1000000000000</v>
      </c>
      <c r="AY30" s="179">
        <f ca="1">IF($D30&lt;&gt;"Serviço",0,IF(OR(AND(AUTOEVENTO="Manual",$M30=1),$M30&gt;(ROW(PLE.lastrow)-ROW(PLE.firstrow))),0,IF(OFFSET(PLE!$G$14,$M30,AY$13)="",10^12,OFFSET(PLE!$G$14,$M30,AY$13))))</f>
        <v>1000000000000</v>
      </c>
      <c r="AZ30" s="179">
        <f ca="1">IF($D30&lt;&gt;"Serviço",0,IF(OR(AND(AUTOEVENTO="Manual",$M30=1),$M30&gt;(ROW(PLE.lastrow)-ROW(PLE.firstrow))),0,IF(OFFSET(PLE!$G$14,$M30,AZ$13)="",10^12,OFFSET(PLE!$G$14,$M30,AZ$13))))</f>
        <v>1000000000000</v>
      </c>
      <c r="BA30" s="179">
        <f ca="1">IF($D30&lt;&gt;"Serviço",0,IF(OR(AND(AUTOEVENTO="Manual",$M30=1),$M30&gt;(ROW(PLE.lastrow)-ROW(PLE.firstrow))),0,IF(OFFSET(PLE!$G$14,$M30,BA$13)="",10^12,OFFSET(PLE!$G$14,$M30,BA$13))))</f>
        <v>1000000000000</v>
      </c>
      <c r="BB30" s="179">
        <f ca="1">IF($D30&lt;&gt;"Serviço",0,IF(OR(AND(AUTOEVENTO="Manual",$M30=1),$M30&gt;(ROW(PLE.lastrow)-ROW(PLE.firstrow))),0,IF(OFFSET(PLE!$G$14,$M30,BB$13)="",10^12,OFFSET(PLE!$G$14,$M30,BB$13))))</f>
        <v>1000000000000</v>
      </c>
      <c r="BC30" s="179">
        <f ca="1">IF($D30&lt;&gt;"Serviço",0,IF(OR(AND(AUTOEVENTO="Manual",$M30=1),$M30&gt;(ROW(PLE.lastrow)-ROW(PLE.firstrow))),0,IF(OFFSET(PLE!$G$14,$M30,BC$13)="",10^12,OFFSET(PLE!$G$14,$M30,BC$13))))</f>
        <v>1000000000000</v>
      </c>
      <c r="BD30" s="179">
        <f ca="1">IF($D30&lt;&gt;"Serviço",0,IF(OR(AND(AUTOEVENTO="Manual",$M30=1),$M30&gt;(ROW(PLE.lastrow)-ROW(PLE.firstrow))),0,IF(OFFSET(PLE!$G$14,$M30,BD$13)="",10^12,OFFSET(PLE!$G$14,$M30,BD$13))))</f>
        <v>1000000000000</v>
      </c>
      <c r="BE30" s="179">
        <f ca="1">IF($D30&lt;&gt;"Serviço",0,IF(OR(AND(AUTOEVENTO="Manual",$M30=1),$M30&gt;(ROW(PLE.lastrow)-ROW(PLE.firstrow))),0,IF(OFFSET(PLE!$G$14,$M30,BE$13)="",10^12,OFFSET(PLE!$G$14,$M30,BE$13))))</f>
        <v>1000000000000</v>
      </c>
      <c r="BF30" s="179">
        <f ca="1">IF($D30&lt;&gt;"Serviço",0,IF(OR(AND(AUTOEVENTO="Manual",$M30=1),$M30&gt;(ROW(PLE.lastrow)-ROW(PLE.firstrow))),0,IF(OFFSET(PLE!$G$14,$M30,BF$13)="",10^12,OFFSET(PLE!$G$14,$M30,BF$13))))</f>
        <v>1000000000000</v>
      </c>
      <c r="BG30" s="179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x14ac:dyDescent="0.2">
      <c r="A31" s="7" t="str">
        <f t="shared" ca="1" si="8"/>
        <v>13</v>
      </c>
      <c r="B31" s="7" t="str">
        <f ca="1">OFFSET(ORÇAMENTO!C$15,ROW(B31)-ROW(B$15),0)</f>
        <v>S</v>
      </c>
      <c r="C31" s="7" t="str">
        <f ca="1">OFFSET(ORÇAMENTO!L$15,ROW(C31)-ROW(C$15),0)</f>
        <v/>
      </c>
      <c r="D31" s="115" t="str">
        <f ca="1">OFFSET(ORÇAMENTO!N$15,ROW(D31)-ROW(D$15),0)</f>
        <v>Serviço</v>
      </c>
      <c r="E31" s="116" t="str">
        <f ca="1">OFFSET(ORÇAMENTO!O$15,ROW(E31)-ROW(E$15),0)</f>
        <v>-</v>
      </c>
      <c r="F31" s="169" t="str">
        <f ca="1">OFFSET(ORÇAMENTO!R$15,ROW(F31)-ROW(F$15),0)</f>
        <v>(abra o arquivo 'Referência 10-2024.xlsm)</v>
      </c>
      <c r="G31" s="170" t="str">
        <f ca="1">IF($D31&lt;&gt;"Serviço","",OFFSET(ORÇAMENTO!S$15,ROW(G31)-ROW(G$15),0))</f>
        <v>-</v>
      </c>
      <c r="H31" s="121">
        <f ca="1">IF($D31&lt;&gt;"Serviço",0,IF(ACOMPANHAMENTO="BM",ROUND(OFFSET(ORÇAMENTO!AJ$15,ROW(H31)-ROW(H$15),0),15-13*ORÇAMENTO!$AF$7),SUMPRODUCT(($Q$12:$AA$12&lt;&gt;"")*ROUND($Q31:$AA31,15-13*ORÇAMENTO!$AF$7))))</f>
        <v>8</v>
      </c>
      <c r="I31" s="558" t="s">
        <v>561</v>
      </c>
      <c r="K31" s="171"/>
      <c r="L31" s="172" t="s">
        <v>255</v>
      </c>
      <c r="M31" s="173">
        <f ca="1">IF($D31&lt;&gt;"Serviço","",IF(AUTOEVENTO="manual",$A31,IF(ISERROR(MATCH($A31,$A$15:OFFSET($A31,-1,0),0)),MAX($M$15:OFFSET(M31,-1,0))+1,INDEX($M$15:OFFSET(M31,-1,0),MATCH($A31,$A$15:OFFSET($A31,-1,0),0)))))</f>
        <v>4</v>
      </c>
      <c r="N31" s="174" t="str">
        <f ca="1">IF($D31&lt;&gt;"Serviço","",IF(AUTOEVENTO="Manual",IF($A31=0,"&lt;-- defina o número do agrupador",OFFSET(EVENTOS!$D$14,$A31,0)),OFFSET($F$15,$A31,0)))</f>
        <v>FUNDAÇÕES</v>
      </c>
      <c r="O31" s="175"/>
      <c r="Q31" s="175"/>
      <c r="R31" s="176"/>
      <c r="S31" s="176"/>
      <c r="T31" s="176"/>
      <c r="U31" s="176"/>
      <c r="V31" s="176"/>
      <c r="W31" s="176"/>
      <c r="X31" s="176"/>
      <c r="Y31" s="176"/>
      <c r="Z31" s="177"/>
      <c r="AB31" s="541">
        <f ca="1">IF(AND($D31="Serviço",AB$12&lt;&gt;0,$H31&gt;0,OR(AUTOEVENTO&lt;&gt;"manual",$M31&lt;&gt;1)),
IF(Import.TipoArredondamento&lt;&gt;"TransfereGOV",
ROUND(OFFSET($P31,0,AB$13),15-13*ORÇAMENTO!$AF$7)/$H31*OFFSET(ORÇAMENTO!$X$15,ROW(AB31)-ROW(AB$15),0),
ROUND(ROUND(OFFSET($P31,0,AB$13),15-13*ORÇAMENTO!$AF$7)*OFFSET(ORÇAMENTO!$W$15,ROW(AB31)-ROW(AB$15),0),15-13*ORÇAMENTO!$AF$11)),0)</f>
        <v>0</v>
      </c>
      <c r="AC31" s="542">
        <f ca="1">IF(AND($D31="Serviço",AC$12&lt;&gt;0,$H31&gt;0,OR(AUTOEVENTO&lt;&gt;"manual",$M31&lt;&gt;1)),
IF(Import.TipoArredondamento&lt;&gt;"TransfereGOV",
ROUND(OFFSET($P31,0,AC$13),15-13*ORÇAMENTO!$AF$7)/$H31*OFFSET(ORÇAMENTO!$X$15,ROW(AC31)-ROW(AC$15),0),
ROUND(ROUND(OFFSET($P31,0,AC$13),15-13*ORÇAMENTO!$AF$7)*OFFSET(ORÇAMENTO!$W$15,ROW(AC31)-ROW(AC$15),0),15-13*ORÇAMENTO!$AF$11)),0)</f>
        <v>0</v>
      </c>
      <c r="AD31" s="542">
        <f ca="1">IF(AND($D31="Serviço",AD$12&lt;&gt;0,$H31&gt;0,OR(AUTOEVENTO&lt;&gt;"manual",$M31&lt;&gt;1)),
IF(Import.TipoArredondamento&lt;&gt;"TransfereGOV",
ROUND(OFFSET($P31,0,AD$13),15-13*ORÇAMENTO!$AF$7)/$H31*OFFSET(ORÇAMENTO!$X$15,ROW(AD31)-ROW(AD$15),0),
ROUND(ROUND(OFFSET($P31,0,AD$13),15-13*ORÇAMENTO!$AF$7)*OFFSET(ORÇAMENTO!$W$15,ROW(AD31)-ROW(AD$15),0),15-13*ORÇAMENTO!$AF$11)),0)</f>
        <v>0</v>
      </c>
      <c r="AE31" s="542">
        <f ca="1">IF(AND($D31="Serviço",AE$12&lt;&gt;0,$H31&gt;0,OR(AUTOEVENTO&lt;&gt;"manual",$M31&lt;&gt;1)),
IF(Import.TipoArredondamento&lt;&gt;"TransfereGOV",
ROUND(OFFSET($P31,0,AE$13),15-13*ORÇAMENTO!$AF$7)/$H31*OFFSET(ORÇAMENTO!$X$15,ROW(AE31)-ROW(AE$15),0),
ROUND(ROUND(OFFSET($P31,0,AE$13),15-13*ORÇAMENTO!$AF$7)*OFFSET(ORÇAMENTO!$W$15,ROW(AE31)-ROW(AE$15),0),15-13*ORÇAMENTO!$AF$11)),0)</f>
        <v>0</v>
      </c>
      <c r="AF31" s="542">
        <f ca="1">IF(AND($D31="Serviço",AF$12&lt;&gt;0,$H31&gt;0,OR(AUTOEVENTO&lt;&gt;"manual",$M31&lt;&gt;1)),
IF(Import.TipoArredondamento&lt;&gt;"TransfereGOV",
ROUND(OFFSET($P31,0,AF$13),15-13*ORÇAMENTO!$AF$7)/$H31*OFFSET(ORÇAMENTO!$X$15,ROW(AF31)-ROW(AF$15),0),
ROUND(ROUND(OFFSET($P31,0,AF$13),15-13*ORÇAMENTO!$AF$7)*OFFSET(ORÇAMENTO!$W$15,ROW(AF31)-ROW(AF$15),0),15-13*ORÇAMENTO!$AF$11)),0)</f>
        <v>0</v>
      </c>
      <c r="AG31" s="542">
        <f ca="1">IF(AND($D31="Serviço",AG$12&lt;&gt;0,$H31&gt;0,OR(AUTOEVENTO&lt;&gt;"manual",$M31&lt;&gt;1)),
IF(Import.TipoArredondamento&lt;&gt;"TransfereGOV",
ROUND(OFFSET($P31,0,AG$13),15-13*ORÇAMENTO!$AF$7)/$H31*OFFSET(ORÇAMENTO!$X$15,ROW(AG31)-ROW(AG$15),0),
ROUND(ROUND(OFFSET($P31,0,AG$13),15-13*ORÇAMENTO!$AF$7)*OFFSET(ORÇAMENTO!$W$15,ROW(AG31)-ROW(AG$15),0),15-13*ORÇAMENTO!$AF$11)),0)</f>
        <v>0</v>
      </c>
      <c r="AH31" s="542">
        <f ca="1">IF(AND($D31="Serviço",AH$12&lt;&gt;0,$H31&gt;0,OR(AUTOEVENTO&lt;&gt;"manual",$M31&lt;&gt;1)),
IF(Import.TipoArredondamento&lt;&gt;"TransfereGOV",
ROUND(OFFSET($P31,0,AH$13),15-13*ORÇAMENTO!$AF$7)/$H31*OFFSET(ORÇAMENTO!$X$15,ROW(AH31)-ROW(AH$15),0),
ROUND(ROUND(OFFSET($P31,0,AH$13),15-13*ORÇAMENTO!$AF$7)*OFFSET(ORÇAMENTO!$W$15,ROW(AH31)-ROW(AH$15),0),15-13*ORÇAMENTO!$AF$11)),0)</f>
        <v>0</v>
      </c>
      <c r="AI31" s="542">
        <f ca="1">IF(AND($D31="Serviço",AI$12&lt;&gt;0,$H31&gt;0,OR(AUTOEVENTO&lt;&gt;"manual",$M31&lt;&gt;1)),
IF(Import.TipoArredondamento&lt;&gt;"TransfereGOV",
ROUND(OFFSET($P31,0,AI$13),15-13*ORÇAMENTO!$AF$7)/$H31*OFFSET(ORÇAMENTO!$X$15,ROW(AI31)-ROW(AI$15),0),
ROUND(ROUND(OFFSET($P31,0,AI$13),15-13*ORÇAMENTO!$AF$7)*OFFSET(ORÇAMENTO!$W$15,ROW(AI31)-ROW(AI$15),0),15-13*ORÇAMENTO!$AF$11)),0)</f>
        <v>0</v>
      </c>
      <c r="AJ31" s="542">
        <f ca="1">IF(AND($D31="Serviço",AJ$12&lt;&gt;0,$H31&gt;0,OR(AUTOEVENTO&lt;&gt;"manual",$M31&lt;&gt;1)),
IF(Import.TipoArredondamento&lt;&gt;"TransfereGOV",
ROUND(OFFSET($P31,0,AJ$13),15-13*ORÇAMENTO!$AF$7)/$H31*OFFSET(ORÇAMENTO!$X$15,ROW(AJ31)-ROW(AJ$15),0),
ROUND(ROUND(OFFSET($P31,0,AJ$13),15-13*ORÇAMENTO!$AF$7)*OFFSET(ORÇAMENTO!$W$15,ROW(AJ31)-ROW(AJ$15),0),15-13*ORÇAMENTO!$AF$11)),0)</f>
        <v>0</v>
      </c>
      <c r="AK31" s="543">
        <f ca="1">IF(AND($D31="Serviço",AK$12&lt;&gt;0,$H31&gt;0,OR(AUTOEVENTO&lt;&gt;"manual",$M31&lt;&gt;1)),
IF(Import.TipoArredondamento&lt;&gt;"TransfereGOV",
ROUND(OFFSET($P31,0,AK$13),15-13*ORÇAMENTO!$AF$7)/$H31*OFFSET(ORÇAMENTO!$X$15,ROW(AK31)-ROW(AK$15),0),
ROUND(ROUND(OFFSET($P31,0,AK$13),15-13*ORÇAMENTO!$AF$7)*OFFSET(ORÇAMENTO!$W$15,ROW(AK31)-ROW(AK$15),0),15-13*ORÇAMENTO!$AF$11)),0)</f>
        <v>0</v>
      </c>
      <c r="AM31" s="178">
        <f ca="1">IF($D31&lt;&gt;"Serviço",0,IF(AND(AUTOEVENTO="Manual",$M31=1),0,IF(OFFSET(CRONOPLE!$F$14,$M31,AM$13)="",10^12,OFFSET(CRONOPLE!$F$14,$M31,AM$13))))</f>
        <v>1000000000000</v>
      </c>
      <c r="AN31" s="178">
        <f ca="1">IF($D31&lt;&gt;"Serviço",0,IF(AND(AUTOEVENTO="Manual",$M31=1),0,IF(OFFSET(CRONOPLE!$F$14,$M31,AN$13)="",10^12,OFFSET(CRONOPLE!$F$14,$M31,AN$13))))</f>
        <v>1000000000000</v>
      </c>
      <c r="AO31" s="178">
        <f ca="1">IF($D31&lt;&gt;"Serviço",0,IF(AND(AUTOEVENTO="Manual",$M31=1),0,IF(OFFSET(CRONOPLE!$F$14,$M31,AO$13)="",10^12,OFFSET(CRONOPLE!$F$14,$M31,AO$13))))</f>
        <v>1000000000000</v>
      </c>
      <c r="AP31" s="178">
        <f ca="1">IF($D31&lt;&gt;"Serviço",0,IF(AND(AUTOEVENTO="Manual",$M31=1),0,IF(OFFSET(CRONOPLE!$F$14,$M31,AP$13)="",10^12,OFFSET(CRONOPLE!$F$14,$M31,AP$13))))</f>
        <v>1000000000000</v>
      </c>
      <c r="AQ31" s="178">
        <f ca="1">IF($D31&lt;&gt;"Serviço",0,IF(AND(AUTOEVENTO="Manual",$M31=1),0,IF(OFFSET(CRONOPLE!$F$14,$M31,AQ$13)="",10^12,OFFSET(CRONOPLE!$F$14,$M31,AQ$13))))</f>
        <v>1000000000000</v>
      </c>
      <c r="AR31" s="178">
        <f ca="1">IF($D31&lt;&gt;"Serviço",0,IF(AND(AUTOEVENTO="Manual",$M31=1),0,IF(OFFSET(CRONOPLE!$F$14,$M31,AR$13)="",10^12,OFFSET(CRONOPLE!$F$14,$M31,AR$13))))</f>
        <v>1000000000000</v>
      </c>
      <c r="AS31" s="178">
        <f ca="1">IF($D31&lt;&gt;"Serviço",0,IF(AND(AUTOEVENTO="Manual",$M31=1),0,IF(OFFSET(CRONOPLE!$F$14,$M31,AS$13)="",10^12,OFFSET(CRONOPLE!$F$14,$M31,AS$13))))</f>
        <v>1000000000000</v>
      </c>
      <c r="AT31" s="178">
        <f ca="1">IF($D31&lt;&gt;"Serviço",0,IF(AND(AUTOEVENTO="Manual",$M31=1),0,IF(OFFSET(CRONOPLE!$F$14,$M31,AT$13)="",10^12,OFFSET(CRONOPLE!$F$14,$M31,AT$13))))</f>
        <v>1000000000000</v>
      </c>
      <c r="AU31" s="178">
        <f ca="1">IF($D31&lt;&gt;"Serviço",0,IF(AND(AUTOEVENTO="Manual",$M31=1),0,IF(OFFSET(CRONOPLE!$F$14,$M31,AU$13)="",10^12,OFFSET(CRONOPLE!$F$14,$M31,AU$13))))</f>
        <v>1000000000000</v>
      </c>
      <c r="AV31" s="178">
        <f ca="1">IF($D31&lt;&gt;"Serviço",0,IF(AND(AUTOEVENTO="Manual",$M31=1),0,IF(OFFSET(CRONOPLE!$F$14,$M31,AV$13)="",10^12,OFFSET(CRONOPLE!$F$14,$M31,AV$13))))</f>
        <v>1000000000000</v>
      </c>
      <c r="AX31" s="179">
        <f ca="1">IF($D31&lt;&gt;"Serviço",0,IF(OR(AND(AUTOEVENTO="Manual",$M31=1),$M31&gt;(ROW(PLE.lastrow)-ROW(PLE.firstrow))),0,IF(OFFSET(PLE!$G$14,$M31,AX$13)="",10^12,OFFSET(PLE!$G$14,$M31,AX$13))))</f>
        <v>1000000000000</v>
      </c>
      <c r="AY31" s="179">
        <f ca="1">IF($D31&lt;&gt;"Serviço",0,IF(OR(AND(AUTOEVENTO="Manual",$M31=1),$M31&gt;(ROW(PLE.lastrow)-ROW(PLE.firstrow))),0,IF(OFFSET(PLE!$G$14,$M31,AY$13)="",10^12,OFFSET(PLE!$G$14,$M31,AY$13))))</f>
        <v>1000000000000</v>
      </c>
      <c r="AZ31" s="179">
        <f ca="1">IF($D31&lt;&gt;"Serviço",0,IF(OR(AND(AUTOEVENTO="Manual",$M31=1),$M31&gt;(ROW(PLE.lastrow)-ROW(PLE.firstrow))),0,IF(OFFSET(PLE!$G$14,$M31,AZ$13)="",10^12,OFFSET(PLE!$G$14,$M31,AZ$13))))</f>
        <v>1000000000000</v>
      </c>
      <c r="BA31" s="179">
        <f ca="1">IF($D31&lt;&gt;"Serviço",0,IF(OR(AND(AUTOEVENTO="Manual",$M31=1),$M31&gt;(ROW(PLE.lastrow)-ROW(PLE.firstrow))),0,IF(OFFSET(PLE!$G$14,$M31,BA$13)="",10^12,OFFSET(PLE!$G$14,$M31,BA$13))))</f>
        <v>1000000000000</v>
      </c>
      <c r="BB31" s="179">
        <f ca="1">IF($D31&lt;&gt;"Serviço",0,IF(OR(AND(AUTOEVENTO="Manual",$M31=1),$M31&gt;(ROW(PLE.lastrow)-ROW(PLE.firstrow))),0,IF(OFFSET(PLE!$G$14,$M31,BB$13)="",10^12,OFFSET(PLE!$G$14,$M31,BB$13))))</f>
        <v>1000000000000</v>
      </c>
      <c r="BC31" s="179">
        <f ca="1">IF($D31&lt;&gt;"Serviço",0,IF(OR(AND(AUTOEVENTO="Manual",$M31=1),$M31&gt;(ROW(PLE.lastrow)-ROW(PLE.firstrow))),0,IF(OFFSET(PLE!$G$14,$M31,BC$13)="",10^12,OFFSET(PLE!$G$14,$M31,BC$13))))</f>
        <v>1000000000000</v>
      </c>
      <c r="BD31" s="179">
        <f ca="1">IF($D31&lt;&gt;"Serviço",0,IF(OR(AND(AUTOEVENTO="Manual",$M31=1),$M31&gt;(ROW(PLE.lastrow)-ROW(PLE.firstrow))),0,IF(OFFSET(PLE!$G$14,$M31,BD$13)="",10^12,OFFSET(PLE!$G$14,$M31,BD$13))))</f>
        <v>1000000000000</v>
      </c>
      <c r="BE31" s="179">
        <f ca="1">IF($D31&lt;&gt;"Serviço",0,IF(OR(AND(AUTOEVENTO="Manual",$M31=1),$M31&gt;(ROW(PLE.lastrow)-ROW(PLE.firstrow))),0,IF(OFFSET(PLE!$G$14,$M31,BE$13)="",10^12,OFFSET(PLE!$G$14,$M31,BE$13))))</f>
        <v>1000000000000</v>
      </c>
      <c r="BF31" s="179">
        <f ca="1">IF($D31&lt;&gt;"Serviço",0,IF(OR(AND(AUTOEVENTO="Manual",$M31=1),$M31&gt;(ROW(PLE.lastrow)-ROW(PLE.firstrow))),0,IF(OFFSET(PLE!$G$14,$M31,BF$13)="",10^12,OFFSET(PLE!$G$14,$M31,BF$13))))</f>
        <v>1000000000000</v>
      </c>
      <c r="BG31" s="179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38.25" x14ac:dyDescent="0.2">
      <c r="A32" s="7" t="str">
        <f t="shared" ca="1" si="8"/>
        <v>13</v>
      </c>
      <c r="B32" s="7" t="str">
        <f ca="1">OFFSET(ORÇAMENTO!C$15,ROW(B32)-ROW(B$15),0)</f>
        <v>S</v>
      </c>
      <c r="C32" s="7" t="str">
        <f ca="1">OFFSET(ORÇAMENTO!L$15,ROW(C32)-ROW(C$15),0)</f>
        <v/>
      </c>
      <c r="D32" s="115" t="str">
        <f ca="1">OFFSET(ORÇAMENTO!N$15,ROW(D32)-ROW(D$15),0)</f>
        <v>Serviço</v>
      </c>
      <c r="E32" s="116" t="str">
        <f ca="1">OFFSET(ORÇAMENTO!O$15,ROW(E32)-ROW(E$15),0)</f>
        <v>-</v>
      </c>
      <c r="F32" s="169" t="str">
        <f ca="1">OFFSET(ORÇAMENTO!R$15,ROW(F32)-ROW(F$15),0)</f>
        <v>(abra o arquivo 'Referência 10-2024.xlsm)</v>
      </c>
      <c r="G32" s="170" t="str">
        <f ca="1">IF($D32&lt;&gt;"Serviço","",OFFSET(ORÇAMENTO!S$15,ROW(G32)-ROW(G$15),0))</f>
        <v>-</v>
      </c>
      <c r="H32" s="121">
        <f ca="1">IF($D32&lt;&gt;"Serviço",0,IF(ACOMPANHAMENTO="BM",ROUND(OFFSET(ORÇAMENTO!AJ$15,ROW(H32)-ROW(H$15),0),15-13*ORÇAMENTO!$AF$7),SUMPRODUCT(($Q$12:$AA$12&lt;&gt;"")*ROUND($Q32:$AA32,15-13*ORÇAMENTO!$AF$7))))</f>
        <v>97.77</v>
      </c>
      <c r="I32" s="558" t="s">
        <v>561</v>
      </c>
      <c r="K32" s="171"/>
      <c r="L32" s="172" t="s">
        <v>255</v>
      </c>
      <c r="M32" s="173">
        <f ca="1">IF($D32&lt;&gt;"Serviço","",IF(AUTOEVENTO="manual",$A32,IF(ISERROR(MATCH($A32,$A$15:OFFSET($A32,-1,0),0)),MAX($M$15:OFFSET(M32,-1,0))+1,INDEX($M$15:OFFSET(M32,-1,0),MATCH($A32,$A$15:OFFSET($A32,-1,0),0)))))</f>
        <v>4</v>
      </c>
      <c r="N32" s="174" t="str">
        <f ca="1">IF($D32&lt;&gt;"Serviço","",IF(AUTOEVENTO="Manual",IF($A32=0,"&lt;-- defina o número do agrupador",OFFSET(EVENTOS!$D$14,$A32,0)),OFFSET($F$15,$A32,0)))</f>
        <v>FUNDAÇÕES</v>
      </c>
      <c r="O32" s="175"/>
      <c r="Q32" s="175"/>
      <c r="R32" s="176"/>
      <c r="S32" s="176"/>
      <c r="T32" s="176"/>
      <c r="U32" s="176"/>
      <c r="V32" s="176"/>
      <c r="W32" s="176"/>
      <c r="X32" s="176"/>
      <c r="Y32" s="176"/>
      <c r="Z32" s="177"/>
      <c r="AB32" s="541">
        <f ca="1">IF(AND($D32="Serviço",AB$12&lt;&gt;0,$H32&gt;0,OR(AUTOEVENTO&lt;&gt;"manual",$M32&lt;&gt;1)),
IF(Import.TipoArredondamento&lt;&gt;"TransfereGOV",
ROUND(OFFSET($P32,0,AB$13),15-13*ORÇAMENTO!$AF$7)/$H32*OFFSET(ORÇAMENTO!$X$15,ROW(AB32)-ROW(AB$15),0),
ROUND(ROUND(OFFSET($P32,0,AB$13),15-13*ORÇAMENTO!$AF$7)*OFFSET(ORÇAMENTO!$W$15,ROW(AB32)-ROW(AB$15),0),15-13*ORÇAMENTO!$AF$11)),0)</f>
        <v>0</v>
      </c>
      <c r="AC32" s="542">
        <f ca="1">IF(AND($D32="Serviço",AC$12&lt;&gt;0,$H32&gt;0,OR(AUTOEVENTO&lt;&gt;"manual",$M32&lt;&gt;1)),
IF(Import.TipoArredondamento&lt;&gt;"TransfereGOV",
ROUND(OFFSET($P32,0,AC$13),15-13*ORÇAMENTO!$AF$7)/$H32*OFFSET(ORÇAMENTO!$X$15,ROW(AC32)-ROW(AC$15),0),
ROUND(ROUND(OFFSET($P32,0,AC$13),15-13*ORÇAMENTO!$AF$7)*OFFSET(ORÇAMENTO!$W$15,ROW(AC32)-ROW(AC$15),0),15-13*ORÇAMENTO!$AF$11)),0)</f>
        <v>0</v>
      </c>
      <c r="AD32" s="542">
        <f ca="1">IF(AND($D32="Serviço",AD$12&lt;&gt;0,$H32&gt;0,OR(AUTOEVENTO&lt;&gt;"manual",$M32&lt;&gt;1)),
IF(Import.TipoArredondamento&lt;&gt;"TransfereGOV",
ROUND(OFFSET($P32,0,AD$13),15-13*ORÇAMENTO!$AF$7)/$H32*OFFSET(ORÇAMENTO!$X$15,ROW(AD32)-ROW(AD$15),0),
ROUND(ROUND(OFFSET($P32,0,AD$13),15-13*ORÇAMENTO!$AF$7)*OFFSET(ORÇAMENTO!$W$15,ROW(AD32)-ROW(AD$15),0),15-13*ORÇAMENTO!$AF$11)),0)</f>
        <v>0</v>
      </c>
      <c r="AE32" s="542">
        <f ca="1">IF(AND($D32="Serviço",AE$12&lt;&gt;0,$H32&gt;0,OR(AUTOEVENTO&lt;&gt;"manual",$M32&lt;&gt;1)),
IF(Import.TipoArredondamento&lt;&gt;"TransfereGOV",
ROUND(OFFSET($P32,0,AE$13),15-13*ORÇAMENTO!$AF$7)/$H32*OFFSET(ORÇAMENTO!$X$15,ROW(AE32)-ROW(AE$15),0),
ROUND(ROUND(OFFSET($P32,0,AE$13),15-13*ORÇAMENTO!$AF$7)*OFFSET(ORÇAMENTO!$W$15,ROW(AE32)-ROW(AE$15),0),15-13*ORÇAMENTO!$AF$11)),0)</f>
        <v>0</v>
      </c>
      <c r="AF32" s="542">
        <f ca="1">IF(AND($D32="Serviço",AF$12&lt;&gt;0,$H32&gt;0,OR(AUTOEVENTO&lt;&gt;"manual",$M32&lt;&gt;1)),
IF(Import.TipoArredondamento&lt;&gt;"TransfereGOV",
ROUND(OFFSET($P32,0,AF$13),15-13*ORÇAMENTO!$AF$7)/$H32*OFFSET(ORÇAMENTO!$X$15,ROW(AF32)-ROW(AF$15),0),
ROUND(ROUND(OFFSET($P32,0,AF$13),15-13*ORÇAMENTO!$AF$7)*OFFSET(ORÇAMENTO!$W$15,ROW(AF32)-ROW(AF$15),0),15-13*ORÇAMENTO!$AF$11)),0)</f>
        <v>0</v>
      </c>
      <c r="AG32" s="542">
        <f ca="1">IF(AND($D32="Serviço",AG$12&lt;&gt;0,$H32&gt;0,OR(AUTOEVENTO&lt;&gt;"manual",$M32&lt;&gt;1)),
IF(Import.TipoArredondamento&lt;&gt;"TransfereGOV",
ROUND(OFFSET($P32,0,AG$13),15-13*ORÇAMENTO!$AF$7)/$H32*OFFSET(ORÇAMENTO!$X$15,ROW(AG32)-ROW(AG$15),0),
ROUND(ROUND(OFFSET($P32,0,AG$13),15-13*ORÇAMENTO!$AF$7)*OFFSET(ORÇAMENTO!$W$15,ROW(AG32)-ROW(AG$15),0),15-13*ORÇAMENTO!$AF$11)),0)</f>
        <v>0</v>
      </c>
      <c r="AH32" s="542">
        <f ca="1">IF(AND($D32="Serviço",AH$12&lt;&gt;0,$H32&gt;0,OR(AUTOEVENTO&lt;&gt;"manual",$M32&lt;&gt;1)),
IF(Import.TipoArredondamento&lt;&gt;"TransfereGOV",
ROUND(OFFSET($P32,0,AH$13),15-13*ORÇAMENTO!$AF$7)/$H32*OFFSET(ORÇAMENTO!$X$15,ROW(AH32)-ROW(AH$15),0),
ROUND(ROUND(OFFSET($P32,0,AH$13),15-13*ORÇAMENTO!$AF$7)*OFFSET(ORÇAMENTO!$W$15,ROW(AH32)-ROW(AH$15),0),15-13*ORÇAMENTO!$AF$11)),0)</f>
        <v>0</v>
      </c>
      <c r="AI32" s="542">
        <f ca="1">IF(AND($D32="Serviço",AI$12&lt;&gt;0,$H32&gt;0,OR(AUTOEVENTO&lt;&gt;"manual",$M32&lt;&gt;1)),
IF(Import.TipoArredondamento&lt;&gt;"TransfereGOV",
ROUND(OFFSET($P32,0,AI$13),15-13*ORÇAMENTO!$AF$7)/$H32*OFFSET(ORÇAMENTO!$X$15,ROW(AI32)-ROW(AI$15),0),
ROUND(ROUND(OFFSET($P32,0,AI$13),15-13*ORÇAMENTO!$AF$7)*OFFSET(ORÇAMENTO!$W$15,ROW(AI32)-ROW(AI$15),0),15-13*ORÇAMENTO!$AF$11)),0)</f>
        <v>0</v>
      </c>
      <c r="AJ32" s="542">
        <f ca="1">IF(AND($D32="Serviço",AJ$12&lt;&gt;0,$H32&gt;0,OR(AUTOEVENTO&lt;&gt;"manual",$M32&lt;&gt;1)),
IF(Import.TipoArredondamento&lt;&gt;"TransfereGOV",
ROUND(OFFSET($P32,0,AJ$13),15-13*ORÇAMENTO!$AF$7)/$H32*OFFSET(ORÇAMENTO!$X$15,ROW(AJ32)-ROW(AJ$15),0),
ROUND(ROUND(OFFSET($P32,0,AJ$13),15-13*ORÇAMENTO!$AF$7)*OFFSET(ORÇAMENTO!$W$15,ROW(AJ32)-ROW(AJ$15),0),15-13*ORÇAMENTO!$AF$11)),0)</f>
        <v>0</v>
      </c>
      <c r="AK32" s="543">
        <f ca="1">IF(AND($D32="Serviço",AK$12&lt;&gt;0,$H32&gt;0,OR(AUTOEVENTO&lt;&gt;"manual",$M32&lt;&gt;1)),
IF(Import.TipoArredondamento&lt;&gt;"TransfereGOV",
ROUND(OFFSET($P32,0,AK$13),15-13*ORÇAMENTO!$AF$7)/$H32*OFFSET(ORÇAMENTO!$X$15,ROW(AK32)-ROW(AK$15),0),
ROUND(ROUND(OFFSET($P32,0,AK$13),15-13*ORÇAMENTO!$AF$7)*OFFSET(ORÇAMENTO!$W$15,ROW(AK32)-ROW(AK$15),0),15-13*ORÇAMENTO!$AF$11)),0)</f>
        <v>0</v>
      </c>
      <c r="AM32" s="178">
        <f ca="1">IF($D32&lt;&gt;"Serviço",0,IF(AND(AUTOEVENTO="Manual",$M32=1),0,IF(OFFSET(CRONOPLE!$F$14,$M32,AM$13)="",10^12,OFFSET(CRONOPLE!$F$14,$M32,AM$13))))</f>
        <v>1000000000000</v>
      </c>
      <c r="AN32" s="178">
        <f ca="1">IF($D32&lt;&gt;"Serviço",0,IF(AND(AUTOEVENTO="Manual",$M32=1),0,IF(OFFSET(CRONOPLE!$F$14,$M32,AN$13)="",10^12,OFFSET(CRONOPLE!$F$14,$M32,AN$13))))</f>
        <v>1000000000000</v>
      </c>
      <c r="AO32" s="178">
        <f ca="1">IF($D32&lt;&gt;"Serviço",0,IF(AND(AUTOEVENTO="Manual",$M32=1),0,IF(OFFSET(CRONOPLE!$F$14,$M32,AO$13)="",10^12,OFFSET(CRONOPLE!$F$14,$M32,AO$13))))</f>
        <v>1000000000000</v>
      </c>
      <c r="AP32" s="178">
        <f ca="1">IF($D32&lt;&gt;"Serviço",0,IF(AND(AUTOEVENTO="Manual",$M32=1),0,IF(OFFSET(CRONOPLE!$F$14,$M32,AP$13)="",10^12,OFFSET(CRONOPLE!$F$14,$M32,AP$13))))</f>
        <v>1000000000000</v>
      </c>
      <c r="AQ32" s="178">
        <f ca="1">IF($D32&lt;&gt;"Serviço",0,IF(AND(AUTOEVENTO="Manual",$M32=1),0,IF(OFFSET(CRONOPLE!$F$14,$M32,AQ$13)="",10^12,OFFSET(CRONOPLE!$F$14,$M32,AQ$13))))</f>
        <v>1000000000000</v>
      </c>
      <c r="AR32" s="178">
        <f ca="1">IF($D32&lt;&gt;"Serviço",0,IF(AND(AUTOEVENTO="Manual",$M32=1),0,IF(OFFSET(CRONOPLE!$F$14,$M32,AR$13)="",10^12,OFFSET(CRONOPLE!$F$14,$M32,AR$13))))</f>
        <v>1000000000000</v>
      </c>
      <c r="AS32" s="178">
        <f ca="1">IF($D32&lt;&gt;"Serviço",0,IF(AND(AUTOEVENTO="Manual",$M32=1),0,IF(OFFSET(CRONOPLE!$F$14,$M32,AS$13)="",10^12,OFFSET(CRONOPLE!$F$14,$M32,AS$13))))</f>
        <v>1000000000000</v>
      </c>
      <c r="AT32" s="178">
        <f ca="1">IF($D32&lt;&gt;"Serviço",0,IF(AND(AUTOEVENTO="Manual",$M32=1),0,IF(OFFSET(CRONOPLE!$F$14,$M32,AT$13)="",10^12,OFFSET(CRONOPLE!$F$14,$M32,AT$13))))</f>
        <v>1000000000000</v>
      </c>
      <c r="AU32" s="178">
        <f ca="1">IF($D32&lt;&gt;"Serviço",0,IF(AND(AUTOEVENTO="Manual",$M32=1),0,IF(OFFSET(CRONOPLE!$F$14,$M32,AU$13)="",10^12,OFFSET(CRONOPLE!$F$14,$M32,AU$13))))</f>
        <v>1000000000000</v>
      </c>
      <c r="AV32" s="178">
        <f ca="1">IF($D32&lt;&gt;"Serviço",0,IF(AND(AUTOEVENTO="Manual",$M32=1),0,IF(OFFSET(CRONOPLE!$F$14,$M32,AV$13)="",10^12,OFFSET(CRONOPLE!$F$14,$M32,AV$13))))</f>
        <v>1000000000000</v>
      </c>
      <c r="AX32" s="179">
        <f ca="1">IF($D32&lt;&gt;"Serviço",0,IF(OR(AND(AUTOEVENTO="Manual",$M32=1),$M32&gt;(ROW(PLE.lastrow)-ROW(PLE.firstrow))),0,IF(OFFSET(PLE!$G$14,$M32,AX$13)="",10^12,OFFSET(PLE!$G$14,$M32,AX$13))))</f>
        <v>1000000000000</v>
      </c>
      <c r="AY32" s="179">
        <f ca="1">IF($D32&lt;&gt;"Serviço",0,IF(OR(AND(AUTOEVENTO="Manual",$M32=1),$M32&gt;(ROW(PLE.lastrow)-ROW(PLE.firstrow))),0,IF(OFFSET(PLE!$G$14,$M32,AY$13)="",10^12,OFFSET(PLE!$G$14,$M32,AY$13))))</f>
        <v>1000000000000</v>
      </c>
      <c r="AZ32" s="179">
        <f ca="1">IF($D32&lt;&gt;"Serviço",0,IF(OR(AND(AUTOEVENTO="Manual",$M32=1),$M32&gt;(ROW(PLE.lastrow)-ROW(PLE.firstrow))),0,IF(OFFSET(PLE!$G$14,$M32,AZ$13)="",10^12,OFFSET(PLE!$G$14,$M32,AZ$13))))</f>
        <v>1000000000000</v>
      </c>
      <c r="BA32" s="179">
        <f ca="1">IF($D32&lt;&gt;"Serviço",0,IF(OR(AND(AUTOEVENTO="Manual",$M32=1),$M32&gt;(ROW(PLE.lastrow)-ROW(PLE.firstrow))),0,IF(OFFSET(PLE!$G$14,$M32,BA$13)="",10^12,OFFSET(PLE!$G$14,$M32,BA$13))))</f>
        <v>1000000000000</v>
      </c>
      <c r="BB32" s="179">
        <f ca="1">IF($D32&lt;&gt;"Serviço",0,IF(OR(AND(AUTOEVENTO="Manual",$M32=1),$M32&gt;(ROW(PLE.lastrow)-ROW(PLE.firstrow))),0,IF(OFFSET(PLE!$G$14,$M32,BB$13)="",10^12,OFFSET(PLE!$G$14,$M32,BB$13))))</f>
        <v>1000000000000</v>
      </c>
      <c r="BC32" s="179">
        <f ca="1">IF($D32&lt;&gt;"Serviço",0,IF(OR(AND(AUTOEVENTO="Manual",$M32=1),$M32&gt;(ROW(PLE.lastrow)-ROW(PLE.firstrow))),0,IF(OFFSET(PLE!$G$14,$M32,BC$13)="",10^12,OFFSET(PLE!$G$14,$M32,BC$13))))</f>
        <v>1000000000000</v>
      </c>
      <c r="BD32" s="179">
        <f ca="1">IF($D32&lt;&gt;"Serviço",0,IF(OR(AND(AUTOEVENTO="Manual",$M32=1),$M32&gt;(ROW(PLE.lastrow)-ROW(PLE.firstrow))),0,IF(OFFSET(PLE!$G$14,$M32,BD$13)="",10^12,OFFSET(PLE!$G$14,$M32,BD$13))))</f>
        <v>1000000000000</v>
      </c>
      <c r="BE32" s="179">
        <f ca="1">IF($D32&lt;&gt;"Serviço",0,IF(OR(AND(AUTOEVENTO="Manual",$M32=1),$M32&gt;(ROW(PLE.lastrow)-ROW(PLE.firstrow))),0,IF(OFFSET(PLE!$G$14,$M32,BE$13)="",10^12,OFFSET(PLE!$G$14,$M32,BE$13))))</f>
        <v>1000000000000</v>
      </c>
      <c r="BF32" s="179">
        <f ca="1">IF($D32&lt;&gt;"Serviço",0,IF(OR(AND(AUTOEVENTO="Manual",$M32=1),$M32&gt;(ROW(PLE.lastrow)-ROW(PLE.firstrow))),0,IF(OFFSET(PLE!$G$14,$M32,BF$13)="",10^12,OFFSET(PLE!$G$14,$M32,BF$13))))</f>
        <v>1000000000000</v>
      </c>
      <c r="BG32" s="179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38.25" x14ac:dyDescent="0.2">
      <c r="A33" s="7" t="str">
        <f t="shared" ca="1" si="8"/>
        <v>13</v>
      </c>
      <c r="B33" s="7" t="str">
        <f ca="1">OFFSET(ORÇAMENTO!C$15,ROW(B33)-ROW(B$15),0)</f>
        <v>S</v>
      </c>
      <c r="C33" s="7" t="str">
        <f ca="1">OFFSET(ORÇAMENTO!L$15,ROW(C33)-ROW(C$15),0)</f>
        <v/>
      </c>
      <c r="D33" s="115" t="str">
        <f ca="1">OFFSET(ORÇAMENTO!N$15,ROW(D33)-ROW(D$15),0)</f>
        <v>Serviço</v>
      </c>
      <c r="E33" s="116" t="str">
        <f ca="1">OFFSET(ORÇAMENTO!O$15,ROW(E33)-ROW(E$15),0)</f>
        <v>-</v>
      </c>
      <c r="F33" s="169" t="str">
        <f ca="1">OFFSET(ORÇAMENTO!R$15,ROW(F33)-ROW(F$15),0)</f>
        <v>(abra o arquivo 'Referência 10-2024.xlsm)</v>
      </c>
      <c r="G33" s="170" t="str">
        <f ca="1">IF($D33&lt;&gt;"Serviço","",OFFSET(ORÇAMENTO!S$15,ROW(G33)-ROW(G$15),0))</f>
        <v>-</v>
      </c>
      <c r="H33" s="121">
        <f ca="1">IF($D33&lt;&gt;"Serviço",0,IF(ACOMPANHAMENTO="BM",ROUND(OFFSET(ORÇAMENTO!AJ$15,ROW(H33)-ROW(H$15),0),15-13*ORÇAMENTO!$AF$7),SUMPRODUCT(($Q$12:$AA$12&lt;&gt;"")*ROUND($Q33:$AA33,15-13*ORÇAMENTO!$AF$7))))</f>
        <v>6.4</v>
      </c>
      <c r="I33" s="558" t="s">
        <v>561</v>
      </c>
      <c r="K33" s="171"/>
      <c r="L33" s="172" t="s">
        <v>255</v>
      </c>
      <c r="M33" s="173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174" t="str">
        <f ca="1">IF($D33&lt;&gt;"Serviço","",IF(AUTOEVENTO="Manual",IF($A33=0,"&lt;-- defina o número do agrupador",OFFSET(EVENTOS!$D$14,$A33,0)),OFFSET($F$15,$A33,0)))</f>
        <v>FUNDAÇÕES</v>
      </c>
      <c r="O33" s="175"/>
      <c r="Q33" s="175"/>
      <c r="R33" s="176"/>
      <c r="S33" s="176"/>
      <c r="T33" s="176"/>
      <c r="U33" s="176"/>
      <c r="V33" s="176"/>
      <c r="W33" s="176"/>
      <c r="X33" s="176"/>
      <c r="Y33" s="176"/>
      <c r="Z33" s="177"/>
      <c r="AB33" s="541">
        <f ca="1">IF(AND($D33="Serviço",AB$12&lt;&gt;0,$H33&gt;0,OR(AUTOEVENTO&lt;&gt;"manual",$M33&lt;&gt;1)),
IF(Import.TipoArredondamento&lt;&gt;"TransfereGOV",
ROUND(OFFSET($P33,0,AB$13),15-13*ORÇAMENTO!$AF$7)/$H33*OFFSET(ORÇAMENTO!$X$15,ROW(AB33)-ROW(AB$15),0),
ROUND(ROUND(OFFSET($P33,0,AB$13),15-13*ORÇAMENTO!$AF$7)*OFFSET(ORÇAMENTO!$W$15,ROW(AB33)-ROW(AB$15),0),15-13*ORÇAMENTO!$AF$11)),0)</f>
        <v>0</v>
      </c>
      <c r="AC33" s="542">
        <f ca="1">IF(AND($D33="Serviço",AC$12&lt;&gt;0,$H33&gt;0,OR(AUTOEVENTO&lt;&gt;"manual",$M33&lt;&gt;1)),
IF(Import.TipoArredondamento&lt;&gt;"TransfereGOV",
ROUND(OFFSET($P33,0,AC$13),15-13*ORÇAMENTO!$AF$7)/$H33*OFFSET(ORÇAMENTO!$X$15,ROW(AC33)-ROW(AC$15),0),
ROUND(ROUND(OFFSET($P33,0,AC$13),15-13*ORÇAMENTO!$AF$7)*OFFSET(ORÇAMENTO!$W$15,ROW(AC33)-ROW(AC$15),0),15-13*ORÇAMENTO!$AF$11)),0)</f>
        <v>0</v>
      </c>
      <c r="AD33" s="542">
        <f ca="1">IF(AND($D33="Serviço",AD$12&lt;&gt;0,$H33&gt;0,OR(AUTOEVENTO&lt;&gt;"manual",$M33&lt;&gt;1)),
IF(Import.TipoArredondamento&lt;&gt;"TransfereGOV",
ROUND(OFFSET($P33,0,AD$13),15-13*ORÇAMENTO!$AF$7)/$H33*OFFSET(ORÇAMENTO!$X$15,ROW(AD33)-ROW(AD$15),0),
ROUND(ROUND(OFFSET($P33,0,AD$13),15-13*ORÇAMENTO!$AF$7)*OFFSET(ORÇAMENTO!$W$15,ROW(AD33)-ROW(AD$15),0),15-13*ORÇAMENTO!$AF$11)),0)</f>
        <v>0</v>
      </c>
      <c r="AE33" s="542">
        <f ca="1">IF(AND($D33="Serviço",AE$12&lt;&gt;0,$H33&gt;0,OR(AUTOEVENTO&lt;&gt;"manual",$M33&lt;&gt;1)),
IF(Import.TipoArredondamento&lt;&gt;"TransfereGOV",
ROUND(OFFSET($P33,0,AE$13),15-13*ORÇAMENTO!$AF$7)/$H33*OFFSET(ORÇAMENTO!$X$15,ROW(AE33)-ROW(AE$15),0),
ROUND(ROUND(OFFSET($P33,0,AE$13),15-13*ORÇAMENTO!$AF$7)*OFFSET(ORÇAMENTO!$W$15,ROW(AE33)-ROW(AE$15),0),15-13*ORÇAMENTO!$AF$11)),0)</f>
        <v>0</v>
      </c>
      <c r="AF33" s="542">
        <f ca="1">IF(AND($D33="Serviço",AF$12&lt;&gt;0,$H33&gt;0,OR(AUTOEVENTO&lt;&gt;"manual",$M33&lt;&gt;1)),
IF(Import.TipoArredondamento&lt;&gt;"TransfereGOV",
ROUND(OFFSET($P33,0,AF$13),15-13*ORÇAMENTO!$AF$7)/$H33*OFFSET(ORÇAMENTO!$X$15,ROW(AF33)-ROW(AF$15),0),
ROUND(ROUND(OFFSET($P33,0,AF$13),15-13*ORÇAMENTO!$AF$7)*OFFSET(ORÇAMENTO!$W$15,ROW(AF33)-ROW(AF$15),0),15-13*ORÇAMENTO!$AF$11)),0)</f>
        <v>0</v>
      </c>
      <c r="AG33" s="542">
        <f ca="1">IF(AND($D33="Serviço",AG$12&lt;&gt;0,$H33&gt;0,OR(AUTOEVENTO&lt;&gt;"manual",$M33&lt;&gt;1)),
IF(Import.TipoArredondamento&lt;&gt;"TransfereGOV",
ROUND(OFFSET($P33,0,AG$13),15-13*ORÇAMENTO!$AF$7)/$H33*OFFSET(ORÇAMENTO!$X$15,ROW(AG33)-ROW(AG$15),0),
ROUND(ROUND(OFFSET($P33,0,AG$13),15-13*ORÇAMENTO!$AF$7)*OFFSET(ORÇAMENTO!$W$15,ROW(AG33)-ROW(AG$15),0),15-13*ORÇAMENTO!$AF$11)),0)</f>
        <v>0</v>
      </c>
      <c r="AH33" s="542">
        <f ca="1">IF(AND($D33="Serviço",AH$12&lt;&gt;0,$H33&gt;0,OR(AUTOEVENTO&lt;&gt;"manual",$M33&lt;&gt;1)),
IF(Import.TipoArredondamento&lt;&gt;"TransfereGOV",
ROUND(OFFSET($P33,0,AH$13),15-13*ORÇAMENTO!$AF$7)/$H33*OFFSET(ORÇAMENTO!$X$15,ROW(AH33)-ROW(AH$15),0),
ROUND(ROUND(OFFSET($P33,0,AH$13),15-13*ORÇAMENTO!$AF$7)*OFFSET(ORÇAMENTO!$W$15,ROW(AH33)-ROW(AH$15),0),15-13*ORÇAMENTO!$AF$11)),0)</f>
        <v>0</v>
      </c>
      <c r="AI33" s="542">
        <f ca="1">IF(AND($D33="Serviço",AI$12&lt;&gt;0,$H33&gt;0,OR(AUTOEVENTO&lt;&gt;"manual",$M33&lt;&gt;1)),
IF(Import.TipoArredondamento&lt;&gt;"TransfereGOV",
ROUND(OFFSET($P33,0,AI$13),15-13*ORÇAMENTO!$AF$7)/$H33*OFFSET(ORÇAMENTO!$X$15,ROW(AI33)-ROW(AI$15),0),
ROUND(ROUND(OFFSET($P33,0,AI$13),15-13*ORÇAMENTO!$AF$7)*OFFSET(ORÇAMENTO!$W$15,ROW(AI33)-ROW(AI$15),0),15-13*ORÇAMENTO!$AF$11)),0)</f>
        <v>0</v>
      </c>
      <c r="AJ33" s="542">
        <f ca="1">IF(AND($D33="Serviço",AJ$12&lt;&gt;0,$H33&gt;0,OR(AUTOEVENTO&lt;&gt;"manual",$M33&lt;&gt;1)),
IF(Import.TipoArredondamento&lt;&gt;"TransfereGOV",
ROUND(OFFSET($P33,0,AJ$13),15-13*ORÇAMENTO!$AF$7)/$H33*OFFSET(ORÇAMENTO!$X$15,ROW(AJ33)-ROW(AJ$15),0),
ROUND(ROUND(OFFSET($P33,0,AJ$13),15-13*ORÇAMENTO!$AF$7)*OFFSET(ORÇAMENTO!$W$15,ROW(AJ33)-ROW(AJ$15),0),15-13*ORÇAMENTO!$AF$11)),0)</f>
        <v>0</v>
      </c>
      <c r="AK33" s="543">
        <f ca="1">IF(AND($D33="Serviço",AK$12&lt;&gt;0,$H33&gt;0,OR(AUTOEVENTO&lt;&gt;"manual",$M33&lt;&gt;1)),
IF(Import.TipoArredondamento&lt;&gt;"TransfereGOV",
ROUND(OFFSET($P33,0,AK$13),15-13*ORÇAMENTO!$AF$7)/$H33*OFFSET(ORÇAMENTO!$X$15,ROW(AK33)-ROW(AK$15),0),
ROUND(ROUND(OFFSET($P33,0,AK$13),15-13*ORÇAMENTO!$AF$7)*OFFSET(ORÇAMENTO!$W$15,ROW(AK33)-ROW(AK$15),0),15-13*ORÇAMENTO!$AF$11)),0)</f>
        <v>0</v>
      </c>
      <c r="AM33" s="178">
        <f ca="1">IF($D33&lt;&gt;"Serviço",0,IF(AND(AUTOEVENTO="Manual",$M33=1),0,IF(OFFSET(CRONOPLE!$F$14,$M33,AM$13)="",10^12,OFFSET(CRONOPLE!$F$14,$M33,AM$13))))</f>
        <v>1000000000000</v>
      </c>
      <c r="AN33" s="178">
        <f ca="1">IF($D33&lt;&gt;"Serviço",0,IF(AND(AUTOEVENTO="Manual",$M33=1),0,IF(OFFSET(CRONOPLE!$F$14,$M33,AN$13)="",10^12,OFFSET(CRONOPLE!$F$14,$M33,AN$13))))</f>
        <v>1000000000000</v>
      </c>
      <c r="AO33" s="178">
        <f ca="1">IF($D33&lt;&gt;"Serviço",0,IF(AND(AUTOEVENTO="Manual",$M33=1),0,IF(OFFSET(CRONOPLE!$F$14,$M33,AO$13)="",10^12,OFFSET(CRONOPLE!$F$14,$M33,AO$13))))</f>
        <v>1000000000000</v>
      </c>
      <c r="AP33" s="178">
        <f ca="1">IF($D33&lt;&gt;"Serviço",0,IF(AND(AUTOEVENTO="Manual",$M33=1),0,IF(OFFSET(CRONOPLE!$F$14,$M33,AP$13)="",10^12,OFFSET(CRONOPLE!$F$14,$M33,AP$13))))</f>
        <v>1000000000000</v>
      </c>
      <c r="AQ33" s="178">
        <f ca="1">IF($D33&lt;&gt;"Serviço",0,IF(AND(AUTOEVENTO="Manual",$M33=1),0,IF(OFFSET(CRONOPLE!$F$14,$M33,AQ$13)="",10^12,OFFSET(CRONOPLE!$F$14,$M33,AQ$13))))</f>
        <v>1000000000000</v>
      </c>
      <c r="AR33" s="178">
        <f ca="1">IF($D33&lt;&gt;"Serviço",0,IF(AND(AUTOEVENTO="Manual",$M33=1),0,IF(OFFSET(CRONOPLE!$F$14,$M33,AR$13)="",10^12,OFFSET(CRONOPLE!$F$14,$M33,AR$13))))</f>
        <v>1000000000000</v>
      </c>
      <c r="AS33" s="178">
        <f ca="1">IF($D33&lt;&gt;"Serviço",0,IF(AND(AUTOEVENTO="Manual",$M33=1),0,IF(OFFSET(CRONOPLE!$F$14,$M33,AS$13)="",10^12,OFFSET(CRONOPLE!$F$14,$M33,AS$13))))</f>
        <v>1000000000000</v>
      </c>
      <c r="AT33" s="178">
        <f ca="1">IF($D33&lt;&gt;"Serviço",0,IF(AND(AUTOEVENTO="Manual",$M33=1),0,IF(OFFSET(CRONOPLE!$F$14,$M33,AT$13)="",10^12,OFFSET(CRONOPLE!$F$14,$M33,AT$13))))</f>
        <v>1000000000000</v>
      </c>
      <c r="AU33" s="178">
        <f ca="1">IF($D33&lt;&gt;"Serviço",0,IF(AND(AUTOEVENTO="Manual",$M33=1),0,IF(OFFSET(CRONOPLE!$F$14,$M33,AU$13)="",10^12,OFFSET(CRONOPLE!$F$14,$M33,AU$13))))</f>
        <v>1000000000000</v>
      </c>
      <c r="AV33" s="178">
        <f ca="1">IF($D33&lt;&gt;"Serviço",0,IF(AND(AUTOEVENTO="Manual",$M33=1),0,IF(OFFSET(CRONOPLE!$F$14,$M33,AV$13)="",10^12,OFFSET(CRONOPLE!$F$14,$M33,AV$13))))</f>
        <v>1000000000000</v>
      </c>
      <c r="AX33" s="179">
        <f ca="1">IF($D33&lt;&gt;"Serviço",0,IF(OR(AND(AUTOEVENTO="Manual",$M33=1),$M33&gt;(ROW(PLE.lastrow)-ROW(PLE.firstrow))),0,IF(OFFSET(PLE!$G$14,$M33,AX$13)="",10^12,OFFSET(PLE!$G$14,$M33,AX$13))))</f>
        <v>1000000000000</v>
      </c>
      <c r="AY33" s="179">
        <f ca="1">IF($D33&lt;&gt;"Serviço",0,IF(OR(AND(AUTOEVENTO="Manual",$M33=1),$M33&gt;(ROW(PLE.lastrow)-ROW(PLE.firstrow))),0,IF(OFFSET(PLE!$G$14,$M33,AY$13)="",10^12,OFFSET(PLE!$G$14,$M33,AY$13))))</f>
        <v>1000000000000</v>
      </c>
      <c r="AZ33" s="179">
        <f ca="1">IF($D33&lt;&gt;"Serviço",0,IF(OR(AND(AUTOEVENTO="Manual",$M33=1),$M33&gt;(ROW(PLE.lastrow)-ROW(PLE.firstrow))),0,IF(OFFSET(PLE!$G$14,$M33,AZ$13)="",10^12,OFFSET(PLE!$G$14,$M33,AZ$13))))</f>
        <v>1000000000000</v>
      </c>
      <c r="BA33" s="179">
        <f ca="1">IF($D33&lt;&gt;"Serviço",0,IF(OR(AND(AUTOEVENTO="Manual",$M33=1),$M33&gt;(ROW(PLE.lastrow)-ROW(PLE.firstrow))),0,IF(OFFSET(PLE!$G$14,$M33,BA$13)="",10^12,OFFSET(PLE!$G$14,$M33,BA$13))))</f>
        <v>1000000000000</v>
      </c>
      <c r="BB33" s="179">
        <f ca="1">IF($D33&lt;&gt;"Serviço",0,IF(OR(AND(AUTOEVENTO="Manual",$M33=1),$M33&gt;(ROW(PLE.lastrow)-ROW(PLE.firstrow))),0,IF(OFFSET(PLE!$G$14,$M33,BB$13)="",10^12,OFFSET(PLE!$G$14,$M33,BB$13))))</f>
        <v>1000000000000</v>
      </c>
      <c r="BC33" s="179">
        <f ca="1">IF($D33&lt;&gt;"Serviço",0,IF(OR(AND(AUTOEVENTO="Manual",$M33=1),$M33&gt;(ROW(PLE.lastrow)-ROW(PLE.firstrow))),0,IF(OFFSET(PLE!$G$14,$M33,BC$13)="",10^12,OFFSET(PLE!$G$14,$M33,BC$13))))</f>
        <v>1000000000000</v>
      </c>
      <c r="BD33" s="179">
        <f ca="1">IF($D33&lt;&gt;"Serviço",0,IF(OR(AND(AUTOEVENTO="Manual",$M33=1),$M33&gt;(ROW(PLE.lastrow)-ROW(PLE.firstrow))),0,IF(OFFSET(PLE!$G$14,$M33,BD$13)="",10^12,OFFSET(PLE!$G$14,$M33,BD$13))))</f>
        <v>1000000000000</v>
      </c>
      <c r="BE33" s="179">
        <f ca="1">IF($D33&lt;&gt;"Serviço",0,IF(OR(AND(AUTOEVENTO="Manual",$M33=1),$M33&gt;(ROW(PLE.lastrow)-ROW(PLE.firstrow))),0,IF(OFFSET(PLE!$G$14,$M33,BE$13)="",10^12,OFFSET(PLE!$G$14,$M33,BE$13))))</f>
        <v>1000000000000</v>
      </c>
      <c r="BF33" s="179">
        <f ca="1">IF($D33&lt;&gt;"Serviço",0,IF(OR(AND(AUTOEVENTO="Manual",$M33=1),$M33&gt;(ROW(PLE.lastrow)-ROW(PLE.firstrow))),0,IF(OFFSET(PLE!$G$14,$M33,BF$13)="",10^12,OFFSET(PLE!$G$14,$M33,BF$13))))</f>
        <v>1000000000000</v>
      </c>
      <c r="BG33" s="179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25.5" x14ac:dyDescent="0.2">
      <c r="A34" s="7" t="str">
        <f t="shared" ca="1" si="8"/>
        <v>13</v>
      </c>
      <c r="B34" s="7" t="str">
        <f ca="1">OFFSET(ORÇAMENTO!C$15,ROW(B34)-ROW(B$15),0)</f>
        <v>S</v>
      </c>
      <c r="C34" s="7" t="str">
        <f ca="1">OFFSET(ORÇAMENTO!L$15,ROW(C34)-ROW(C$15),0)</f>
        <v/>
      </c>
      <c r="D34" s="115" t="str">
        <f ca="1">OFFSET(ORÇAMENTO!N$15,ROW(D34)-ROW(D$15),0)</f>
        <v>Serviço</v>
      </c>
      <c r="E34" s="116" t="str">
        <f ca="1">OFFSET(ORÇAMENTO!O$15,ROW(E34)-ROW(E$15),0)</f>
        <v>-</v>
      </c>
      <c r="F34" s="169" t="str">
        <f ca="1">OFFSET(ORÇAMENTO!R$15,ROW(F34)-ROW(F$15),0)</f>
        <v>(abra o arquivo 'Referência 10-2024.xlsm)</v>
      </c>
      <c r="G34" s="170" t="str">
        <f ca="1">IF($D34&lt;&gt;"Serviço","",OFFSET(ORÇAMENTO!S$15,ROW(G34)-ROW(G$15),0))</f>
        <v>-</v>
      </c>
      <c r="H34" s="121">
        <f ca="1">IF($D34&lt;&gt;"Serviço",0,IF(ACOMPANHAMENTO="BM",ROUND(OFFSET(ORÇAMENTO!AJ$15,ROW(H34)-ROW(H$15),0),15-13*ORÇAMENTO!$AF$7),SUMPRODUCT(($Q$12:$AA$12&lt;&gt;"")*ROUND($Q34:$AA34,15-13*ORÇAMENTO!$AF$7))))</f>
        <v>3.74</v>
      </c>
      <c r="I34" s="558" t="s">
        <v>561</v>
      </c>
      <c r="K34" s="171"/>
      <c r="L34" s="172" t="s">
        <v>255</v>
      </c>
      <c r="M34" s="173">
        <f ca="1">IF($D34&lt;&gt;"Serviço","",IF(AUTOEVENTO="manual",$A34,IF(ISERROR(MATCH($A34,$A$15:OFFSET($A34,-1,0),0)),MAX($M$15:OFFSET(M34,-1,0))+1,INDEX($M$15:OFFSET(M34,-1,0),MATCH($A34,$A$15:OFFSET($A34,-1,0),0)))))</f>
        <v>4</v>
      </c>
      <c r="N34" s="174" t="str">
        <f ca="1">IF($D34&lt;&gt;"Serviço","",IF(AUTOEVENTO="Manual",IF($A34=0,"&lt;-- defina o número do agrupador",OFFSET(EVENTOS!$D$14,$A34,0)),OFFSET($F$15,$A34,0)))</f>
        <v>FUNDAÇÕES</v>
      </c>
      <c r="O34" s="175"/>
      <c r="Q34" s="175"/>
      <c r="R34" s="176"/>
      <c r="S34" s="176"/>
      <c r="T34" s="176"/>
      <c r="U34" s="176"/>
      <c r="V34" s="176"/>
      <c r="W34" s="176"/>
      <c r="X34" s="176"/>
      <c r="Y34" s="176"/>
      <c r="Z34" s="177"/>
      <c r="AB34" s="541">
        <f ca="1">IF(AND($D34="Serviço",AB$12&lt;&gt;0,$H34&gt;0,OR(AUTOEVENTO&lt;&gt;"manual",$M34&lt;&gt;1)),
IF(Import.TipoArredondamento&lt;&gt;"TransfereGOV",
ROUND(OFFSET($P34,0,AB$13),15-13*ORÇAMENTO!$AF$7)/$H34*OFFSET(ORÇAMENTO!$X$15,ROW(AB34)-ROW(AB$15),0),
ROUND(ROUND(OFFSET($P34,0,AB$13),15-13*ORÇAMENTO!$AF$7)*OFFSET(ORÇAMENTO!$W$15,ROW(AB34)-ROW(AB$15),0),15-13*ORÇAMENTO!$AF$11)),0)</f>
        <v>0</v>
      </c>
      <c r="AC34" s="542">
        <f ca="1">IF(AND($D34="Serviço",AC$12&lt;&gt;0,$H34&gt;0,OR(AUTOEVENTO&lt;&gt;"manual",$M34&lt;&gt;1)),
IF(Import.TipoArredondamento&lt;&gt;"TransfereGOV",
ROUND(OFFSET($P34,0,AC$13),15-13*ORÇAMENTO!$AF$7)/$H34*OFFSET(ORÇAMENTO!$X$15,ROW(AC34)-ROW(AC$15),0),
ROUND(ROUND(OFFSET($P34,0,AC$13),15-13*ORÇAMENTO!$AF$7)*OFFSET(ORÇAMENTO!$W$15,ROW(AC34)-ROW(AC$15),0),15-13*ORÇAMENTO!$AF$11)),0)</f>
        <v>0</v>
      </c>
      <c r="AD34" s="542">
        <f ca="1">IF(AND($D34="Serviço",AD$12&lt;&gt;0,$H34&gt;0,OR(AUTOEVENTO&lt;&gt;"manual",$M34&lt;&gt;1)),
IF(Import.TipoArredondamento&lt;&gt;"TransfereGOV",
ROUND(OFFSET($P34,0,AD$13),15-13*ORÇAMENTO!$AF$7)/$H34*OFFSET(ORÇAMENTO!$X$15,ROW(AD34)-ROW(AD$15),0),
ROUND(ROUND(OFFSET($P34,0,AD$13),15-13*ORÇAMENTO!$AF$7)*OFFSET(ORÇAMENTO!$W$15,ROW(AD34)-ROW(AD$15),0),15-13*ORÇAMENTO!$AF$11)),0)</f>
        <v>0</v>
      </c>
      <c r="AE34" s="542">
        <f ca="1">IF(AND($D34="Serviço",AE$12&lt;&gt;0,$H34&gt;0,OR(AUTOEVENTO&lt;&gt;"manual",$M34&lt;&gt;1)),
IF(Import.TipoArredondamento&lt;&gt;"TransfereGOV",
ROUND(OFFSET($P34,0,AE$13),15-13*ORÇAMENTO!$AF$7)/$H34*OFFSET(ORÇAMENTO!$X$15,ROW(AE34)-ROW(AE$15),0),
ROUND(ROUND(OFFSET($P34,0,AE$13),15-13*ORÇAMENTO!$AF$7)*OFFSET(ORÇAMENTO!$W$15,ROW(AE34)-ROW(AE$15),0),15-13*ORÇAMENTO!$AF$11)),0)</f>
        <v>0</v>
      </c>
      <c r="AF34" s="542">
        <f ca="1">IF(AND($D34="Serviço",AF$12&lt;&gt;0,$H34&gt;0,OR(AUTOEVENTO&lt;&gt;"manual",$M34&lt;&gt;1)),
IF(Import.TipoArredondamento&lt;&gt;"TransfereGOV",
ROUND(OFFSET($P34,0,AF$13),15-13*ORÇAMENTO!$AF$7)/$H34*OFFSET(ORÇAMENTO!$X$15,ROW(AF34)-ROW(AF$15),0),
ROUND(ROUND(OFFSET($P34,0,AF$13),15-13*ORÇAMENTO!$AF$7)*OFFSET(ORÇAMENTO!$W$15,ROW(AF34)-ROW(AF$15),0),15-13*ORÇAMENTO!$AF$11)),0)</f>
        <v>0</v>
      </c>
      <c r="AG34" s="542">
        <f ca="1">IF(AND($D34="Serviço",AG$12&lt;&gt;0,$H34&gt;0,OR(AUTOEVENTO&lt;&gt;"manual",$M34&lt;&gt;1)),
IF(Import.TipoArredondamento&lt;&gt;"TransfereGOV",
ROUND(OFFSET($P34,0,AG$13),15-13*ORÇAMENTO!$AF$7)/$H34*OFFSET(ORÇAMENTO!$X$15,ROW(AG34)-ROW(AG$15),0),
ROUND(ROUND(OFFSET($P34,0,AG$13),15-13*ORÇAMENTO!$AF$7)*OFFSET(ORÇAMENTO!$W$15,ROW(AG34)-ROW(AG$15),0),15-13*ORÇAMENTO!$AF$11)),0)</f>
        <v>0</v>
      </c>
      <c r="AH34" s="542">
        <f ca="1">IF(AND($D34="Serviço",AH$12&lt;&gt;0,$H34&gt;0,OR(AUTOEVENTO&lt;&gt;"manual",$M34&lt;&gt;1)),
IF(Import.TipoArredondamento&lt;&gt;"TransfereGOV",
ROUND(OFFSET($P34,0,AH$13),15-13*ORÇAMENTO!$AF$7)/$H34*OFFSET(ORÇAMENTO!$X$15,ROW(AH34)-ROW(AH$15),0),
ROUND(ROUND(OFFSET($P34,0,AH$13),15-13*ORÇAMENTO!$AF$7)*OFFSET(ORÇAMENTO!$W$15,ROW(AH34)-ROW(AH$15),0),15-13*ORÇAMENTO!$AF$11)),0)</f>
        <v>0</v>
      </c>
      <c r="AI34" s="542">
        <f ca="1">IF(AND($D34="Serviço",AI$12&lt;&gt;0,$H34&gt;0,OR(AUTOEVENTO&lt;&gt;"manual",$M34&lt;&gt;1)),
IF(Import.TipoArredondamento&lt;&gt;"TransfereGOV",
ROUND(OFFSET($P34,0,AI$13),15-13*ORÇAMENTO!$AF$7)/$H34*OFFSET(ORÇAMENTO!$X$15,ROW(AI34)-ROW(AI$15),0),
ROUND(ROUND(OFFSET($P34,0,AI$13),15-13*ORÇAMENTO!$AF$7)*OFFSET(ORÇAMENTO!$W$15,ROW(AI34)-ROW(AI$15),0),15-13*ORÇAMENTO!$AF$11)),0)</f>
        <v>0</v>
      </c>
      <c r="AJ34" s="542">
        <f ca="1">IF(AND($D34="Serviço",AJ$12&lt;&gt;0,$H34&gt;0,OR(AUTOEVENTO&lt;&gt;"manual",$M34&lt;&gt;1)),
IF(Import.TipoArredondamento&lt;&gt;"TransfereGOV",
ROUND(OFFSET($P34,0,AJ$13),15-13*ORÇAMENTO!$AF$7)/$H34*OFFSET(ORÇAMENTO!$X$15,ROW(AJ34)-ROW(AJ$15),0),
ROUND(ROUND(OFFSET($P34,0,AJ$13),15-13*ORÇAMENTO!$AF$7)*OFFSET(ORÇAMENTO!$W$15,ROW(AJ34)-ROW(AJ$15),0),15-13*ORÇAMENTO!$AF$11)),0)</f>
        <v>0</v>
      </c>
      <c r="AK34" s="543">
        <f ca="1">IF(AND($D34="Serviço",AK$12&lt;&gt;0,$H34&gt;0,OR(AUTOEVENTO&lt;&gt;"manual",$M34&lt;&gt;1)),
IF(Import.TipoArredondamento&lt;&gt;"TransfereGOV",
ROUND(OFFSET($P34,0,AK$13),15-13*ORÇAMENTO!$AF$7)/$H34*OFFSET(ORÇAMENTO!$X$15,ROW(AK34)-ROW(AK$15),0),
ROUND(ROUND(OFFSET($P34,0,AK$13),15-13*ORÇAMENTO!$AF$7)*OFFSET(ORÇAMENTO!$W$15,ROW(AK34)-ROW(AK$15),0),15-13*ORÇAMENTO!$AF$11)),0)</f>
        <v>0</v>
      </c>
      <c r="AM34" s="178">
        <f ca="1">IF($D34&lt;&gt;"Serviço",0,IF(AND(AUTOEVENTO="Manual",$M34=1),0,IF(OFFSET(CRONOPLE!$F$14,$M34,AM$13)="",10^12,OFFSET(CRONOPLE!$F$14,$M34,AM$13))))</f>
        <v>1000000000000</v>
      </c>
      <c r="AN34" s="178">
        <f ca="1">IF($D34&lt;&gt;"Serviço",0,IF(AND(AUTOEVENTO="Manual",$M34=1),0,IF(OFFSET(CRONOPLE!$F$14,$M34,AN$13)="",10^12,OFFSET(CRONOPLE!$F$14,$M34,AN$13))))</f>
        <v>1000000000000</v>
      </c>
      <c r="AO34" s="178">
        <f ca="1">IF($D34&lt;&gt;"Serviço",0,IF(AND(AUTOEVENTO="Manual",$M34=1),0,IF(OFFSET(CRONOPLE!$F$14,$M34,AO$13)="",10^12,OFFSET(CRONOPLE!$F$14,$M34,AO$13))))</f>
        <v>1000000000000</v>
      </c>
      <c r="AP34" s="178">
        <f ca="1">IF($D34&lt;&gt;"Serviço",0,IF(AND(AUTOEVENTO="Manual",$M34=1),0,IF(OFFSET(CRONOPLE!$F$14,$M34,AP$13)="",10^12,OFFSET(CRONOPLE!$F$14,$M34,AP$13))))</f>
        <v>1000000000000</v>
      </c>
      <c r="AQ34" s="178">
        <f ca="1">IF($D34&lt;&gt;"Serviço",0,IF(AND(AUTOEVENTO="Manual",$M34=1),0,IF(OFFSET(CRONOPLE!$F$14,$M34,AQ$13)="",10^12,OFFSET(CRONOPLE!$F$14,$M34,AQ$13))))</f>
        <v>1000000000000</v>
      </c>
      <c r="AR34" s="178">
        <f ca="1">IF($D34&lt;&gt;"Serviço",0,IF(AND(AUTOEVENTO="Manual",$M34=1),0,IF(OFFSET(CRONOPLE!$F$14,$M34,AR$13)="",10^12,OFFSET(CRONOPLE!$F$14,$M34,AR$13))))</f>
        <v>1000000000000</v>
      </c>
      <c r="AS34" s="178">
        <f ca="1">IF($D34&lt;&gt;"Serviço",0,IF(AND(AUTOEVENTO="Manual",$M34=1),0,IF(OFFSET(CRONOPLE!$F$14,$M34,AS$13)="",10^12,OFFSET(CRONOPLE!$F$14,$M34,AS$13))))</f>
        <v>1000000000000</v>
      </c>
      <c r="AT34" s="178">
        <f ca="1">IF($D34&lt;&gt;"Serviço",0,IF(AND(AUTOEVENTO="Manual",$M34=1),0,IF(OFFSET(CRONOPLE!$F$14,$M34,AT$13)="",10^12,OFFSET(CRONOPLE!$F$14,$M34,AT$13))))</f>
        <v>1000000000000</v>
      </c>
      <c r="AU34" s="178">
        <f ca="1">IF($D34&lt;&gt;"Serviço",0,IF(AND(AUTOEVENTO="Manual",$M34=1),0,IF(OFFSET(CRONOPLE!$F$14,$M34,AU$13)="",10^12,OFFSET(CRONOPLE!$F$14,$M34,AU$13))))</f>
        <v>1000000000000</v>
      </c>
      <c r="AV34" s="178">
        <f ca="1">IF($D34&lt;&gt;"Serviço",0,IF(AND(AUTOEVENTO="Manual",$M34=1),0,IF(OFFSET(CRONOPLE!$F$14,$M34,AV$13)="",10^12,OFFSET(CRONOPLE!$F$14,$M34,AV$13))))</f>
        <v>1000000000000</v>
      </c>
      <c r="AX34" s="179">
        <f ca="1">IF($D34&lt;&gt;"Serviço",0,IF(OR(AND(AUTOEVENTO="Manual",$M34=1),$M34&gt;(ROW(PLE.lastrow)-ROW(PLE.firstrow))),0,IF(OFFSET(PLE!$G$14,$M34,AX$13)="",10^12,OFFSET(PLE!$G$14,$M34,AX$13))))</f>
        <v>1000000000000</v>
      </c>
      <c r="AY34" s="179">
        <f ca="1">IF($D34&lt;&gt;"Serviço",0,IF(OR(AND(AUTOEVENTO="Manual",$M34=1),$M34&gt;(ROW(PLE.lastrow)-ROW(PLE.firstrow))),0,IF(OFFSET(PLE!$G$14,$M34,AY$13)="",10^12,OFFSET(PLE!$G$14,$M34,AY$13))))</f>
        <v>1000000000000</v>
      </c>
      <c r="AZ34" s="179">
        <f ca="1">IF($D34&lt;&gt;"Serviço",0,IF(OR(AND(AUTOEVENTO="Manual",$M34=1),$M34&gt;(ROW(PLE.lastrow)-ROW(PLE.firstrow))),0,IF(OFFSET(PLE!$G$14,$M34,AZ$13)="",10^12,OFFSET(PLE!$G$14,$M34,AZ$13))))</f>
        <v>1000000000000</v>
      </c>
      <c r="BA34" s="179">
        <f ca="1">IF($D34&lt;&gt;"Serviço",0,IF(OR(AND(AUTOEVENTO="Manual",$M34=1),$M34&gt;(ROW(PLE.lastrow)-ROW(PLE.firstrow))),0,IF(OFFSET(PLE!$G$14,$M34,BA$13)="",10^12,OFFSET(PLE!$G$14,$M34,BA$13))))</f>
        <v>1000000000000</v>
      </c>
      <c r="BB34" s="179">
        <f ca="1">IF($D34&lt;&gt;"Serviço",0,IF(OR(AND(AUTOEVENTO="Manual",$M34=1),$M34&gt;(ROW(PLE.lastrow)-ROW(PLE.firstrow))),0,IF(OFFSET(PLE!$G$14,$M34,BB$13)="",10^12,OFFSET(PLE!$G$14,$M34,BB$13))))</f>
        <v>1000000000000</v>
      </c>
      <c r="BC34" s="179">
        <f ca="1">IF($D34&lt;&gt;"Serviço",0,IF(OR(AND(AUTOEVENTO="Manual",$M34=1),$M34&gt;(ROW(PLE.lastrow)-ROW(PLE.firstrow))),0,IF(OFFSET(PLE!$G$14,$M34,BC$13)="",10^12,OFFSET(PLE!$G$14,$M34,BC$13))))</f>
        <v>1000000000000</v>
      </c>
      <c r="BD34" s="179">
        <f ca="1">IF($D34&lt;&gt;"Serviço",0,IF(OR(AND(AUTOEVENTO="Manual",$M34=1),$M34&gt;(ROW(PLE.lastrow)-ROW(PLE.firstrow))),0,IF(OFFSET(PLE!$G$14,$M34,BD$13)="",10^12,OFFSET(PLE!$G$14,$M34,BD$13))))</f>
        <v>1000000000000</v>
      </c>
      <c r="BE34" s="179">
        <f ca="1">IF($D34&lt;&gt;"Serviço",0,IF(OR(AND(AUTOEVENTO="Manual",$M34=1),$M34&gt;(ROW(PLE.lastrow)-ROW(PLE.firstrow))),0,IF(OFFSET(PLE!$G$14,$M34,BE$13)="",10^12,OFFSET(PLE!$G$14,$M34,BE$13))))</f>
        <v>1000000000000</v>
      </c>
      <c r="BF34" s="179">
        <f ca="1">IF($D34&lt;&gt;"Serviço",0,IF(OR(AND(AUTOEVENTO="Manual",$M34=1),$M34&gt;(ROW(PLE.lastrow)-ROW(PLE.firstrow))),0,IF(OFFSET(PLE!$G$14,$M34,BF$13)="",10^12,OFFSET(PLE!$G$14,$M34,BF$13))))</f>
        <v>1000000000000</v>
      </c>
      <c r="BG34" s="179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25.5" x14ac:dyDescent="0.2">
      <c r="A35" s="7" t="str">
        <f t="shared" ca="1" si="8"/>
        <v>13</v>
      </c>
      <c r="B35" s="7" t="str">
        <f ca="1">OFFSET(ORÇAMENTO!C$15,ROW(B35)-ROW(B$15),0)</f>
        <v>S</v>
      </c>
      <c r="C35" s="7" t="str">
        <f ca="1">OFFSET(ORÇAMENTO!L$15,ROW(C35)-ROW(C$15),0)</f>
        <v/>
      </c>
      <c r="D35" s="115" t="str">
        <f ca="1">OFFSET(ORÇAMENTO!N$15,ROW(D35)-ROW(D$15),0)</f>
        <v>Serviço</v>
      </c>
      <c r="E35" s="116" t="str">
        <f ca="1">OFFSET(ORÇAMENTO!O$15,ROW(E35)-ROW(E$15),0)</f>
        <v>-</v>
      </c>
      <c r="F35" s="169" t="str">
        <f ca="1">OFFSET(ORÇAMENTO!R$15,ROW(F35)-ROW(F$15),0)</f>
        <v>(abra o arquivo 'Referência 10-2024.xlsm)</v>
      </c>
      <c r="G35" s="170" t="str">
        <f ca="1">IF($D35&lt;&gt;"Serviço","",OFFSET(ORÇAMENTO!S$15,ROW(G35)-ROW(G$15),0))</f>
        <v>-</v>
      </c>
      <c r="H35" s="121">
        <f ca="1">IF($D35&lt;&gt;"Serviço",0,IF(ACOMPANHAMENTO="BM",ROUND(OFFSET(ORÇAMENTO!AJ$15,ROW(H35)-ROW(H$15),0),15-13*ORÇAMENTO!$AF$7),SUMPRODUCT(($Q$12:$AA$12&lt;&gt;"")*ROUND($Q35:$AA35,15-13*ORÇAMENTO!$AF$7))))</f>
        <v>5.12</v>
      </c>
      <c r="I35" s="558" t="s">
        <v>561</v>
      </c>
      <c r="K35" s="171"/>
      <c r="L35" s="172" t="s">
        <v>255</v>
      </c>
      <c r="M35" s="173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174" t="str">
        <f ca="1">IF($D35&lt;&gt;"Serviço","",IF(AUTOEVENTO="Manual",IF($A35=0,"&lt;-- defina o número do agrupador",OFFSET(EVENTOS!$D$14,$A35,0)),OFFSET($F$15,$A35,0)))</f>
        <v>FUNDAÇÕES</v>
      </c>
      <c r="O35" s="175"/>
      <c r="Q35" s="175"/>
      <c r="R35" s="176"/>
      <c r="S35" s="176"/>
      <c r="T35" s="176"/>
      <c r="U35" s="176"/>
      <c r="V35" s="176"/>
      <c r="W35" s="176"/>
      <c r="X35" s="176"/>
      <c r="Y35" s="176"/>
      <c r="Z35" s="177"/>
      <c r="AB35" s="541">
        <f ca="1">IF(AND($D35="Serviço",AB$12&lt;&gt;0,$H35&gt;0,OR(AUTOEVENTO&lt;&gt;"manual",$M35&lt;&gt;1)),
IF(Import.TipoArredondamento&lt;&gt;"TransfereGOV",
ROUND(OFFSET($P35,0,AB$13),15-13*ORÇAMENTO!$AF$7)/$H35*OFFSET(ORÇAMENTO!$X$15,ROW(AB35)-ROW(AB$15),0),
ROUND(ROUND(OFFSET($P35,0,AB$13),15-13*ORÇAMENTO!$AF$7)*OFFSET(ORÇAMENTO!$W$15,ROW(AB35)-ROW(AB$15),0),15-13*ORÇAMENTO!$AF$11)),0)</f>
        <v>0</v>
      </c>
      <c r="AC35" s="542">
        <f ca="1">IF(AND($D35="Serviço",AC$12&lt;&gt;0,$H35&gt;0,OR(AUTOEVENTO&lt;&gt;"manual",$M35&lt;&gt;1)),
IF(Import.TipoArredondamento&lt;&gt;"TransfereGOV",
ROUND(OFFSET($P35,0,AC$13),15-13*ORÇAMENTO!$AF$7)/$H35*OFFSET(ORÇAMENTO!$X$15,ROW(AC35)-ROW(AC$15),0),
ROUND(ROUND(OFFSET($P35,0,AC$13),15-13*ORÇAMENTO!$AF$7)*OFFSET(ORÇAMENTO!$W$15,ROW(AC35)-ROW(AC$15),0),15-13*ORÇAMENTO!$AF$11)),0)</f>
        <v>0</v>
      </c>
      <c r="AD35" s="542">
        <f ca="1">IF(AND($D35="Serviço",AD$12&lt;&gt;0,$H35&gt;0,OR(AUTOEVENTO&lt;&gt;"manual",$M35&lt;&gt;1)),
IF(Import.TipoArredondamento&lt;&gt;"TransfereGOV",
ROUND(OFFSET($P35,0,AD$13),15-13*ORÇAMENTO!$AF$7)/$H35*OFFSET(ORÇAMENTO!$X$15,ROW(AD35)-ROW(AD$15),0),
ROUND(ROUND(OFFSET($P35,0,AD$13),15-13*ORÇAMENTO!$AF$7)*OFFSET(ORÇAMENTO!$W$15,ROW(AD35)-ROW(AD$15),0),15-13*ORÇAMENTO!$AF$11)),0)</f>
        <v>0</v>
      </c>
      <c r="AE35" s="542">
        <f ca="1">IF(AND($D35="Serviço",AE$12&lt;&gt;0,$H35&gt;0,OR(AUTOEVENTO&lt;&gt;"manual",$M35&lt;&gt;1)),
IF(Import.TipoArredondamento&lt;&gt;"TransfereGOV",
ROUND(OFFSET($P35,0,AE$13),15-13*ORÇAMENTO!$AF$7)/$H35*OFFSET(ORÇAMENTO!$X$15,ROW(AE35)-ROW(AE$15),0),
ROUND(ROUND(OFFSET($P35,0,AE$13),15-13*ORÇAMENTO!$AF$7)*OFFSET(ORÇAMENTO!$W$15,ROW(AE35)-ROW(AE$15),0),15-13*ORÇAMENTO!$AF$11)),0)</f>
        <v>0</v>
      </c>
      <c r="AF35" s="542">
        <f ca="1">IF(AND($D35="Serviço",AF$12&lt;&gt;0,$H35&gt;0,OR(AUTOEVENTO&lt;&gt;"manual",$M35&lt;&gt;1)),
IF(Import.TipoArredondamento&lt;&gt;"TransfereGOV",
ROUND(OFFSET($P35,0,AF$13),15-13*ORÇAMENTO!$AF$7)/$H35*OFFSET(ORÇAMENTO!$X$15,ROW(AF35)-ROW(AF$15),0),
ROUND(ROUND(OFFSET($P35,0,AF$13),15-13*ORÇAMENTO!$AF$7)*OFFSET(ORÇAMENTO!$W$15,ROW(AF35)-ROW(AF$15),0),15-13*ORÇAMENTO!$AF$11)),0)</f>
        <v>0</v>
      </c>
      <c r="AG35" s="542">
        <f ca="1">IF(AND($D35="Serviço",AG$12&lt;&gt;0,$H35&gt;0,OR(AUTOEVENTO&lt;&gt;"manual",$M35&lt;&gt;1)),
IF(Import.TipoArredondamento&lt;&gt;"TransfereGOV",
ROUND(OFFSET($P35,0,AG$13),15-13*ORÇAMENTO!$AF$7)/$H35*OFFSET(ORÇAMENTO!$X$15,ROW(AG35)-ROW(AG$15),0),
ROUND(ROUND(OFFSET($P35,0,AG$13),15-13*ORÇAMENTO!$AF$7)*OFFSET(ORÇAMENTO!$W$15,ROW(AG35)-ROW(AG$15),0),15-13*ORÇAMENTO!$AF$11)),0)</f>
        <v>0</v>
      </c>
      <c r="AH35" s="542">
        <f ca="1">IF(AND($D35="Serviço",AH$12&lt;&gt;0,$H35&gt;0,OR(AUTOEVENTO&lt;&gt;"manual",$M35&lt;&gt;1)),
IF(Import.TipoArredondamento&lt;&gt;"TransfereGOV",
ROUND(OFFSET($P35,0,AH$13),15-13*ORÇAMENTO!$AF$7)/$H35*OFFSET(ORÇAMENTO!$X$15,ROW(AH35)-ROW(AH$15),0),
ROUND(ROUND(OFFSET($P35,0,AH$13),15-13*ORÇAMENTO!$AF$7)*OFFSET(ORÇAMENTO!$W$15,ROW(AH35)-ROW(AH$15),0),15-13*ORÇAMENTO!$AF$11)),0)</f>
        <v>0</v>
      </c>
      <c r="AI35" s="542">
        <f ca="1">IF(AND($D35="Serviço",AI$12&lt;&gt;0,$H35&gt;0,OR(AUTOEVENTO&lt;&gt;"manual",$M35&lt;&gt;1)),
IF(Import.TipoArredondamento&lt;&gt;"TransfereGOV",
ROUND(OFFSET($P35,0,AI$13),15-13*ORÇAMENTO!$AF$7)/$H35*OFFSET(ORÇAMENTO!$X$15,ROW(AI35)-ROW(AI$15),0),
ROUND(ROUND(OFFSET($P35,0,AI$13),15-13*ORÇAMENTO!$AF$7)*OFFSET(ORÇAMENTO!$W$15,ROW(AI35)-ROW(AI$15),0),15-13*ORÇAMENTO!$AF$11)),0)</f>
        <v>0</v>
      </c>
      <c r="AJ35" s="542">
        <f ca="1">IF(AND($D35="Serviço",AJ$12&lt;&gt;0,$H35&gt;0,OR(AUTOEVENTO&lt;&gt;"manual",$M35&lt;&gt;1)),
IF(Import.TipoArredondamento&lt;&gt;"TransfereGOV",
ROUND(OFFSET($P35,0,AJ$13),15-13*ORÇAMENTO!$AF$7)/$H35*OFFSET(ORÇAMENTO!$X$15,ROW(AJ35)-ROW(AJ$15),0),
ROUND(ROUND(OFFSET($P35,0,AJ$13),15-13*ORÇAMENTO!$AF$7)*OFFSET(ORÇAMENTO!$W$15,ROW(AJ35)-ROW(AJ$15),0),15-13*ORÇAMENTO!$AF$11)),0)</f>
        <v>0</v>
      </c>
      <c r="AK35" s="543">
        <f ca="1">IF(AND($D35="Serviço",AK$12&lt;&gt;0,$H35&gt;0,OR(AUTOEVENTO&lt;&gt;"manual",$M35&lt;&gt;1)),
IF(Import.TipoArredondamento&lt;&gt;"TransfereGOV",
ROUND(OFFSET($P35,0,AK$13),15-13*ORÇAMENTO!$AF$7)/$H35*OFFSET(ORÇAMENTO!$X$15,ROW(AK35)-ROW(AK$15),0),
ROUND(ROUND(OFFSET($P35,0,AK$13),15-13*ORÇAMENTO!$AF$7)*OFFSET(ORÇAMENTO!$W$15,ROW(AK35)-ROW(AK$15),0),15-13*ORÇAMENTO!$AF$11)),0)</f>
        <v>0</v>
      </c>
      <c r="AM35" s="178">
        <f ca="1">IF($D35&lt;&gt;"Serviço",0,IF(AND(AUTOEVENTO="Manual",$M35=1),0,IF(OFFSET(CRONOPLE!$F$14,$M35,AM$13)="",10^12,OFFSET(CRONOPLE!$F$14,$M35,AM$13))))</f>
        <v>1000000000000</v>
      </c>
      <c r="AN35" s="178">
        <f ca="1">IF($D35&lt;&gt;"Serviço",0,IF(AND(AUTOEVENTO="Manual",$M35=1),0,IF(OFFSET(CRONOPLE!$F$14,$M35,AN$13)="",10^12,OFFSET(CRONOPLE!$F$14,$M35,AN$13))))</f>
        <v>1000000000000</v>
      </c>
      <c r="AO35" s="178">
        <f ca="1">IF($D35&lt;&gt;"Serviço",0,IF(AND(AUTOEVENTO="Manual",$M35=1),0,IF(OFFSET(CRONOPLE!$F$14,$M35,AO$13)="",10^12,OFFSET(CRONOPLE!$F$14,$M35,AO$13))))</f>
        <v>1000000000000</v>
      </c>
      <c r="AP35" s="178">
        <f ca="1">IF($D35&lt;&gt;"Serviço",0,IF(AND(AUTOEVENTO="Manual",$M35=1),0,IF(OFFSET(CRONOPLE!$F$14,$M35,AP$13)="",10^12,OFFSET(CRONOPLE!$F$14,$M35,AP$13))))</f>
        <v>1000000000000</v>
      </c>
      <c r="AQ35" s="178">
        <f ca="1">IF($D35&lt;&gt;"Serviço",0,IF(AND(AUTOEVENTO="Manual",$M35=1),0,IF(OFFSET(CRONOPLE!$F$14,$M35,AQ$13)="",10^12,OFFSET(CRONOPLE!$F$14,$M35,AQ$13))))</f>
        <v>1000000000000</v>
      </c>
      <c r="AR35" s="178">
        <f ca="1">IF($D35&lt;&gt;"Serviço",0,IF(AND(AUTOEVENTO="Manual",$M35=1),0,IF(OFFSET(CRONOPLE!$F$14,$M35,AR$13)="",10^12,OFFSET(CRONOPLE!$F$14,$M35,AR$13))))</f>
        <v>1000000000000</v>
      </c>
      <c r="AS35" s="178">
        <f ca="1">IF($D35&lt;&gt;"Serviço",0,IF(AND(AUTOEVENTO="Manual",$M35=1),0,IF(OFFSET(CRONOPLE!$F$14,$M35,AS$13)="",10^12,OFFSET(CRONOPLE!$F$14,$M35,AS$13))))</f>
        <v>1000000000000</v>
      </c>
      <c r="AT35" s="178">
        <f ca="1">IF($D35&lt;&gt;"Serviço",0,IF(AND(AUTOEVENTO="Manual",$M35=1),0,IF(OFFSET(CRONOPLE!$F$14,$M35,AT$13)="",10^12,OFFSET(CRONOPLE!$F$14,$M35,AT$13))))</f>
        <v>1000000000000</v>
      </c>
      <c r="AU35" s="178">
        <f ca="1">IF($D35&lt;&gt;"Serviço",0,IF(AND(AUTOEVENTO="Manual",$M35=1),0,IF(OFFSET(CRONOPLE!$F$14,$M35,AU$13)="",10^12,OFFSET(CRONOPLE!$F$14,$M35,AU$13))))</f>
        <v>1000000000000</v>
      </c>
      <c r="AV35" s="178">
        <f ca="1">IF($D35&lt;&gt;"Serviço",0,IF(AND(AUTOEVENTO="Manual",$M35=1),0,IF(OFFSET(CRONOPLE!$F$14,$M35,AV$13)="",10^12,OFFSET(CRONOPLE!$F$14,$M35,AV$13))))</f>
        <v>1000000000000</v>
      </c>
      <c r="AX35" s="179">
        <f ca="1">IF($D35&lt;&gt;"Serviço",0,IF(OR(AND(AUTOEVENTO="Manual",$M35=1),$M35&gt;(ROW(PLE.lastrow)-ROW(PLE.firstrow))),0,IF(OFFSET(PLE!$G$14,$M35,AX$13)="",10^12,OFFSET(PLE!$G$14,$M35,AX$13))))</f>
        <v>1000000000000</v>
      </c>
      <c r="AY35" s="179">
        <f ca="1">IF($D35&lt;&gt;"Serviço",0,IF(OR(AND(AUTOEVENTO="Manual",$M35=1),$M35&gt;(ROW(PLE.lastrow)-ROW(PLE.firstrow))),0,IF(OFFSET(PLE!$G$14,$M35,AY$13)="",10^12,OFFSET(PLE!$G$14,$M35,AY$13))))</f>
        <v>1000000000000</v>
      </c>
      <c r="AZ35" s="179">
        <f ca="1">IF($D35&lt;&gt;"Serviço",0,IF(OR(AND(AUTOEVENTO="Manual",$M35=1),$M35&gt;(ROW(PLE.lastrow)-ROW(PLE.firstrow))),0,IF(OFFSET(PLE!$G$14,$M35,AZ$13)="",10^12,OFFSET(PLE!$G$14,$M35,AZ$13))))</f>
        <v>1000000000000</v>
      </c>
      <c r="BA35" s="179">
        <f ca="1">IF($D35&lt;&gt;"Serviço",0,IF(OR(AND(AUTOEVENTO="Manual",$M35=1),$M35&gt;(ROW(PLE.lastrow)-ROW(PLE.firstrow))),0,IF(OFFSET(PLE!$G$14,$M35,BA$13)="",10^12,OFFSET(PLE!$G$14,$M35,BA$13))))</f>
        <v>1000000000000</v>
      </c>
      <c r="BB35" s="179">
        <f ca="1">IF($D35&lt;&gt;"Serviço",0,IF(OR(AND(AUTOEVENTO="Manual",$M35=1),$M35&gt;(ROW(PLE.lastrow)-ROW(PLE.firstrow))),0,IF(OFFSET(PLE!$G$14,$M35,BB$13)="",10^12,OFFSET(PLE!$G$14,$M35,BB$13))))</f>
        <v>1000000000000</v>
      </c>
      <c r="BC35" s="179">
        <f ca="1">IF($D35&lt;&gt;"Serviço",0,IF(OR(AND(AUTOEVENTO="Manual",$M35=1),$M35&gt;(ROW(PLE.lastrow)-ROW(PLE.firstrow))),0,IF(OFFSET(PLE!$G$14,$M35,BC$13)="",10^12,OFFSET(PLE!$G$14,$M35,BC$13))))</f>
        <v>1000000000000</v>
      </c>
      <c r="BD35" s="179">
        <f ca="1">IF($D35&lt;&gt;"Serviço",0,IF(OR(AND(AUTOEVENTO="Manual",$M35=1),$M35&gt;(ROW(PLE.lastrow)-ROW(PLE.firstrow))),0,IF(OFFSET(PLE!$G$14,$M35,BD$13)="",10^12,OFFSET(PLE!$G$14,$M35,BD$13))))</f>
        <v>1000000000000</v>
      </c>
      <c r="BE35" s="179">
        <f ca="1">IF($D35&lt;&gt;"Serviço",0,IF(OR(AND(AUTOEVENTO="Manual",$M35=1),$M35&gt;(ROW(PLE.lastrow)-ROW(PLE.firstrow))),0,IF(OFFSET(PLE!$G$14,$M35,BE$13)="",10^12,OFFSET(PLE!$G$14,$M35,BE$13))))</f>
        <v>1000000000000</v>
      </c>
      <c r="BF35" s="179">
        <f ca="1">IF($D35&lt;&gt;"Serviço",0,IF(OR(AND(AUTOEVENTO="Manual",$M35=1),$M35&gt;(ROW(PLE.lastrow)-ROW(PLE.firstrow))),0,IF(OFFSET(PLE!$G$14,$M35,BF$13)="",10^12,OFFSET(PLE!$G$14,$M35,BF$13))))</f>
        <v>1000000000000</v>
      </c>
      <c r="BG35" s="179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25.5" x14ac:dyDescent="0.2">
      <c r="A36" s="7" t="str">
        <f t="shared" ca="1" si="8"/>
        <v>13</v>
      </c>
      <c r="B36" s="7" t="str">
        <f ca="1">OFFSET(ORÇAMENTO!C$15,ROW(B36)-ROW(B$15),0)</f>
        <v>S</v>
      </c>
      <c r="C36" s="7" t="str">
        <f ca="1">OFFSET(ORÇAMENTO!L$15,ROW(C36)-ROW(C$15),0)</f>
        <v/>
      </c>
      <c r="D36" s="115" t="str">
        <f ca="1">OFFSET(ORÇAMENTO!N$15,ROW(D36)-ROW(D$15),0)</f>
        <v>Serviço</v>
      </c>
      <c r="E36" s="116" t="str">
        <f ca="1">OFFSET(ORÇAMENTO!O$15,ROW(E36)-ROW(E$15),0)</f>
        <v>-</v>
      </c>
      <c r="F36" s="169" t="str">
        <f ca="1">OFFSET(ORÇAMENTO!R$15,ROW(F36)-ROW(F$15),0)</f>
        <v>(abra o arquivo 'Referência 10-2024.xlsm)</v>
      </c>
      <c r="G36" s="170" t="str">
        <f ca="1">IF($D36&lt;&gt;"Serviço","",OFFSET(ORÇAMENTO!S$15,ROW(G36)-ROW(G$15),0))</f>
        <v>-</v>
      </c>
      <c r="H36" s="121">
        <f ca="1">IF($D36&lt;&gt;"Serviço",0,IF(ACOMPANHAMENTO="BM",ROUND(OFFSET(ORÇAMENTO!AJ$15,ROW(H36)-ROW(H$15),0),15-13*ORÇAMENTO!$AF$7),SUMPRODUCT(($Q$12:$AA$12&lt;&gt;"")*ROUND($Q36:$AA36,15-13*ORÇAMENTO!$AF$7))))</f>
        <v>41.34</v>
      </c>
      <c r="I36" s="558" t="s">
        <v>561</v>
      </c>
      <c r="K36" s="171"/>
      <c r="L36" s="172" t="s">
        <v>255</v>
      </c>
      <c r="M36" s="173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174" t="str">
        <f ca="1">IF($D36&lt;&gt;"Serviço","",IF(AUTOEVENTO="Manual",IF($A36=0,"&lt;-- defina o número do agrupador",OFFSET(EVENTOS!$D$14,$A36,0)),OFFSET($F$15,$A36,0)))</f>
        <v>FUNDAÇÕES</v>
      </c>
      <c r="O36" s="175"/>
      <c r="Q36" s="175"/>
      <c r="R36" s="176"/>
      <c r="S36" s="176"/>
      <c r="T36" s="176"/>
      <c r="U36" s="176"/>
      <c r="V36" s="176"/>
      <c r="W36" s="176"/>
      <c r="X36" s="176"/>
      <c r="Y36" s="176"/>
      <c r="Z36" s="177"/>
      <c r="AB36" s="541">
        <f ca="1">IF(AND($D36="Serviço",AB$12&lt;&gt;0,$H36&gt;0,OR(AUTOEVENTO&lt;&gt;"manual",$M36&lt;&gt;1)),
IF(Import.TipoArredondamento&lt;&gt;"TransfereGOV",
ROUND(OFFSET($P36,0,AB$13),15-13*ORÇAMENTO!$AF$7)/$H36*OFFSET(ORÇAMENTO!$X$15,ROW(AB36)-ROW(AB$15),0),
ROUND(ROUND(OFFSET($P36,0,AB$13),15-13*ORÇAMENTO!$AF$7)*OFFSET(ORÇAMENTO!$W$15,ROW(AB36)-ROW(AB$15),0),15-13*ORÇAMENTO!$AF$11)),0)</f>
        <v>0</v>
      </c>
      <c r="AC36" s="542">
        <f ca="1">IF(AND($D36="Serviço",AC$12&lt;&gt;0,$H36&gt;0,OR(AUTOEVENTO&lt;&gt;"manual",$M36&lt;&gt;1)),
IF(Import.TipoArredondamento&lt;&gt;"TransfereGOV",
ROUND(OFFSET($P36,0,AC$13),15-13*ORÇAMENTO!$AF$7)/$H36*OFFSET(ORÇAMENTO!$X$15,ROW(AC36)-ROW(AC$15),0),
ROUND(ROUND(OFFSET($P36,0,AC$13),15-13*ORÇAMENTO!$AF$7)*OFFSET(ORÇAMENTO!$W$15,ROW(AC36)-ROW(AC$15),0),15-13*ORÇAMENTO!$AF$11)),0)</f>
        <v>0</v>
      </c>
      <c r="AD36" s="542">
        <f ca="1">IF(AND($D36="Serviço",AD$12&lt;&gt;0,$H36&gt;0,OR(AUTOEVENTO&lt;&gt;"manual",$M36&lt;&gt;1)),
IF(Import.TipoArredondamento&lt;&gt;"TransfereGOV",
ROUND(OFFSET($P36,0,AD$13),15-13*ORÇAMENTO!$AF$7)/$H36*OFFSET(ORÇAMENTO!$X$15,ROW(AD36)-ROW(AD$15),0),
ROUND(ROUND(OFFSET($P36,0,AD$13),15-13*ORÇAMENTO!$AF$7)*OFFSET(ORÇAMENTO!$W$15,ROW(AD36)-ROW(AD$15),0),15-13*ORÇAMENTO!$AF$11)),0)</f>
        <v>0</v>
      </c>
      <c r="AE36" s="542">
        <f ca="1">IF(AND($D36="Serviço",AE$12&lt;&gt;0,$H36&gt;0,OR(AUTOEVENTO&lt;&gt;"manual",$M36&lt;&gt;1)),
IF(Import.TipoArredondamento&lt;&gt;"TransfereGOV",
ROUND(OFFSET($P36,0,AE$13),15-13*ORÇAMENTO!$AF$7)/$H36*OFFSET(ORÇAMENTO!$X$15,ROW(AE36)-ROW(AE$15),0),
ROUND(ROUND(OFFSET($P36,0,AE$13),15-13*ORÇAMENTO!$AF$7)*OFFSET(ORÇAMENTO!$W$15,ROW(AE36)-ROW(AE$15),0),15-13*ORÇAMENTO!$AF$11)),0)</f>
        <v>0</v>
      </c>
      <c r="AF36" s="542">
        <f ca="1">IF(AND($D36="Serviço",AF$12&lt;&gt;0,$H36&gt;0,OR(AUTOEVENTO&lt;&gt;"manual",$M36&lt;&gt;1)),
IF(Import.TipoArredondamento&lt;&gt;"TransfereGOV",
ROUND(OFFSET($P36,0,AF$13),15-13*ORÇAMENTO!$AF$7)/$H36*OFFSET(ORÇAMENTO!$X$15,ROW(AF36)-ROW(AF$15),0),
ROUND(ROUND(OFFSET($P36,0,AF$13),15-13*ORÇAMENTO!$AF$7)*OFFSET(ORÇAMENTO!$W$15,ROW(AF36)-ROW(AF$15),0),15-13*ORÇAMENTO!$AF$11)),0)</f>
        <v>0</v>
      </c>
      <c r="AG36" s="542">
        <f ca="1">IF(AND($D36="Serviço",AG$12&lt;&gt;0,$H36&gt;0,OR(AUTOEVENTO&lt;&gt;"manual",$M36&lt;&gt;1)),
IF(Import.TipoArredondamento&lt;&gt;"TransfereGOV",
ROUND(OFFSET($P36,0,AG$13),15-13*ORÇAMENTO!$AF$7)/$H36*OFFSET(ORÇAMENTO!$X$15,ROW(AG36)-ROW(AG$15),0),
ROUND(ROUND(OFFSET($P36,0,AG$13),15-13*ORÇAMENTO!$AF$7)*OFFSET(ORÇAMENTO!$W$15,ROW(AG36)-ROW(AG$15),0),15-13*ORÇAMENTO!$AF$11)),0)</f>
        <v>0</v>
      </c>
      <c r="AH36" s="542">
        <f ca="1">IF(AND($D36="Serviço",AH$12&lt;&gt;0,$H36&gt;0,OR(AUTOEVENTO&lt;&gt;"manual",$M36&lt;&gt;1)),
IF(Import.TipoArredondamento&lt;&gt;"TransfereGOV",
ROUND(OFFSET($P36,0,AH$13),15-13*ORÇAMENTO!$AF$7)/$H36*OFFSET(ORÇAMENTO!$X$15,ROW(AH36)-ROW(AH$15),0),
ROUND(ROUND(OFFSET($P36,0,AH$13),15-13*ORÇAMENTO!$AF$7)*OFFSET(ORÇAMENTO!$W$15,ROW(AH36)-ROW(AH$15),0),15-13*ORÇAMENTO!$AF$11)),0)</f>
        <v>0</v>
      </c>
      <c r="AI36" s="542">
        <f ca="1">IF(AND($D36="Serviço",AI$12&lt;&gt;0,$H36&gt;0,OR(AUTOEVENTO&lt;&gt;"manual",$M36&lt;&gt;1)),
IF(Import.TipoArredondamento&lt;&gt;"TransfereGOV",
ROUND(OFFSET($P36,0,AI$13),15-13*ORÇAMENTO!$AF$7)/$H36*OFFSET(ORÇAMENTO!$X$15,ROW(AI36)-ROW(AI$15),0),
ROUND(ROUND(OFFSET($P36,0,AI$13),15-13*ORÇAMENTO!$AF$7)*OFFSET(ORÇAMENTO!$W$15,ROW(AI36)-ROW(AI$15),0),15-13*ORÇAMENTO!$AF$11)),0)</f>
        <v>0</v>
      </c>
      <c r="AJ36" s="542">
        <f ca="1">IF(AND($D36="Serviço",AJ$12&lt;&gt;0,$H36&gt;0,OR(AUTOEVENTO&lt;&gt;"manual",$M36&lt;&gt;1)),
IF(Import.TipoArredondamento&lt;&gt;"TransfereGOV",
ROUND(OFFSET($P36,0,AJ$13),15-13*ORÇAMENTO!$AF$7)/$H36*OFFSET(ORÇAMENTO!$X$15,ROW(AJ36)-ROW(AJ$15),0),
ROUND(ROUND(OFFSET($P36,0,AJ$13),15-13*ORÇAMENTO!$AF$7)*OFFSET(ORÇAMENTO!$W$15,ROW(AJ36)-ROW(AJ$15),0),15-13*ORÇAMENTO!$AF$11)),0)</f>
        <v>0</v>
      </c>
      <c r="AK36" s="543">
        <f ca="1">IF(AND($D36="Serviço",AK$12&lt;&gt;0,$H36&gt;0,OR(AUTOEVENTO&lt;&gt;"manual",$M36&lt;&gt;1)),
IF(Import.TipoArredondamento&lt;&gt;"TransfereGOV",
ROUND(OFFSET($P36,0,AK$13),15-13*ORÇAMENTO!$AF$7)/$H36*OFFSET(ORÇAMENTO!$X$15,ROW(AK36)-ROW(AK$15),0),
ROUND(ROUND(OFFSET($P36,0,AK$13),15-13*ORÇAMENTO!$AF$7)*OFFSET(ORÇAMENTO!$W$15,ROW(AK36)-ROW(AK$15),0),15-13*ORÇAMENTO!$AF$11)),0)</f>
        <v>0</v>
      </c>
      <c r="AM36" s="178">
        <f ca="1">IF($D36&lt;&gt;"Serviço",0,IF(AND(AUTOEVENTO="Manual",$M36=1),0,IF(OFFSET(CRONOPLE!$F$14,$M36,AM$13)="",10^12,OFFSET(CRONOPLE!$F$14,$M36,AM$13))))</f>
        <v>1000000000000</v>
      </c>
      <c r="AN36" s="178">
        <f ca="1">IF($D36&lt;&gt;"Serviço",0,IF(AND(AUTOEVENTO="Manual",$M36=1),0,IF(OFFSET(CRONOPLE!$F$14,$M36,AN$13)="",10^12,OFFSET(CRONOPLE!$F$14,$M36,AN$13))))</f>
        <v>1000000000000</v>
      </c>
      <c r="AO36" s="178">
        <f ca="1">IF($D36&lt;&gt;"Serviço",0,IF(AND(AUTOEVENTO="Manual",$M36=1),0,IF(OFFSET(CRONOPLE!$F$14,$M36,AO$13)="",10^12,OFFSET(CRONOPLE!$F$14,$M36,AO$13))))</f>
        <v>1000000000000</v>
      </c>
      <c r="AP36" s="178">
        <f ca="1">IF($D36&lt;&gt;"Serviço",0,IF(AND(AUTOEVENTO="Manual",$M36=1),0,IF(OFFSET(CRONOPLE!$F$14,$M36,AP$13)="",10^12,OFFSET(CRONOPLE!$F$14,$M36,AP$13))))</f>
        <v>1000000000000</v>
      </c>
      <c r="AQ36" s="178">
        <f ca="1">IF($D36&lt;&gt;"Serviço",0,IF(AND(AUTOEVENTO="Manual",$M36=1),0,IF(OFFSET(CRONOPLE!$F$14,$M36,AQ$13)="",10^12,OFFSET(CRONOPLE!$F$14,$M36,AQ$13))))</f>
        <v>1000000000000</v>
      </c>
      <c r="AR36" s="178">
        <f ca="1">IF($D36&lt;&gt;"Serviço",0,IF(AND(AUTOEVENTO="Manual",$M36=1),0,IF(OFFSET(CRONOPLE!$F$14,$M36,AR$13)="",10^12,OFFSET(CRONOPLE!$F$14,$M36,AR$13))))</f>
        <v>1000000000000</v>
      </c>
      <c r="AS36" s="178">
        <f ca="1">IF($D36&lt;&gt;"Serviço",0,IF(AND(AUTOEVENTO="Manual",$M36=1),0,IF(OFFSET(CRONOPLE!$F$14,$M36,AS$13)="",10^12,OFFSET(CRONOPLE!$F$14,$M36,AS$13))))</f>
        <v>1000000000000</v>
      </c>
      <c r="AT36" s="178">
        <f ca="1">IF($D36&lt;&gt;"Serviço",0,IF(AND(AUTOEVENTO="Manual",$M36=1),0,IF(OFFSET(CRONOPLE!$F$14,$M36,AT$13)="",10^12,OFFSET(CRONOPLE!$F$14,$M36,AT$13))))</f>
        <v>1000000000000</v>
      </c>
      <c r="AU36" s="178">
        <f ca="1">IF($D36&lt;&gt;"Serviço",0,IF(AND(AUTOEVENTO="Manual",$M36=1),0,IF(OFFSET(CRONOPLE!$F$14,$M36,AU$13)="",10^12,OFFSET(CRONOPLE!$F$14,$M36,AU$13))))</f>
        <v>1000000000000</v>
      </c>
      <c r="AV36" s="178">
        <f ca="1">IF($D36&lt;&gt;"Serviço",0,IF(AND(AUTOEVENTO="Manual",$M36=1),0,IF(OFFSET(CRONOPLE!$F$14,$M36,AV$13)="",10^12,OFFSET(CRONOPLE!$F$14,$M36,AV$13))))</f>
        <v>1000000000000</v>
      </c>
      <c r="AX36" s="179">
        <f ca="1">IF($D36&lt;&gt;"Serviço",0,IF(OR(AND(AUTOEVENTO="Manual",$M36=1),$M36&gt;(ROW(PLE.lastrow)-ROW(PLE.firstrow))),0,IF(OFFSET(PLE!$G$14,$M36,AX$13)="",10^12,OFFSET(PLE!$G$14,$M36,AX$13))))</f>
        <v>1000000000000</v>
      </c>
      <c r="AY36" s="179">
        <f ca="1">IF($D36&lt;&gt;"Serviço",0,IF(OR(AND(AUTOEVENTO="Manual",$M36=1),$M36&gt;(ROW(PLE.lastrow)-ROW(PLE.firstrow))),0,IF(OFFSET(PLE!$G$14,$M36,AY$13)="",10^12,OFFSET(PLE!$G$14,$M36,AY$13))))</f>
        <v>1000000000000</v>
      </c>
      <c r="AZ36" s="179">
        <f ca="1">IF($D36&lt;&gt;"Serviço",0,IF(OR(AND(AUTOEVENTO="Manual",$M36=1),$M36&gt;(ROW(PLE.lastrow)-ROW(PLE.firstrow))),0,IF(OFFSET(PLE!$G$14,$M36,AZ$13)="",10^12,OFFSET(PLE!$G$14,$M36,AZ$13))))</f>
        <v>1000000000000</v>
      </c>
      <c r="BA36" s="179">
        <f ca="1">IF($D36&lt;&gt;"Serviço",0,IF(OR(AND(AUTOEVENTO="Manual",$M36=1),$M36&gt;(ROW(PLE.lastrow)-ROW(PLE.firstrow))),0,IF(OFFSET(PLE!$G$14,$M36,BA$13)="",10^12,OFFSET(PLE!$G$14,$M36,BA$13))))</f>
        <v>1000000000000</v>
      </c>
      <c r="BB36" s="179">
        <f ca="1">IF($D36&lt;&gt;"Serviço",0,IF(OR(AND(AUTOEVENTO="Manual",$M36=1),$M36&gt;(ROW(PLE.lastrow)-ROW(PLE.firstrow))),0,IF(OFFSET(PLE!$G$14,$M36,BB$13)="",10^12,OFFSET(PLE!$G$14,$M36,BB$13))))</f>
        <v>1000000000000</v>
      </c>
      <c r="BC36" s="179">
        <f ca="1">IF($D36&lt;&gt;"Serviço",0,IF(OR(AND(AUTOEVENTO="Manual",$M36=1),$M36&gt;(ROW(PLE.lastrow)-ROW(PLE.firstrow))),0,IF(OFFSET(PLE!$G$14,$M36,BC$13)="",10^12,OFFSET(PLE!$G$14,$M36,BC$13))))</f>
        <v>1000000000000</v>
      </c>
      <c r="BD36" s="179">
        <f ca="1">IF($D36&lt;&gt;"Serviço",0,IF(OR(AND(AUTOEVENTO="Manual",$M36=1),$M36&gt;(ROW(PLE.lastrow)-ROW(PLE.firstrow))),0,IF(OFFSET(PLE!$G$14,$M36,BD$13)="",10^12,OFFSET(PLE!$G$14,$M36,BD$13))))</f>
        <v>1000000000000</v>
      </c>
      <c r="BE36" s="179">
        <f ca="1">IF($D36&lt;&gt;"Serviço",0,IF(OR(AND(AUTOEVENTO="Manual",$M36=1),$M36&gt;(ROW(PLE.lastrow)-ROW(PLE.firstrow))),0,IF(OFFSET(PLE!$G$14,$M36,BE$13)="",10^12,OFFSET(PLE!$G$14,$M36,BE$13))))</f>
        <v>1000000000000</v>
      </c>
      <c r="BF36" s="179">
        <f ca="1">IF($D36&lt;&gt;"Serviço",0,IF(OR(AND(AUTOEVENTO="Manual",$M36=1),$M36&gt;(ROW(PLE.lastrow)-ROW(PLE.firstrow))),0,IF(OFFSET(PLE!$G$14,$M36,BF$13)="",10^12,OFFSET(PLE!$G$14,$M36,BF$13))))</f>
        <v>1000000000000</v>
      </c>
      <c r="BG36" s="179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38.25" x14ac:dyDescent="0.2">
      <c r="A37" s="7" t="str">
        <f t="shared" ca="1" si="8"/>
        <v>13</v>
      </c>
      <c r="B37" s="7" t="str">
        <f ca="1">OFFSET(ORÇAMENTO!C$15,ROW(B37)-ROW(B$15),0)</f>
        <v>S</v>
      </c>
      <c r="C37" s="7" t="str">
        <f ca="1">OFFSET(ORÇAMENTO!L$15,ROW(C37)-ROW(C$15),0)</f>
        <v/>
      </c>
      <c r="D37" s="115" t="str">
        <f ca="1">OFFSET(ORÇAMENTO!N$15,ROW(D37)-ROW(D$15),0)</f>
        <v>Serviço</v>
      </c>
      <c r="E37" s="116" t="str">
        <f ca="1">OFFSET(ORÇAMENTO!O$15,ROW(E37)-ROW(E$15),0)</f>
        <v>-</v>
      </c>
      <c r="F37" s="169" t="str">
        <f ca="1">OFFSET(ORÇAMENTO!R$15,ROW(F37)-ROW(F$15),0)</f>
        <v>(abra o arquivo 'Referência 10-2024.xlsm)</v>
      </c>
      <c r="G37" s="170" t="str">
        <f ca="1">IF($D37&lt;&gt;"Serviço","",OFFSET(ORÇAMENTO!S$15,ROW(G37)-ROW(G$15),0))</f>
        <v>-</v>
      </c>
      <c r="H37" s="121">
        <f ca="1">IF($D37&lt;&gt;"Serviço",0,IF(ACOMPANHAMENTO="BM",ROUND(OFFSET(ORÇAMENTO!AJ$15,ROW(H37)-ROW(H$15),0),15-13*ORÇAMENTO!$AF$7),SUMPRODUCT(($Q$12:$AA$12&lt;&gt;"")*ROUND($Q37:$AA37,15-13*ORÇAMENTO!$AF$7))))</f>
        <v>29.82</v>
      </c>
      <c r="I37" s="558" t="s">
        <v>561</v>
      </c>
      <c r="K37" s="171"/>
      <c r="L37" s="172" t="s">
        <v>255</v>
      </c>
      <c r="M37" s="173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174" t="str">
        <f ca="1">IF($D37&lt;&gt;"Serviço","",IF(AUTOEVENTO="Manual",IF($A37=0,"&lt;-- defina o número do agrupador",OFFSET(EVENTOS!$D$14,$A37,0)),OFFSET($F$15,$A37,0)))</f>
        <v>FUNDAÇÕES</v>
      </c>
      <c r="O37" s="175"/>
      <c r="Q37" s="175"/>
      <c r="R37" s="176"/>
      <c r="S37" s="176"/>
      <c r="T37" s="176"/>
      <c r="U37" s="176"/>
      <c r="V37" s="176"/>
      <c r="W37" s="176"/>
      <c r="X37" s="176"/>
      <c r="Y37" s="176"/>
      <c r="Z37" s="177"/>
      <c r="AB37" s="541">
        <f ca="1">IF(AND($D37="Serviço",AB$12&lt;&gt;0,$H37&gt;0,OR(AUTOEVENTO&lt;&gt;"manual",$M37&lt;&gt;1)),
IF(Import.TipoArredondamento&lt;&gt;"TransfereGOV",
ROUND(OFFSET($P37,0,AB$13),15-13*ORÇAMENTO!$AF$7)/$H37*OFFSET(ORÇAMENTO!$X$15,ROW(AB37)-ROW(AB$15),0),
ROUND(ROUND(OFFSET($P37,0,AB$13),15-13*ORÇAMENTO!$AF$7)*OFFSET(ORÇAMENTO!$W$15,ROW(AB37)-ROW(AB$15),0),15-13*ORÇAMENTO!$AF$11)),0)</f>
        <v>0</v>
      </c>
      <c r="AC37" s="542">
        <f ca="1">IF(AND($D37="Serviço",AC$12&lt;&gt;0,$H37&gt;0,OR(AUTOEVENTO&lt;&gt;"manual",$M37&lt;&gt;1)),
IF(Import.TipoArredondamento&lt;&gt;"TransfereGOV",
ROUND(OFFSET($P37,0,AC$13),15-13*ORÇAMENTO!$AF$7)/$H37*OFFSET(ORÇAMENTO!$X$15,ROW(AC37)-ROW(AC$15),0),
ROUND(ROUND(OFFSET($P37,0,AC$13),15-13*ORÇAMENTO!$AF$7)*OFFSET(ORÇAMENTO!$W$15,ROW(AC37)-ROW(AC$15),0),15-13*ORÇAMENTO!$AF$11)),0)</f>
        <v>0</v>
      </c>
      <c r="AD37" s="542">
        <f ca="1">IF(AND($D37="Serviço",AD$12&lt;&gt;0,$H37&gt;0,OR(AUTOEVENTO&lt;&gt;"manual",$M37&lt;&gt;1)),
IF(Import.TipoArredondamento&lt;&gt;"TransfereGOV",
ROUND(OFFSET($P37,0,AD$13),15-13*ORÇAMENTO!$AF$7)/$H37*OFFSET(ORÇAMENTO!$X$15,ROW(AD37)-ROW(AD$15),0),
ROUND(ROUND(OFFSET($P37,0,AD$13),15-13*ORÇAMENTO!$AF$7)*OFFSET(ORÇAMENTO!$W$15,ROW(AD37)-ROW(AD$15),0),15-13*ORÇAMENTO!$AF$11)),0)</f>
        <v>0</v>
      </c>
      <c r="AE37" s="542">
        <f ca="1">IF(AND($D37="Serviço",AE$12&lt;&gt;0,$H37&gt;0,OR(AUTOEVENTO&lt;&gt;"manual",$M37&lt;&gt;1)),
IF(Import.TipoArredondamento&lt;&gt;"TransfereGOV",
ROUND(OFFSET($P37,0,AE$13),15-13*ORÇAMENTO!$AF$7)/$H37*OFFSET(ORÇAMENTO!$X$15,ROW(AE37)-ROW(AE$15),0),
ROUND(ROUND(OFFSET($P37,0,AE$13),15-13*ORÇAMENTO!$AF$7)*OFFSET(ORÇAMENTO!$W$15,ROW(AE37)-ROW(AE$15),0),15-13*ORÇAMENTO!$AF$11)),0)</f>
        <v>0</v>
      </c>
      <c r="AF37" s="542">
        <f ca="1">IF(AND($D37="Serviço",AF$12&lt;&gt;0,$H37&gt;0,OR(AUTOEVENTO&lt;&gt;"manual",$M37&lt;&gt;1)),
IF(Import.TipoArredondamento&lt;&gt;"TransfereGOV",
ROUND(OFFSET($P37,0,AF$13),15-13*ORÇAMENTO!$AF$7)/$H37*OFFSET(ORÇAMENTO!$X$15,ROW(AF37)-ROW(AF$15),0),
ROUND(ROUND(OFFSET($P37,0,AF$13),15-13*ORÇAMENTO!$AF$7)*OFFSET(ORÇAMENTO!$W$15,ROW(AF37)-ROW(AF$15),0),15-13*ORÇAMENTO!$AF$11)),0)</f>
        <v>0</v>
      </c>
      <c r="AG37" s="542">
        <f ca="1">IF(AND($D37="Serviço",AG$12&lt;&gt;0,$H37&gt;0,OR(AUTOEVENTO&lt;&gt;"manual",$M37&lt;&gt;1)),
IF(Import.TipoArredondamento&lt;&gt;"TransfereGOV",
ROUND(OFFSET($P37,0,AG$13),15-13*ORÇAMENTO!$AF$7)/$H37*OFFSET(ORÇAMENTO!$X$15,ROW(AG37)-ROW(AG$15),0),
ROUND(ROUND(OFFSET($P37,0,AG$13),15-13*ORÇAMENTO!$AF$7)*OFFSET(ORÇAMENTO!$W$15,ROW(AG37)-ROW(AG$15),0),15-13*ORÇAMENTO!$AF$11)),0)</f>
        <v>0</v>
      </c>
      <c r="AH37" s="542">
        <f ca="1">IF(AND($D37="Serviço",AH$12&lt;&gt;0,$H37&gt;0,OR(AUTOEVENTO&lt;&gt;"manual",$M37&lt;&gt;1)),
IF(Import.TipoArredondamento&lt;&gt;"TransfereGOV",
ROUND(OFFSET($P37,0,AH$13),15-13*ORÇAMENTO!$AF$7)/$H37*OFFSET(ORÇAMENTO!$X$15,ROW(AH37)-ROW(AH$15),0),
ROUND(ROUND(OFFSET($P37,0,AH$13),15-13*ORÇAMENTO!$AF$7)*OFFSET(ORÇAMENTO!$W$15,ROW(AH37)-ROW(AH$15),0),15-13*ORÇAMENTO!$AF$11)),0)</f>
        <v>0</v>
      </c>
      <c r="AI37" s="542">
        <f ca="1">IF(AND($D37="Serviço",AI$12&lt;&gt;0,$H37&gt;0,OR(AUTOEVENTO&lt;&gt;"manual",$M37&lt;&gt;1)),
IF(Import.TipoArredondamento&lt;&gt;"TransfereGOV",
ROUND(OFFSET($P37,0,AI$13),15-13*ORÇAMENTO!$AF$7)/$H37*OFFSET(ORÇAMENTO!$X$15,ROW(AI37)-ROW(AI$15),0),
ROUND(ROUND(OFFSET($P37,0,AI$13),15-13*ORÇAMENTO!$AF$7)*OFFSET(ORÇAMENTO!$W$15,ROW(AI37)-ROW(AI$15),0),15-13*ORÇAMENTO!$AF$11)),0)</f>
        <v>0</v>
      </c>
      <c r="AJ37" s="542">
        <f ca="1">IF(AND($D37="Serviço",AJ$12&lt;&gt;0,$H37&gt;0,OR(AUTOEVENTO&lt;&gt;"manual",$M37&lt;&gt;1)),
IF(Import.TipoArredondamento&lt;&gt;"TransfereGOV",
ROUND(OFFSET($P37,0,AJ$13),15-13*ORÇAMENTO!$AF$7)/$H37*OFFSET(ORÇAMENTO!$X$15,ROW(AJ37)-ROW(AJ$15),0),
ROUND(ROUND(OFFSET($P37,0,AJ$13),15-13*ORÇAMENTO!$AF$7)*OFFSET(ORÇAMENTO!$W$15,ROW(AJ37)-ROW(AJ$15),0),15-13*ORÇAMENTO!$AF$11)),0)</f>
        <v>0</v>
      </c>
      <c r="AK37" s="543">
        <f ca="1">IF(AND($D37="Serviço",AK$12&lt;&gt;0,$H37&gt;0,OR(AUTOEVENTO&lt;&gt;"manual",$M37&lt;&gt;1)),
IF(Import.TipoArredondamento&lt;&gt;"TransfereGOV",
ROUND(OFFSET($P37,0,AK$13),15-13*ORÇAMENTO!$AF$7)/$H37*OFFSET(ORÇAMENTO!$X$15,ROW(AK37)-ROW(AK$15),0),
ROUND(ROUND(OFFSET($P37,0,AK$13),15-13*ORÇAMENTO!$AF$7)*OFFSET(ORÇAMENTO!$W$15,ROW(AK37)-ROW(AK$15),0),15-13*ORÇAMENTO!$AF$11)),0)</f>
        <v>0</v>
      </c>
      <c r="AM37" s="178">
        <f ca="1">IF($D37&lt;&gt;"Serviço",0,IF(AND(AUTOEVENTO="Manual",$M37=1),0,IF(OFFSET(CRONOPLE!$F$14,$M37,AM$13)="",10^12,OFFSET(CRONOPLE!$F$14,$M37,AM$13))))</f>
        <v>1000000000000</v>
      </c>
      <c r="AN37" s="178">
        <f ca="1">IF($D37&lt;&gt;"Serviço",0,IF(AND(AUTOEVENTO="Manual",$M37=1),0,IF(OFFSET(CRONOPLE!$F$14,$M37,AN$13)="",10^12,OFFSET(CRONOPLE!$F$14,$M37,AN$13))))</f>
        <v>1000000000000</v>
      </c>
      <c r="AO37" s="178">
        <f ca="1">IF($D37&lt;&gt;"Serviço",0,IF(AND(AUTOEVENTO="Manual",$M37=1),0,IF(OFFSET(CRONOPLE!$F$14,$M37,AO$13)="",10^12,OFFSET(CRONOPLE!$F$14,$M37,AO$13))))</f>
        <v>1000000000000</v>
      </c>
      <c r="AP37" s="178">
        <f ca="1">IF($D37&lt;&gt;"Serviço",0,IF(AND(AUTOEVENTO="Manual",$M37=1),0,IF(OFFSET(CRONOPLE!$F$14,$M37,AP$13)="",10^12,OFFSET(CRONOPLE!$F$14,$M37,AP$13))))</f>
        <v>1000000000000</v>
      </c>
      <c r="AQ37" s="178">
        <f ca="1">IF($D37&lt;&gt;"Serviço",0,IF(AND(AUTOEVENTO="Manual",$M37=1),0,IF(OFFSET(CRONOPLE!$F$14,$M37,AQ$13)="",10^12,OFFSET(CRONOPLE!$F$14,$M37,AQ$13))))</f>
        <v>1000000000000</v>
      </c>
      <c r="AR37" s="178">
        <f ca="1">IF($D37&lt;&gt;"Serviço",0,IF(AND(AUTOEVENTO="Manual",$M37=1),0,IF(OFFSET(CRONOPLE!$F$14,$M37,AR$13)="",10^12,OFFSET(CRONOPLE!$F$14,$M37,AR$13))))</f>
        <v>1000000000000</v>
      </c>
      <c r="AS37" s="178">
        <f ca="1">IF($D37&lt;&gt;"Serviço",0,IF(AND(AUTOEVENTO="Manual",$M37=1),0,IF(OFFSET(CRONOPLE!$F$14,$M37,AS$13)="",10^12,OFFSET(CRONOPLE!$F$14,$M37,AS$13))))</f>
        <v>1000000000000</v>
      </c>
      <c r="AT37" s="178">
        <f ca="1">IF($D37&lt;&gt;"Serviço",0,IF(AND(AUTOEVENTO="Manual",$M37=1),0,IF(OFFSET(CRONOPLE!$F$14,$M37,AT$13)="",10^12,OFFSET(CRONOPLE!$F$14,$M37,AT$13))))</f>
        <v>1000000000000</v>
      </c>
      <c r="AU37" s="178">
        <f ca="1">IF($D37&lt;&gt;"Serviço",0,IF(AND(AUTOEVENTO="Manual",$M37=1),0,IF(OFFSET(CRONOPLE!$F$14,$M37,AU$13)="",10^12,OFFSET(CRONOPLE!$F$14,$M37,AU$13))))</f>
        <v>1000000000000</v>
      </c>
      <c r="AV37" s="178">
        <f ca="1">IF($D37&lt;&gt;"Serviço",0,IF(AND(AUTOEVENTO="Manual",$M37=1),0,IF(OFFSET(CRONOPLE!$F$14,$M37,AV$13)="",10^12,OFFSET(CRONOPLE!$F$14,$M37,AV$13))))</f>
        <v>1000000000000</v>
      </c>
      <c r="AX37" s="179">
        <f ca="1">IF($D37&lt;&gt;"Serviço",0,IF(OR(AND(AUTOEVENTO="Manual",$M37=1),$M37&gt;(ROW(PLE.lastrow)-ROW(PLE.firstrow))),0,IF(OFFSET(PLE!$G$14,$M37,AX$13)="",10^12,OFFSET(PLE!$G$14,$M37,AX$13))))</f>
        <v>1000000000000</v>
      </c>
      <c r="AY37" s="179">
        <f ca="1">IF($D37&lt;&gt;"Serviço",0,IF(OR(AND(AUTOEVENTO="Manual",$M37=1),$M37&gt;(ROW(PLE.lastrow)-ROW(PLE.firstrow))),0,IF(OFFSET(PLE!$G$14,$M37,AY$13)="",10^12,OFFSET(PLE!$G$14,$M37,AY$13))))</f>
        <v>1000000000000</v>
      </c>
      <c r="AZ37" s="179">
        <f ca="1">IF($D37&lt;&gt;"Serviço",0,IF(OR(AND(AUTOEVENTO="Manual",$M37=1),$M37&gt;(ROW(PLE.lastrow)-ROW(PLE.firstrow))),0,IF(OFFSET(PLE!$G$14,$M37,AZ$13)="",10^12,OFFSET(PLE!$G$14,$M37,AZ$13))))</f>
        <v>1000000000000</v>
      </c>
      <c r="BA37" s="179">
        <f ca="1">IF($D37&lt;&gt;"Serviço",0,IF(OR(AND(AUTOEVENTO="Manual",$M37=1),$M37&gt;(ROW(PLE.lastrow)-ROW(PLE.firstrow))),0,IF(OFFSET(PLE!$G$14,$M37,BA$13)="",10^12,OFFSET(PLE!$G$14,$M37,BA$13))))</f>
        <v>1000000000000</v>
      </c>
      <c r="BB37" s="179">
        <f ca="1">IF($D37&lt;&gt;"Serviço",0,IF(OR(AND(AUTOEVENTO="Manual",$M37=1),$M37&gt;(ROW(PLE.lastrow)-ROW(PLE.firstrow))),0,IF(OFFSET(PLE!$G$14,$M37,BB$13)="",10^12,OFFSET(PLE!$G$14,$M37,BB$13))))</f>
        <v>1000000000000</v>
      </c>
      <c r="BC37" s="179">
        <f ca="1">IF($D37&lt;&gt;"Serviço",0,IF(OR(AND(AUTOEVENTO="Manual",$M37=1),$M37&gt;(ROW(PLE.lastrow)-ROW(PLE.firstrow))),0,IF(OFFSET(PLE!$G$14,$M37,BC$13)="",10^12,OFFSET(PLE!$G$14,$M37,BC$13))))</f>
        <v>1000000000000</v>
      </c>
      <c r="BD37" s="179">
        <f ca="1">IF($D37&lt;&gt;"Serviço",0,IF(OR(AND(AUTOEVENTO="Manual",$M37=1),$M37&gt;(ROW(PLE.lastrow)-ROW(PLE.firstrow))),0,IF(OFFSET(PLE!$G$14,$M37,BD$13)="",10^12,OFFSET(PLE!$G$14,$M37,BD$13))))</f>
        <v>1000000000000</v>
      </c>
      <c r="BE37" s="179">
        <f ca="1">IF($D37&lt;&gt;"Serviço",0,IF(OR(AND(AUTOEVENTO="Manual",$M37=1),$M37&gt;(ROW(PLE.lastrow)-ROW(PLE.firstrow))),0,IF(OFFSET(PLE!$G$14,$M37,BE$13)="",10^12,OFFSET(PLE!$G$14,$M37,BE$13))))</f>
        <v>1000000000000</v>
      </c>
      <c r="BF37" s="179">
        <f ca="1">IF($D37&lt;&gt;"Serviço",0,IF(OR(AND(AUTOEVENTO="Manual",$M37=1),$M37&gt;(ROW(PLE.lastrow)-ROW(PLE.firstrow))),0,IF(OFFSET(PLE!$G$14,$M37,BF$13)="",10^12,OFFSET(PLE!$G$14,$M37,BF$13))))</f>
        <v>1000000000000</v>
      </c>
      <c r="BG37" s="179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38.25" x14ac:dyDescent="0.2">
      <c r="A38" s="7" t="str">
        <f t="shared" ca="1" si="8"/>
        <v>13</v>
      </c>
      <c r="B38" s="7" t="str">
        <f ca="1">OFFSET(ORÇAMENTO!C$15,ROW(B38)-ROW(B$15),0)</f>
        <v>S</v>
      </c>
      <c r="C38" s="7" t="str">
        <f ca="1">OFFSET(ORÇAMENTO!L$15,ROW(C38)-ROW(C$15),0)</f>
        <v/>
      </c>
      <c r="D38" s="115" t="str">
        <f ca="1">OFFSET(ORÇAMENTO!N$15,ROW(D38)-ROW(D$15),0)</f>
        <v>Serviço</v>
      </c>
      <c r="E38" s="116" t="str">
        <f ca="1">OFFSET(ORÇAMENTO!O$15,ROW(E38)-ROW(E$15),0)</f>
        <v>-</v>
      </c>
      <c r="F38" s="169" t="str">
        <f ca="1">OFFSET(ORÇAMENTO!R$15,ROW(F38)-ROW(F$15),0)</f>
        <v>(abra o arquivo 'Referência 10-2024.xlsm)</v>
      </c>
      <c r="G38" s="170" t="str">
        <f ca="1">IF($D38&lt;&gt;"Serviço","",OFFSET(ORÇAMENTO!S$15,ROW(G38)-ROW(G$15),0))</f>
        <v>-</v>
      </c>
      <c r="H38" s="121">
        <f ca="1">IF($D38&lt;&gt;"Serviço",0,IF(ACOMPANHAMENTO="BM",ROUND(OFFSET(ORÇAMENTO!AJ$15,ROW(H38)-ROW(H$15),0),15-13*ORÇAMENTO!$AF$7),SUMPRODUCT(($Q$12:$AA$12&lt;&gt;"")*ROUND($Q38:$AA38,15-13*ORÇAMENTO!$AF$7))))</f>
        <v>45.76</v>
      </c>
      <c r="I38" s="558" t="s">
        <v>561</v>
      </c>
      <c r="K38" s="171"/>
      <c r="L38" s="172" t="s">
        <v>255</v>
      </c>
      <c r="M38" s="173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174" t="str">
        <f ca="1">IF($D38&lt;&gt;"Serviço","",IF(AUTOEVENTO="Manual",IF($A38=0,"&lt;-- defina o número do agrupador",OFFSET(EVENTOS!$D$14,$A38,0)),OFFSET($F$15,$A38,0)))</f>
        <v>FUNDAÇÕES</v>
      </c>
      <c r="O38" s="175"/>
      <c r="Q38" s="175"/>
      <c r="R38" s="176"/>
      <c r="S38" s="176"/>
      <c r="T38" s="176"/>
      <c r="U38" s="176"/>
      <c r="V38" s="176"/>
      <c r="W38" s="176"/>
      <c r="X38" s="176"/>
      <c r="Y38" s="176"/>
      <c r="Z38" s="177"/>
      <c r="AB38" s="541">
        <f ca="1">IF(AND($D38="Serviço",AB$12&lt;&gt;0,$H38&gt;0,OR(AUTOEVENTO&lt;&gt;"manual",$M38&lt;&gt;1)),
IF(Import.TipoArredondamento&lt;&gt;"TransfereGOV",
ROUND(OFFSET($P38,0,AB$13),15-13*ORÇAMENTO!$AF$7)/$H38*OFFSET(ORÇAMENTO!$X$15,ROW(AB38)-ROW(AB$15),0),
ROUND(ROUND(OFFSET($P38,0,AB$13),15-13*ORÇAMENTO!$AF$7)*OFFSET(ORÇAMENTO!$W$15,ROW(AB38)-ROW(AB$15),0),15-13*ORÇAMENTO!$AF$11)),0)</f>
        <v>0</v>
      </c>
      <c r="AC38" s="542">
        <f ca="1">IF(AND($D38="Serviço",AC$12&lt;&gt;0,$H38&gt;0,OR(AUTOEVENTO&lt;&gt;"manual",$M38&lt;&gt;1)),
IF(Import.TipoArredondamento&lt;&gt;"TransfereGOV",
ROUND(OFFSET($P38,0,AC$13),15-13*ORÇAMENTO!$AF$7)/$H38*OFFSET(ORÇAMENTO!$X$15,ROW(AC38)-ROW(AC$15),0),
ROUND(ROUND(OFFSET($P38,0,AC$13),15-13*ORÇAMENTO!$AF$7)*OFFSET(ORÇAMENTO!$W$15,ROW(AC38)-ROW(AC$15),0),15-13*ORÇAMENTO!$AF$11)),0)</f>
        <v>0</v>
      </c>
      <c r="AD38" s="542">
        <f ca="1">IF(AND($D38="Serviço",AD$12&lt;&gt;0,$H38&gt;0,OR(AUTOEVENTO&lt;&gt;"manual",$M38&lt;&gt;1)),
IF(Import.TipoArredondamento&lt;&gt;"TransfereGOV",
ROUND(OFFSET($P38,0,AD$13),15-13*ORÇAMENTO!$AF$7)/$H38*OFFSET(ORÇAMENTO!$X$15,ROW(AD38)-ROW(AD$15),0),
ROUND(ROUND(OFFSET($P38,0,AD$13),15-13*ORÇAMENTO!$AF$7)*OFFSET(ORÇAMENTO!$W$15,ROW(AD38)-ROW(AD$15),0),15-13*ORÇAMENTO!$AF$11)),0)</f>
        <v>0</v>
      </c>
      <c r="AE38" s="542">
        <f ca="1">IF(AND($D38="Serviço",AE$12&lt;&gt;0,$H38&gt;0,OR(AUTOEVENTO&lt;&gt;"manual",$M38&lt;&gt;1)),
IF(Import.TipoArredondamento&lt;&gt;"TransfereGOV",
ROUND(OFFSET($P38,0,AE$13),15-13*ORÇAMENTO!$AF$7)/$H38*OFFSET(ORÇAMENTO!$X$15,ROW(AE38)-ROW(AE$15),0),
ROUND(ROUND(OFFSET($P38,0,AE$13),15-13*ORÇAMENTO!$AF$7)*OFFSET(ORÇAMENTO!$W$15,ROW(AE38)-ROW(AE$15),0),15-13*ORÇAMENTO!$AF$11)),0)</f>
        <v>0</v>
      </c>
      <c r="AF38" s="542">
        <f ca="1">IF(AND($D38="Serviço",AF$12&lt;&gt;0,$H38&gt;0,OR(AUTOEVENTO&lt;&gt;"manual",$M38&lt;&gt;1)),
IF(Import.TipoArredondamento&lt;&gt;"TransfereGOV",
ROUND(OFFSET($P38,0,AF$13),15-13*ORÇAMENTO!$AF$7)/$H38*OFFSET(ORÇAMENTO!$X$15,ROW(AF38)-ROW(AF$15),0),
ROUND(ROUND(OFFSET($P38,0,AF$13),15-13*ORÇAMENTO!$AF$7)*OFFSET(ORÇAMENTO!$W$15,ROW(AF38)-ROW(AF$15),0),15-13*ORÇAMENTO!$AF$11)),0)</f>
        <v>0</v>
      </c>
      <c r="AG38" s="542">
        <f ca="1">IF(AND($D38="Serviço",AG$12&lt;&gt;0,$H38&gt;0,OR(AUTOEVENTO&lt;&gt;"manual",$M38&lt;&gt;1)),
IF(Import.TipoArredondamento&lt;&gt;"TransfereGOV",
ROUND(OFFSET($P38,0,AG$13),15-13*ORÇAMENTO!$AF$7)/$H38*OFFSET(ORÇAMENTO!$X$15,ROW(AG38)-ROW(AG$15),0),
ROUND(ROUND(OFFSET($P38,0,AG$13),15-13*ORÇAMENTO!$AF$7)*OFFSET(ORÇAMENTO!$W$15,ROW(AG38)-ROW(AG$15),0),15-13*ORÇAMENTO!$AF$11)),0)</f>
        <v>0</v>
      </c>
      <c r="AH38" s="542">
        <f ca="1">IF(AND($D38="Serviço",AH$12&lt;&gt;0,$H38&gt;0,OR(AUTOEVENTO&lt;&gt;"manual",$M38&lt;&gt;1)),
IF(Import.TipoArredondamento&lt;&gt;"TransfereGOV",
ROUND(OFFSET($P38,0,AH$13),15-13*ORÇAMENTO!$AF$7)/$H38*OFFSET(ORÇAMENTO!$X$15,ROW(AH38)-ROW(AH$15),0),
ROUND(ROUND(OFFSET($P38,0,AH$13),15-13*ORÇAMENTO!$AF$7)*OFFSET(ORÇAMENTO!$W$15,ROW(AH38)-ROW(AH$15),0),15-13*ORÇAMENTO!$AF$11)),0)</f>
        <v>0</v>
      </c>
      <c r="AI38" s="542">
        <f ca="1">IF(AND($D38="Serviço",AI$12&lt;&gt;0,$H38&gt;0,OR(AUTOEVENTO&lt;&gt;"manual",$M38&lt;&gt;1)),
IF(Import.TipoArredondamento&lt;&gt;"TransfereGOV",
ROUND(OFFSET($P38,0,AI$13),15-13*ORÇAMENTO!$AF$7)/$H38*OFFSET(ORÇAMENTO!$X$15,ROW(AI38)-ROW(AI$15),0),
ROUND(ROUND(OFFSET($P38,0,AI$13),15-13*ORÇAMENTO!$AF$7)*OFFSET(ORÇAMENTO!$W$15,ROW(AI38)-ROW(AI$15),0),15-13*ORÇAMENTO!$AF$11)),0)</f>
        <v>0</v>
      </c>
      <c r="AJ38" s="542">
        <f ca="1">IF(AND($D38="Serviço",AJ$12&lt;&gt;0,$H38&gt;0,OR(AUTOEVENTO&lt;&gt;"manual",$M38&lt;&gt;1)),
IF(Import.TipoArredondamento&lt;&gt;"TransfereGOV",
ROUND(OFFSET($P38,0,AJ$13),15-13*ORÇAMENTO!$AF$7)/$H38*OFFSET(ORÇAMENTO!$X$15,ROW(AJ38)-ROW(AJ$15),0),
ROUND(ROUND(OFFSET($P38,0,AJ$13),15-13*ORÇAMENTO!$AF$7)*OFFSET(ORÇAMENTO!$W$15,ROW(AJ38)-ROW(AJ$15),0),15-13*ORÇAMENTO!$AF$11)),0)</f>
        <v>0</v>
      </c>
      <c r="AK38" s="543">
        <f ca="1">IF(AND($D38="Serviço",AK$12&lt;&gt;0,$H38&gt;0,OR(AUTOEVENTO&lt;&gt;"manual",$M38&lt;&gt;1)),
IF(Import.TipoArredondamento&lt;&gt;"TransfereGOV",
ROUND(OFFSET($P38,0,AK$13),15-13*ORÇAMENTO!$AF$7)/$H38*OFFSET(ORÇAMENTO!$X$15,ROW(AK38)-ROW(AK$15),0),
ROUND(ROUND(OFFSET($P38,0,AK$13),15-13*ORÇAMENTO!$AF$7)*OFFSET(ORÇAMENTO!$W$15,ROW(AK38)-ROW(AK$15),0),15-13*ORÇAMENTO!$AF$11)),0)</f>
        <v>0</v>
      </c>
      <c r="AM38" s="178">
        <f ca="1">IF($D38&lt;&gt;"Serviço",0,IF(AND(AUTOEVENTO="Manual",$M38=1),0,IF(OFFSET(CRONOPLE!$F$14,$M38,AM$13)="",10^12,OFFSET(CRONOPLE!$F$14,$M38,AM$13))))</f>
        <v>1000000000000</v>
      </c>
      <c r="AN38" s="178">
        <f ca="1">IF($D38&lt;&gt;"Serviço",0,IF(AND(AUTOEVENTO="Manual",$M38=1),0,IF(OFFSET(CRONOPLE!$F$14,$M38,AN$13)="",10^12,OFFSET(CRONOPLE!$F$14,$M38,AN$13))))</f>
        <v>1000000000000</v>
      </c>
      <c r="AO38" s="178">
        <f ca="1">IF($D38&lt;&gt;"Serviço",0,IF(AND(AUTOEVENTO="Manual",$M38=1),0,IF(OFFSET(CRONOPLE!$F$14,$M38,AO$13)="",10^12,OFFSET(CRONOPLE!$F$14,$M38,AO$13))))</f>
        <v>1000000000000</v>
      </c>
      <c r="AP38" s="178">
        <f ca="1">IF($D38&lt;&gt;"Serviço",0,IF(AND(AUTOEVENTO="Manual",$M38=1),0,IF(OFFSET(CRONOPLE!$F$14,$M38,AP$13)="",10^12,OFFSET(CRONOPLE!$F$14,$M38,AP$13))))</f>
        <v>1000000000000</v>
      </c>
      <c r="AQ38" s="178">
        <f ca="1">IF($D38&lt;&gt;"Serviço",0,IF(AND(AUTOEVENTO="Manual",$M38=1),0,IF(OFFSET(CRONOPLE!$F$14,$M38,AQ$13)="",10^12,OFFSET(CRONOPLE!$F$14,$M38,AQ$13))))</f>
        <v>1000000000000</v>
      </c>
      <c r="AR38" s="178">
        <f ca="1">IF($D38&lt;&gt;"Serviço",0,IF(AND(AUTOEVENTO="Manual",$M38=1),0,IF(OFFSET(CRONOPLE!$F$14,$M38,AR$13)="",10^12,OFFSET(CRONOPLE!$F$14,$M38,AR$13))))</f>
        <v>1000000000000</v>
      </c>
      <c r="AS38" s="178">
        <f ca="1">IF($D38&lt;&gt;"Serviço",0,IF(AND(AUTOEVENTO="Manual",$M38=1),0,IF(OFFSET(CRONOPLE!$F$14,$M38,AS$13)="",10^12,OFFSET(CRONOPLE!$F$14,$M38,AS$13))))</f>
        <v>1000000000000</v>
      </c>
      <c r="AT38" s="178">
        <f ca="1">IF($D38&lt;&gt;"Serviço",0,IF(AND(AUTOEVENTO="Manual",$M38=1),0,IF(OFFSET(CRONOPLE!$F$14,$M38,AT$13)="",10^12,OFFSET(CRONOPLE!$F$14,$M38,AT$13))))</f>
        <v>1000000000000</v>
      </c>
      <c r="AU38" s="178">
        <f ca="1">IF($D38&lt;&gt;"Serviço",0,IF(AND(AUTOEVENTO="Manual",$M38=1),0,IF(OFFSET(CRONOPLE!$F$14,$M38,AU$13)="",10^12,OFFSET(CRONOPLE!$F$14,$M38,AU$13))))</f>
        <v>1000000000000</v>
      </c>
      <c r="AV38" s="178">
        <f ca="1">IF($D38&lt;&gt;"Serviço",0,IF(AND(AUTOEVENTO="Manual",$M38=1),0,IF(OFFSET(CRONOPLE!$F$14,$M38,AV$13)="",10^12,OFFSET(CRONOPLE!$F$14,$M38,AV$13))))</f>
        <v>1000000000000</v>
      </c>
      <c r="AX38" s="179">
        <f ca="1">IF($D38&lt;&gt;"Serviço",0,IF(OR(AND(AUTOEVENTO="Manual",$M38=1),$M38&gt;(ROW(PLE.lastrow)-ROW(PLE.firstrow))),0,IF(OFFSET(PLE!$G$14,$M38,AX$13)="",10^12,OFFSET(PLE!$G$14,$M38,AX$13))))</f>
        <v>1000000000000</v>
      </c>
      <c r="AY38" s="179">
        <f ca="1">IF($D38&lt;&gt;"Serviço",0,IF(OR(AND(AUTOEVENTO="Manual",$M38=1),$M38&gt;(ROW(PLE.lastrow)-ROW(PLE.firstrow))),0,IF(OFFSET(PLE!$G$14,$M38,AY$13)="",10^12,OFFSET(PLE!$G$14,$M38,AY$13))))</f>
        <v>1000000000000</v>
      </c>
      <c r="AZ38" s="179">
        <f ca="1">IF($D38&lt;&gt;"Serviço",0,IF(OR(AND(AUTOEVENTO="Manual",$M38=1),$M38&gt;(ROW(PLE.lastrow)-ROW(PLE.firstrow))),0,IF(OFFSET(PLE!$G$14,$M38,AZ$13)="",10^12,OFFSET(PLE!$G$14,$M38,AZ$13))))</f>
        <v>1000000000000</v>
      </c>
      <c r="BA38" s="179">
        <f ca="1">IF($D38&lt;&gt;"Serviço",0,IF(OR(AND(AUTOEVENTO="Manual",$M38=1),$M38&gt;(ROW(PLE.lastrow)-ROW(PLE.firstrow))),0,IF(OFFSET(PLE!$G$14,$M38,BA$13)="",10^12,OFFSET(PLE!$G$14,$M38,BA$13))))</f>
        <v>1000000000000</v>
      </c>
      <c r="BB38" s="179">
        <f ca="1">IF($D38&lt;&gt;"Serviço",0,IF(OR(AND(AUTOEVENTO="Manual",$M38=1),$M38&gt;(ROW(PLE.lastrow)-ROW(PLE.firstrow))),0,IF(OFFSET(PLE!$G$14,$M38,BB$13)="",10^12,OFFSET(PLE!$G$14,$M38,BB$13))))</f>
        <v>1000000000000</v>
      </c>
      <c r="BC38" s="179">
        <f ca="1">IF($D38&lt;&gt;"Serviço",0,IF(OR(AND(AUTOEVENTO="Manual",$M38=1),$M38&gt;(ROW(PLE.lastrow)-ROW(PLE.firstrow))),0,IF(OFFSET(PLE!$G$14,$M38,BC$13)="",10^12,OFFSET(PLE!$G$14,$M38,BC$13))))</f>
        <v>1000000000000</v>
      </c>
      <c r="BD38" s="179">
        <f ca="1">IF($D38&lt;&gt;"Serviço",0,IF(OR(AND(AUTOEVENTO="Manual",$M38=1),$M38&gt;(ROW(PLE.lastrow)-ROW(PLE.firstrow))),0,IF(OFFSET(PLE!$G$14,$M38,BD$13)="",10^12,OFFSET(PLE!$G$14,$M38,BD$13))))</f>
        <v>1000000000000</v>
      </c>
      <c r="BE38" s="179">
        <f ca="1">IF($D38&lt;&gt;"Serviço",0,IF(OR(AND(AUTOEVENTO="Manual",$M38=1),$M38&gt;(ROW(PLE.lastrow)-ROW(PLE.firstrow))),0,IF(OFFSET(PLE!$G$14,$M38,BE$13)="",10^12,OFFSET(PLE!$G$14,$M38,BE$13))))</f>
        <v>1000000000000</v>
      </c>
      <c r="BF38" s="179">
        <f ca="1">IF($D38&lt;&gt;"Serviço",0,IF(OR(AND(AUTOEVENTO="Manual",$M38=1),$M38&gt;(ROW(PLE.lastrow)-ROW(PLE.firstrow))),0,IF(OFFSET(PLE!$G$14,$M38,BF$13)="",10^12,OFFSET(PLE!$G$14,$M38,BF$13))))</f>
        <v>1000000000000</v>
      </c>
      <c r="BG38" s="179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25.5" x14ac:dyDescent="0.2">
      <c r="A39" s="7" t="str">
        <f t="shared" ca="1" si="8"/>
        <v>13</v>
      </c>
      <c r="B39" s="7" t="str">
        <f ca="1">OFFSET(ORÇAMENTO!C$15,ROW(B39)-ROW(B$15),0)</f>
        <v>S</v>
      </c>
      <c r="C39" s="7" t="str">
        <f ca="1">OFFSET(ORÇAMENTO!L$15,ROW(C39)-ROW(C$15),0)</f>
        <v/>
      </c>
      <c r="D39" s="115" t="str">
        <f ca="1">OFFSET(ORÇAMENTO!N$15,ROW(D39)-ROW(D$15),0)</f>
        <v>Serviço</v>
      </c>
      <c r="E39" s="116" t="str">
        <f ca="1">OFFSET(ORÇAMENTO!O$15,ROW(E39)-ROW(E$15),0)</f>
        <v>-</v>
      </c>
      <c r="F39" s="169" t="str">
        <f ca="1">OFFSET(ORÇAMENTO!R$15,ROW(F39)-ROW(F$15),0)</f>
        <v>(abra o arquivo 'Referência 10-2024.xlsm)</v>
      </c>
      <c r="G39" s="170" t="str">
        <f ca="1">IF($D39&lt;&gt;"Serviço","",OFFSET(ORÇAMENTO!S$15,ROW(G39)-ROW(G$15),0))</f>
        <v>-</v>
      </c>
      <c r="H39" s="121">
        <f ca="1">IF($D39&lt;&gt;"Serviço",0,IF(ACOMPANHAMENTO="BM",ROUND(OFFSET(ORÇAMENTO!AJ$15,ROW(H39)-ROW(H$15),0),15-13*ORÇAMENTO!$AF$7),SUMPRODUCT(($Q$12:$AA$12&lt;&gt;"")*ROUND($Q39:$AA39,15-13*ORÇAMENTO!$AF$7))))</f>
        <v>10.8</v>
      </c>
      <c r="I39" s="558" t="s">
        <v>561</v>
      </c>
      <c r="K39" s="171"/>
      <c r="L39" s="172" t="s">
        <v>255</v>
      </c>
      <c r="M39" s="173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174" t="str">
        <f ca="1">IF($D39&lt;&gt;"Serviço","",IF(AUTOEVENTO="Manual",IF($A39=0,"&lt;-- defina o número do agrupador",OFFSET(EVENTOS!$D$14,$A39,0)),OFFSET($F$15,$A39,0)))</f>
        <v>FUNDAÇÕES</v>
      </c>
      <c r="O39" s="175"/>
      <c r="Q39" s="175"/>
      <c r="R39" s="176"/>
      <c r="S39" s="176"/>
      <c r="T39" s="176"/>
      <c r="U39" s="176"/>
      <c r="V39" s="176"/>
      <c r="W39" s="176"/>
      <c r="X39" s="176"/>
      <c r="Y39" s="176"/>
      <c r="Z39" s="177"/>
      <c r="AB39" s="541">
        <f ca="1">IF(AND($D39="Serviço",AB$12&lt;&gt;0,$H39&gt;0,OR(AUTOEVENTO&lt;&gt;"manual",$M39&lt;&gt;1)),
IF(Import.TipoArredondamento&lt;&gt;"TransfereGOV",
ROUND(OFFSET($P39,0,AB$13),15-13*ORÇAMENTO!$AF$7)/$H39*OFFSET(ORÇAMENTO!$X$15,ROW(AB39)-ROW(AB$15),0),
ROUND(ROUND(OFFSET($P39,0,AB$13),15-13*ORÇAMENTO!$AF$7)*OFFSET(ORÇAMENTO!$W$15,ROW(AB39)-ROW(AB$15),0),15-13*ORÇAMENTO!$AF$11)),0)</f>
        <v>0</v>
      </c>
      <c r="AC39" s="542">
        <f ca="1">IF(AND($D39="Serviço",AC$12&lt;&gt;0,$H39&gt;0,OR(AUTOEVENTO&lt;&gt;"manual",$M39&lt;&gt;1)),
IF(Import.TipoArredondamento&lt;&gt;"TransfereGOV",
ROUND(OFFSET($P39,0,AC$13),15-13*ORÇAMENTO!$AF$7)/$H39*OFFSET(ORÇAMENTO!$X$15,ROW(AC39)-ROW(AC$15),0),
ROUND(ROUND(OFFSET($P39,0,AC$13),15-13*ORÇAMENTO!$AF$7)*OFFSET(ORÇAMENTO!$W$15,ROW(AC39)-ROW(AC$15),0),15-13*ORÇAMENTO!$AF$11)),0)</f>
        <v>0</v>
      </c>
      <c r="AD39" s="542">
        <f ca="1">IF(AND($D39="Serviço",AD$12&lt;&gt;0,$H39&gt;0,OR(AUTOEVENTO&lt;&gt;"manual",$M39&lt;&gt;1)),
IF(Import.TipoArredondamento&lt;&gt;"TransfereGOV",
ROUND(OFFSET($P39,0,AD$13),15-13*ORÇAMENTO!$AF$7)/$H39*OFFSET(ORÇAMENTO!$X$15,ROW(AD39)-ROW(AD$15),0),
ROUND(ROUND(OFFSET($P39,0,AD$13),15-13*ORÇAMENTO!$AF$7)*OFFSET(ORÇAMENTO!$W$15,ROW(AD39)-ROW(AD$15),0),15-13*ORÇAMENTO!$AF$11)),0)</f>
        <v>0</v>
      </c>
      <c r="AE39" s="542">
        <f ca="1">IF(AND($D39="Serviço",AE$12&lt;&gt;0,$H39&gt;0,OR(AUTOEVENTO&lt;&gt;"manual",$M39&lt;&gt;1)),
IF(Import.TipoArredondamento&lt;&gt;"TransfereGOV",
ROUND(OFFSET($P39,0,AE$13),15-13*ORÇAMENTO!$AF$7)/$H39*OFFSET(ORÇAMENTO!$X$15,ROW(AE39)-ROW(AE$15),0),
ROUND(ROUND(OFFSET($P39,0,AE$13),15-13*ORÇAMENTO!$AF$7)*OFFSET(ORÇAMENTO!$W$15,ROW(AE39)-ROW(AE$15),0),15-13*ORÇAMENTO!$AF$11)),0)</f>
        <v>0</v>
      </c>
      <c r="AF39" s="542">
        <f ca="1">IF(AND($D39="Serviço",AF$12&lt;&gt;0,$H39&gt;0,OR(AUTOEVENTO&lt;&gt;"manual",$M39&lt;&gt;1)),
IF(Import.TipoArredondamento&lt;&gt;"TransfereGOV",
ROUND(OFFSET($P39,0,AF$13),15-13*ORÇAMENTO!$AF$7)/$H39*OFFSET(ORÇAMENTO!$X$15,ROW(AF39)-ROW(AF$15),0),
ROUND(ROUND(OFFSET($P39,0,AF$13),15-13*ORÇAMENTO!$AF$7)*OFFSET(ORÇAMENTO!$W$15,ROW(AF39)-ROW(AF$15),0),15-13*ORÇAMENTO!$AF$11)),0)</f>
        <v>0</v>
      </c>
      <c r="AG39" s="542">
        <f ca="1">IF(AND($D39="Serviço",AG$12&lt;&gt;0,$H39&gt;0,OR(AUTOEVENTO&lt;&gt;"manual",$M39&lt;&gt;1)),
IF(Import.TipoArredondamento&lt;&gt;"TransfereGOV",
ROUND(OFFSET($P39,0,AG$13),15-13*ORÇAMENTO!$AF$7)/$H39*OFFSET(ORÇAMENTO!$X$15,ROW(AG39)-ROW(AG$15),0),
ROUND(ROUND(OFFSET($P39,0,AG$13),15-13*ORÇAMENTO!$AF$7)*OFFSET(ORÇAMENTO!$W$15,ROW(AG39)-ROW(AG$15),0),15-13*ORÇAMENTO!$AF$11)),0)</f>
        <v>0</v>
      </c>
      <c r="AH39" s="542">
        <f ca="1">IF(AND($D39="Serviço",AH$12&lt;&gt;0,$H39&gt;0,OR(AUTOEVENTO&lt;&gt;"manual",$M39&lt;&gt;1)),
IF(Import.TipoArredondamento&lt;&gt;"TransfereGOV",
ROUND(OFFSET($P39,0,AH$13),15-13*ORÇAMENTO!$AF$7)/$H39*OFFSET(ORÇAMENTO!$X$15,ROW(AH39)-ROW(AH$15),0),
ROUND(ROUND(OFFSET($P39,0,AH$13),15-13*ORÇAMENTO!$AF$7)*OFFSET(ORÇAMENTO!$W$15,ROW(AH39)-ROW(AH$15),0),15-13*ORÇAMENTO!$AF$11)),0)</f>
        <v>0</v>
      </c>
      <c r="AI39" s="542">
        <f ca="1">IF(AND($D39="Serviço",AI$12&lt;&gt;0,$H39&gt;0,OR(AUTOEVENTO&lt;&gt;"manual",$M39&lt;&gt;1)),
IF(Import.TipoArredondamento&lt;&gt;"TransfereGOV",
ROUND(OFFSET($P39,0,AI$13),15-13*ORÇAMENTO!$AF$7)/$H39*OFFSET(ORÇAMENTO!$X$15,ROW(AI39)-ROW(AI$15),0),
ROUND(ROUND(OFFSET($P39,0,AI$13),15-13*ORÇAMENTO!$AF$7)*OFFSET(ORÇAMENTO!$W$15,ROW(AI39)-ROW(AI$15),0),15-13*ORÇAMENTO!$AF$11)),0)</f>
        <v>0</v>
      </c>
      <c r="AJ39" s="542">
        <f ca="1">IF(AND($D39="Serviço",AJ$12&lt;&gt;0,$H39&gt;0,OR(AUTOEVENTO&lt;&gt;"manual",$M39&lt;&gt;1)),
IF(Import.TipoArredondamento&lt;&gt;"TransfereGOV",
ROUND(OFFSET($P39,0,AJ$13),15-13*ORÇAMENTO!$AF$7)/$H39*OFFSET(ORÇAMENTO!$X$15,ROW(AJ39)-ROW(AJ$15),0),
ROUND(ROUND(OFFSET($P39,0,AJ$13),15-13*ORÇAMENTO!$AF$7)*OFFSET(ORÇAMENTO!$W$15,ROW(AJ39)-ROW(AJ$15),0),15-13*ORÇAMENTO!$AF$11)),0)</f>
        <v>0</v>
      </c>
      <c r="AK39" s="543">
        <f ca="1">IF(AND($D39="Serviço",AK$12&lt;&gt;0,$H39&gt;0,OR(AUTOEVENTO&lt;&gt;"manual",$M39&lt;&gt;1)),
IF(Import.TipoArredondamento&lt;&gt;"TransfereGOV",
ROUND(OFFSET($P39,0,AK$13),15-13*ORÇAMENTO!$AF$7)/$H39*OFFSET(ORÇAMENTO!$X$15,ROW(AK39)-ROW(AK$15),0),
ROUND(ROUND(OFFSET($P39,0,AK$13),15-13*ORÇAMENTO!$AF$7)*OFFSET(ORÇAMENTO!$W$15,ROW(AK39)-ROW(AK$15),0),15-13*ORÇAMENTO!$AF$11)),0)</f>
        <v>0</v>
      </c>
      <c r="AM39" s="178">
        <f ca="1">IF($D39&lt;&gt;"Serviço",0,IF(AND(AUTOEVENTO="Manual",$M39=1),0,IF(OFFSET(CRONOPLE!$F$14,$M39,AM$13)="",10^12,OFFSET(CRONOPLE!$F$14,$M39,AM$13))))</f>
        <v>1000000000000</v>
      </c>
      <c r="AN39" s="178">
        <f ca="1">IF($D39&lt;&gt;"Serviço",0,IF(AND(AUTOEVENTO="Manual",$M39=1),0,IF(OFFSET(CRONOPLE!$F$14,$M39,AN$13)="",10^12,OFFSET(CRONOPLE!$F$14,$M39,AN$13))))</f>
        <v>1000000000000</v>
      </c>
      <c r="AO39" s="178">
        <f ca="1">IF($D39&lt;&gt;"Serviço",0,IF(AND(AUTOEVENTO="Manual",$M39=1),0,IF(OFFSET(CRONOPLE!$F$14,$M39,AO$13)="",10^12,OFFSET(CRONOPLE!$F$14,$M39,AO$13))))</f>
        <v>1000000000000</v>
      </c>
      <c r="AP39" s="178">
        <f ca="1">IF($D39&lt;&gt;"Serviço",0,IF(AND(AUTOEVENTO="Manual",$M39=1),0,IF(OFFSET(CRONOPLE!$F$14,$M39,AP$13)="",10^12,OFFSET(CRONOPLE!$F$14,$M39,AP$13))))</f>
        <v>1000000000000</v>
      </c>
      <c r="AQ39" s="178">
        <f ca="1">IF($D39&lt;&gt;"Serviço",0,IF(AND(AUTOEVENTO="Manual",$M39=1),0,IF(OFFSET(CRONOPLE!$F$14,$M39,AQ$13)="",10^12,OFFSET(CRONOPLE!$F$14,$M39,AQ$13))))</f>
        <v>1000000000000</v>
      </c>
      <c r="AR39" s="178">
        <f ca="1">IF($D39&lt;&gt;"Serviço",0,IF(AND(AUTOEVENTO="Manual",$M39=1),0,IF(OFFSET(CRONOPLE!$F$14,$M39,AR$13)="",10^12,OFFSET(CRONOPLE!$F$14,$M39,AR$13))))</f>
        <v>1000000000000</v>
      </c>
      <c r="AS39" s="178">
        <f ca="1">IF($D39&lt;&gt;"Serviço",0,IF(AND(AUTOEVENTO="Manual",$M39=1),0,IF(OFFSET(CRONOPLE!$F$14,$M39,AS$13)="",10^12,OFFSET(CRONOPLE!$F$14,$M39,AS$13))))</f>
        <v>1000000000000</v>
      </c>
      <c r="AT39" s="178">
        <f ca="1">IF($D39&lt;&gt;"Serviço",0,IF(AND(AUTOEVENTO="Manual",$M39=1),0,IF(OFFSET(CRONOPLE!$F$14,$M39,AT$13)="",10^12,OFFSET(CRONOPLE!$F$14,$M39,AT$13))))</f>
        <v>1000000000000</v>
      </c>
      <c r="AU39" s="178">
        <f ca="1">IF($D39&lt;&gt;"Serviço",0,IF(AND(AUTOEVENTO="Manual",$M39=1),0,IF(OFFSET(CRONOPLE!$F$14,$M39,AU$13)="",10^12,OFFSET(CRONOPLE!$F$14,$M39,AU$13))))</f>
        <v>1000000000000</v>
      </c>
      <c r="AV39" s="178">
        <f ca="1">IF($D39&lt;&gt;"Serviço",0,IF(AND(AUTOEVENTO="Manual",$M39=1),0,IF(OFFSET(CRONOPLE!$F$14,$M39,AV$13)="",10^12,OFFSET(CRONOPLE!$F$14,$M39,AV$13))))</f>
        <v>1000000000000</v>
      </c>
      <c r="AX39" s="179">
        <f ca="1">IF($D39&lt;&gt;"Serviço",0,IF(OR(AND(AUTOEVENTO="Manual",$M39=1),$M39&gt;(ROW(PLE.lastrow)-ROW(PLE.firstrow))),0,IF(OFFSET(PLE!$G$14,$M39,AX$13)="",10^12,OFFSET(PLE!$G$14,$M39,AX$13))))</f>
        <v>1000000000000</v>
      </c>
      <c r="AY39" s="179">
        <f ca="1">IF($D39&lt;&gt;"Serviço",0,IF(OR(AND(AUTOEVENTO="Manual",$M39=1),$M39&gt;(ROW(PLE.lastrow)-ROW(PLE.firstrow))),0,IF(OFFSET(PLE!$G$14,$M39,AY$13)="",10^12,OFFSET(PLE!$G$14,$M39,AY$13))))</f>
        <v>1000000000000</v>
      </c>
      <c r="AZ39" s="179">
        <f ca="1">IF($D39&lt;&gt;"Serviço",0,IF(OR(AND(AUTOEVENTO="Manual",$M39=1),$M39&gt;(ROW(PLE.lastrow)-ROW(PLE.firstrow))),0,IF(OFFSET(PLE!$G$14,$M39,AZ$13)="",10^12,OFFSET(PLE!$G$14,$M39,AZ$13))))</f>
        <v>1000000000000</v>
      </c>
      <c r="BA39" s="179">
        <f ca="1">IF($D39&lt;&gt;"Serviço",0,IF(OR(AND(AUTOEVENTO="Manual",$M39=1),$M39&gt;(ROW(PLE.lastrow)-ROW(PLE.firstrow))),0,IF(OFFSET(PLE!$G$14,$M39,BA$13)="",10^12,OFFSET(PLE!$G$14,$M39,BA$13))))</f>
        <v>1000000000000</v>
      </c>
      <c r="BB39" s="179">
        <f ca="1">IF($D39&lt;&gt;"Serviço",0,IF(OR(AND(AUTOEVENTO="Manual",$M39=1),$M39&gt;(ROW(PLE.lastrow)-ROW(PLE.firstrow))),0,IF(OFFSET(PLE!$G$14,$M39,BB$13)="",10^12,OFFSET(PLE!$G$14,$M39,BB$13))))</f>
        <v>1000000000000</v>
      </c>
      <c r="BC39" s="179">
        <f ca="1">IF($D39&lt;&gt;"Serviço",0,IF(OR(AND(AUTOEVENTO="Manual",$M39=1),$M39&gt;(ROW(PLE.lastrow)-ROW(PLE.firstrow))),0,IF(OFFSET(PLE!$G$14,$M39,BC$13)="",10^12,OFFSET(PLE!$G$14,$M39,BC$13))))</f>
        <v>1000000000000</v>
      </c>
      <c r="BD39" s="179">
        <f ca="1">IF($D39&lt;&gt;"Serviço",0,IF(OR(AND(AUTOEVENTO="Manual",$M39=1),$M39&gt;(ROW(PLE.lastrow)-ROW(PLE.firstrow))),0,IF(OFFSET(PLE!$G$14,$M39,BD$13)="",10^12,OFFSET(PLE!$G$14,$M39,BD$13))))</f>
        <v>1000000000000</v>
      </c>
      <c r="BE39" s="179">
        <f ca="1">IF($D39&lt;&gt;"Serviço",0,IF(OR(AND(AUTOEVENTO="Manual",$M39=1),$M39&gt;(ROW(PLE.lastrow)-ROW(PLE.firstrow))),0,IF(OFFSET(PLE!$G$14,$M39,BE$13)="",10^12,OFFSET(PLE!$G$14,$M39,BE$13))))</f>
        <v>1000000000000</v>
      </c>
      <c r="BF39" s="179">
        <f ca="1">IF($D39&lt;&gt;"Serviço",0,IF(OR(AND(AUTOEVENTO="Manual",$M39=1),$M39&gt;(ROW(PLE.lastrow)-ROW(PLE.firstrow))),0,IF(OFFSET(PLE!$G$14,$M39,BF$13)="",10^12,OFFSET(PLE!$G$14,$M39,BF$13))))</f>
        <v>1000000000000</v>
      </c>
      <c r="BG39" s="179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38.25" x14ac:dyDescent="0.2">
      <c r="A40" s="7" t="str">
        <f t="shared" ca="1" si="8"/>
        <v>13</v>
      </c>
      <c r="B40" s="7" t="str">
        <f ca="1">OFFSET(ORÇAMENTO!C$15,ROW(B40)-ROW(B$15),0)</f>
        <v>S</v>
      </c>
      <c r="C40" s="7" t="str">
        <f ca="1">OFFSET(ORÇAMENTO!L$15,ROW(C40)-ROW(C$15),0)</f>
        <v/>
      </c>
      <c r="D40" s="115" t="str">
        <f ca="1">OFFSET(ORÇAMENTO!N$15,ROW(D40)-ROW(D$15),0)</f>
        <v>Serviço</v>
      </c>
      <c r="E40" s="116" t="str">
        <f ca="1">OFFSET(ORÇAMENTO!O$15,ROW(E40)-ROW(E$15),0)</f>
        <v>-</v>
      </c>
      <c r="F40" s="169" t="str">
        <f ca="1">OFFSET(ORÇAMENTO!R$15,ROW(F40)-ROW(F$15),0)</f>
        <v>(abra o arquivo 'Referência 10-2024.xlsm)</v>
      </c>
      <c r="G40" s="170" t="str">
        <f ca="1">IF($D40&lt;&gt;"Serviço","",OFFSET(ORÇAMENTO!S$15,ROW(G40)-ROW(G$15),0))</f>
        <v>-</v>
      </c>
      <c r="H40" s="121">
        <f ca="1">IF($D40&lt;&gt;"Serviço",0,IF(ACOMPANHAMENTO="BM",ROUND(OFFSET(ORÇAMENTO!AJ$15,ROW(H40)-ROW(H$15),0),15-13*ORÇAMENTO!$AF$7),SUMPRODUCT(($Q$12:$AA$12&lt;&gt;"")*ROUND($Q40:$AA40,15-13*ORÇAMENTO!$AF$7))))</f>
        <v>78.37</v>
      </c>
      <c r="I40" s="558" t="s">
        <v>561</v>
      </c>
      <c r="K40" s="171"/>
      <c r="L40" s="172" t="s">
        <v>255</v>
      </c>
      <c r="M40" s="173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174" t="str">
        <f ca="1">IF($D40&lt;&gt;"Serviço","",IF(AUTOEVENTO="Manual",IF($A40=0,"&lt;-- defina o número do agrupador",OFFSET(EVENTOS!$D$14,$A40,0)),OFFSET($F$15,$A40,0)))</f>
        <v>FUNDAÇÕES</v>
      </c>
      <c r="O40" s="175"/>
      <c r="Q40" s="175"/>
      <c r="R40" s="176"/>
      <c r="S40" s="176"/>
      <c r="T40" s="176"/>
      <c r="U40" s="176"/>
      <c r="V40" s="176"/>
      <c r="W40" s="176"/>
      <c r="X40" s="176"/>
      <c r="Y40" s="176"/>
      <c r="Z40" s="177"/>
      <c r="AB40" s="541">
        <f ca="1">IF(AND($D40="Serviço",AB$12&lt;&gt;0,$H40&gt;0,OR(AUTOEVENTO&lt;&gt;"manual",$M40&lt;&gt;1)),
IF(Import.TipoArredondamento&lt;&gt;"TransfereGOV",
ROUND(OFFSET($P40,0,AB$13),15-13*ORÇAMENTO!$AF$7)/$H40*OFFSET(ORÇAMENTO!$X$15,ROW(AB40)-ROW(AB$15),0),
ROUND(ROUND(OFFSET($P40,0,AB$13),15-13*ORÇAMENTO!$AF$7)*OFFSET(ORÇAMENTO!$W$15,ROW(AB40)-ROW(AB$15),0),15-13*ORÇAMENTO!$AF$11)),0)</f>
        <v>0</v>
      </c>
      <c r="AC40" s="542">
        <f ca="1">IF(AND($D40="Serviço",AC$12&lt;&gt;0,$H40&gt;0,OR(AUTOEVENTO&lt;&gt;"manual",$M40&lt;&gt;1)),
IF(Import.TipoArredondamento&lt;&gt;"TransfereGOV",
ROUND(OFFSET($P40,0,AC$13),15-13*ORÇAMENTO!$AF$7)/$H40*OFFSET(ORÇAMENTO!$X$15,ROW(AC40)-ROW(AC$15),0),
ROUND(ROUND(OFFSET($P40,0,AC$13),15-13*ORÇAMENTO!$AF$7)*OFFSET(ORÇAMENTO!$W$15,ROW(AC40)-ROW(AC$15),0),15-13*ORÇAMENTO!$AF$11)),0)</f>
        <v>0</v>
      </c>
      <c r="AD40" s="542">
        <f ca="1">IF(AND($D40="Serviço",AD$12&lt;&gt;0,$H40&gt;0,OR(AUTOEVENTO&lt;&gt;"manual",$M40&lt;&gt;1)),
IF(Import.TipoArredondamento&lt;&gt;"TransfereGOV",
ROUND(OFFSET($P40,0,AD$13),15-13*ORÇAMENTO!$AF$7)/$H40*OFFSET(ORÇAMENTO!$X$15,ROW(AD40)-ROW(AD$15),0),
ROUND(ROUND(OFFSET($P40,0,AD$13),15-13*ORÇAMENTO!$AF$7)*OFFSET(ORÇAMENTO!$W$15,ROW(AD40)-ROW(AD$15),0),15-13*ORÇAMENTO!$AF$11)),0)</f>
        <v>0</v>
      </c>
      <c r="AE40" s="542">
        <f ca="1">IF(AND($D40="Serviço",AE$12&lt;&gt;0,$H40&gt;0,OR(AUTOEVENTO&lt;&gt;"manual",$M40&lt;&gt;1)),
IF(Import.TipoArredondamento&lt;&gt;"TransfereGOV",
ROUND(OFFSET($P40,0,AE$13),15-13*ORÇAMENTO!$AF$7)/$H40*OFFSET(ORÇAMENTO!$X$15,ROW(AE40)-ROW(AE$15),0),
ROUND(ROUND(OFFSET($P40,0,AE$13),15-13*ORÇAMENTO!$AF$7)*OFFSET(ORÇAMENTO!$W$15,ROW(AE40)-ROW(AE$15),0),15-13*ORÇAMENTO!$AF$11)),0)</f>
        <v>0</v>
      </c>
      <c r="AF40" s="542">
        <f ca="1">IF(AND($D40="Serviço",AF$12&lt;&gt;0,$H40&gt;0,OR(AUTOEVENTO&lt;&gt;"manual",$M40&lt;&gt;1)),
IF(Import.TipoArredondamento&lt;&gt;"TransfereGOV",
ROUND(OFFSET($P40,0,AF$13),15-13*ORÇAMENTO!$AF$7)/$H40*OFFSET(ORÇAMENTO!$X$15,ROW(AF40)-ROW(AF$15),0),
ROUND(ROUND(OFFSET($P40,0,AF$13),15-13*ORÇAMENTO!$AF$7)*OFFSET(ORÇAMENTO!$W$15,ROW(AF40)-ROW(AF$15),0),15-13*ORÇAMENTO!$AF$11)),0)</f>
        <v>0</v>
      </c>
      <c r="AG40" s="542">
        <f ca="1">IF(AND($D40="Serviço",AG$12&lt;&gt;0,$H40&gt;0,OR(AUTOEVENTO&lt;&gt;"manual",$M40&lt;&gt;1)),
IF(Import.TipoArredondamento&lt;&gt;"TransfereGOV",
ROUND(OFFSET($P40,0,AG$13),15-13*ORÇAMENTO!$AF$7)/$H40*OFFSET(ORÇAMENTO!$X$15,ROW(AG40)-ROW(AG$15),0),
ROUND(ROUND(OFFSET($P40,0,AG$13),15-13*ORÇAMENTO!$AF$7)*OFFSET(ORÇAMENTO!$W$15,ROW(AG40)-ROW(AG$15),0),15-13*ORÇAMENTO!$AF$11)),0)</f>
        <v>0</v>
      </c>
      <c r="AH40" s="542">
        <f ca="1">IF(AND($D40="Serviço",AH$12&lt;&gt;0,$H40&gt;0,OR(AUTOEVENTO&lt;&gt;"manual",$M40&lt;&gt;1)),
IF(Import.TipoArredondamento&lt;&gt;"TransfereGOV",
ROUND(OFFSET($P40,0,AH$13),15-13*ORÇAMENTO!$AF$7)/$H40*OFFSET(ORÇAMENTO!$X$15,ROW(AH40)-ROW(AH$15),0),
ROUND(ROUND(OFFSET($P40,0,AH$13),15-13*ORÇAMENTO!$AF$7)*OFFSET(ORÇAMENTO!$W$15,ROW(AH40)-ROW(AH$15),0),15-13*ORÇAMENTO!$AF$11)),0)</f>
        <v>0</v>
      </c>
      <c r="AI40" s="542">
        <f ca="1">IF(AND($D40="Serviço",AI$12&lt;&gt;0,$H40&gt;0,OR(AUTOEVENTO&lt;&gt;"manual",$M40&lt;&gt;1)),
IF(Import.TipoArredondamento&lt;&gt;"TransfereGOV",
ROUND(OFFSET($P40,0,AI$13),15-13*ORÇAMENTO!$AF$7)/$H40*OFFSET(ORÇAMENTO!$X$15,ROW(AI40)-ROW(AI$15),0),
ROUND(ROUND(OFFSET($P40,0,AI$13),15-13*ORÇAMENTO!$AF$7)*OFFSET(ORÇAMENTO!$W$15,ROW(AI40)-ROW(AI$15),0),15-13*ORÇAMENTO!$AF$11)),0)</f>
        <v>0</v>
      </c>
      <c r="AJ40" s="542">
        <f ca="1">IF(AND($D40="Serviço",AJ$12&lt;&gt;0,$H40&gt;0,OR(AUTOEVENTO&lt;&gt;"manual",$M40&lt;&gt;1)),
IF(Import.TipoArredondamento&lt;&gt;"TransfereGOV",
ROUND(OFFSET($P40,0,AJ$13),15-13*ORÇAMENTO!$AF$7)/$H40*OFFSET(ORÇAMENTO!$X$15,ROW(AJ40)-ROW(AJ$15),0),
ROUND(ROUND(OFFSET($P40,0,AJ$13),15-13*ORÇAMENTO!$AF$7)*OFFSET(ORÇAMENTO!$W$15,ROW(AJ40)-ROW(AJ$15),0),15-13*ORÇAMENTO!$AF$11)),0)</f>
        <v>0</v>
      </c>
      <c r="AK40" s="543">
        <f ca="1">IF(AND($D40="Serviço",AK$12&lt;&gt;0,$H40&gt;0,OR(AUTOEVENTO&lt;&gt;"manual",$M40&lt;&gt;1)),
IF(Import.TipoArredondamento&lt;&gt;"TransfereGOV",
ROUND(OFFSET($P40,0,AK$13),15-13*ORÇAMENTO!$AF$7)/$H40*OFFSET(ORÇAMENTO!$X$15,ROW(AK40)-ROW(AK$15),0),
ROUND(ROUND(OFFSET($P40,0,AK$13),15-13*ORÇAMENTO!$AF$7)*OFFSET(ORÇAMENTO!$W$15,ROW(AK40)-ROW(AK$15),0),15-13*ORÇAMENTO!$AF$11)),0)</f>
        <v>0</v>
      </c>
      <c r="AM40" s="178">
        <f ca="1">IF($D40&lt;&gt;"Serviço",0,IF(AND(AUTOEVENTO="Manual",$M40=1),0,IF(OFFSET(CRONOPLE!$F$14,$M40,AM$13)="",10^12,OFFSET(CRONOPLE!$F$14,$M40,AM$13))))</f>
        <v>1000000000000</v>
      </c>
      <c r="AN40" s="178">
        <f ca="1">IF($D40&lt;&gt;"Serviço",0,IF(AND(AUTOEVENTO="Manual",$M40=1),0,IF(OFFSET(CRONOPLE!$F$14,$M40,AN$13)="",10^12,OFFSET(CRONOPLE!$F$14,$M40,AN$13))))</f>
        <v>1000000000000</v>
      </c>
      <c r="AO40" s="178">
        <f ca="1">IF($D40&lt;&gt;"Serviço",0,IF(AND(AUTOEVENTO="Manual",$M40=1),0,IF(OFFSET(CRONOPLE!$F$14,$M40,AO$13)="",10^12,OFFSET(CRONOPLE!$F$14,$M40,AO$13))))</f>
        <v>1000000000000</v>
      </c>
      <c r="AP40" s="178">
        <f ca="1">IF($D40&lt;&gt;"Serviço",0,IF(AND(AUTOEVENTO="Manual",$M40=1),0,IF(OFFSET(CRONOPLE!$F$14,$M40,AP$13)="",10^12,OFFSET(CRONOPLE!$F$14,$M40,AP$13))))</f>
        <v>1000000000000</v>
      </c>
      <c r="AQ40" s="178">
        <f ca="1">IF($D40&lt;&gt;"Serviço",0,IF(AND(AUTOEVENTO="Manual",$M40=1),0,IF(OFFSET(CRONOPLE!$F$14,$M40,AQ$13)="",10^12,OFFSET(CRONOPLE!$F$14,$M40,AQ$13))))</f>
        <v>1000000000000</v>
      </c>
      <c r="AR40" s="178">
        <f ca="1">IF($D40&lt;&gt;"Serviço",0,IF(AND(AUTOEVENTO="Manual",$M40=1),0,IF(OFFSET(CRONOPLE!$F$14,$M40,AR$13)="",10^12,OFFSET(CRONOPLE!$F$14,$M40,AR$13))))</f>
        <v>1000000000000</v>
      </c>
      <c r="AS40" s="178">
        <f ca="1">IF($D40&lt;&gt;"Serviço",0,IF(AND(AUTOEVENTO="Manual",$M40=1),0,IF(OFFSET(CRONOPLE!$F$14,$M40,AS$13)="",10^12,OFFSET(CRONOPLE!$F$14,$M40,AS$13))))</f>
        <v>1000000000000</v>
      </c>
      <c r="AT40" s="178">
        <f ca="1">IF($D40&lt;&gt;"Serviço",0,IF(AND(AUTOEVENTO="Manual",$M40=1),0,IF(OFFSET(CRONOPLE!$F$14,$M40,AT$13)="",10^12,OFFSET(CRONOPLE!$F$14,$M40,AT$13))))</f>
        <v>1000000000000</v>
      </c>
      <c r="AU40" s="178">
        <f ca="1">IF($D40&lt;&gt;"Serviço",0,IF(AND(AUTOEVENTO="Manual",$M40=1),0,IF(OFFSET(CRONOPLE!$F$14,$M40,AU$13)="",10^12,OFFSET(CRONOPLE!$F$14,$M40,AU$13))))</f>
        <v>1000000000000</v>
      </c>
      <c r="AV40" s="178">
        <f ca="1">IF($D40&lt;&gt;"Serviço",0,IF(AND(AUTOEVENTO="Manual",$M40=1),0,IF(OFFSET(CRONOPLE!$F$14,$M40,AV$13)="",10^12,OFFSET(CRONOPLE!$F$14,$M40,AV$13))))</f>
        <v>1000000000000</v>
      </c>
      <c r="AX40" s="179">
        <f ca="1">IF($D40&lt;&gt;"Serviço",0,IF(OR(AND(AUTOEVENTO="Manual",$M40=1),$M40&gt;(ROW(PLE.lastrow)-ROW(PLE.firstrow))),0,IF(OFFSET(PLE!$G$14,$M40,AX$13)="",10^12,OFFSET(PLE!$G$14,$M40,AX$13))))</f>
        <v>1000000000000</v>
      </c>
      <c r="AY40" s="179">
        <f ca="1">IF($D40&lt;&gt;"Serviço",0,IF(OR(AND(AUTOEVENTO="Manual",$M40=1),$M40&gt;(ROW(PLE.lastrow)-ROW(PLE.firstrow))),0,IF(OFFSET(PLE!$G$14,$M40,AY$13)="",10^12,OFFSET(PLE!$G$14,$M40,AY$13))))</f>
        <v>1000000000000</v>
      </c>
      <c r="AZ40" s="179">
        <f ca="1">IF($D40&lt;&gt;"Serviço",0,IF(OR(AND(AUTOEVENTO="Manual",$M40=1),$M40&gt;(ROW(PLE.lastrow)-ROW(PLE.firstrow))),0,IF(OFFSET(PLE!$G$14,$M40,AZ$13)="",10^12,OFFSET(PLE!$G$14,$M40,AZ$13))))</f>
        <v>1000000000000</v>
      </c>
      <c r="BA40" s="179">
        <f ca="1">IF($D40&lt;&gt;"Serviço",0,IF(OR(AND(AUTOEVENTO="Manual",$M40=1),$M40&gt;(ROW(PLE.lastrow)-ROW(PLE.firstrow))),0,IF(OFFSET(PLE!$G$14,$M40,BA$13)="",10^12,OFFSET(PLE!$G$14,$M40,BA$13))))</f>
        <v>1000000000000</v>
      </c>
      <c r="BB40" s="179">
        <f ca="1">IF($D40&lt;&gt;"Serviço",0,IF(OR(AND(AUTOEVENTO="Manual",$M40=1),$M40&gt;(ROW(PLE.lastrow)-ROW(PLE.firstrow))),0,IF(OFFSET(PLE!$G$14,$M40,BB$13)="",10^12,OFFSET(PLE!$G$14,$M40,BB$13))))</f>
        <v>1000000000000</v>
      </c>
      <c r="BC40" s="179">
        <f ca="1">IF($D40&lt;&gt;"Serviço",0,IF(OR(AND(AUTOEVENTO="Manual",$M40=1),$M40&gt;(ROW(PLE.lastrow)-ROW(PLE.firstrow))),0,IF(OFFSET(PLE!$G$14,$M40,BC$13)="",10^12,OFFSET(PLE!$G$14,$M40,BC$13))))</f>
        <v>1000000000000</v>
      </c>
      <c r="BD40" s="179">
        <f ca="1">IF($D40&lt;&gt;"Serviço",0,IF(OR(AND(AUTOEVENTO="Manual",$M40=1),$M40&gt;(ROW(PLE.lastrow)-ROW(PLE.firstrow))),0,IF(OFFSET(PLE!$G$14,$M40,BD$13)="",10^12,OFFSET(PLE!$G$14,$M40,BD$13))))</f>
        <v>1000000000000</v>
      </c>
      <c r="BE40" s="179">
        <f ca="1">IF($D40&lt;&gt;"Serviço",0,IF(OR(AND(AUTOEVENTO="Manual",$M40=1),$M40&gt;(ROW(PLE.lastrow)-ROW(PLE.firstrow))),0,IF(OFFSET(PLE!$G$14,$M40,BE$13)="",10^12,OFFSET(PLE!$G$14,$M40,BE$13))))</f>
        <v>1000000000000</v>
      </c>
      <c r="BF40" s="179">
        <f ca="1">IF($D40&lt;&gt;"Serviço",0,IF(OR(AND(AUTOEVENTO="Manual",$M40=1),$M40&gt;(ROW(PLE.lastrow)-ROW(PLE.firstrow))),0,IF(OFFSET(PLE!$G$14,$M40,BF$13)="",10^12,OFFSET(PLE!$G$14,$M40,BF$13))))</f>
        <v>1000000000000</v>
      </c>
      <c r="BG40" s="179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38.25" x14ac:dyDescent="0.2">
      <c r="A41" s="7" t="str">
        <f t="shared" ca="1" si="8"/>
        <v>13</v>
      </c>
      <c r="B41" s="7" t="str">
        <f ca="1">OFFSET(ORÇAMENTO!C$15,ROW(B41)-ROW(B$15),0)</f>
        <v>S</v>
      </c>
      <c r="C41" s="7" t="str">
        <f ca="1">OFFSET(ORÇAMENTO!L$15,ROW(C41)-ROW(C$15),0)</f>
        <v/>
      </c>
      <c r="D41" s="115" t="str">
        <f ca="1">OFFSET(ORÇAMENTO!N$15,ROW(D41)-ROW(D$15),0)</f>
        <v>Serviço</v>
      </c>
      <c r="E41" s="116" t="str">
        <f ca="1">OFFSET(ORÇAMENTO!O$15,ROW(E41)-ROW(E$15),0)</f>
        <v>-</v>
      </c>
      <c r="F41" s="169" t="str">
        <f ca="1">OFFSET(ORÇAMENTO!R$15,ROW(F41)-ROW(F$15),0)</f>
        <v>(abra o arquivo 'Referência 10-2024.xlsm)</v>
      </c>
      <c r="G41" s="170" t="str">
        <f ca="1">IF($D41&lt;&gt;"Serviço","",OFFSET(ORÇAMENTO!S$15,ROW(G41)-ROW(G$15),0))</f>
        <v>-</v>
      </c>
      <c r="H41" s="121">
        <f ca="1">IF($D41&lt;&gt;"Serviço",0,IF(ACOMPANHAMENTO="BM",ROUND(OFFSET(ORÇAMENTO!AJ$15,ROW(H41)-ROW(H$15),0),15-13*ORÇAMENTO!$AF$7),SUMPRODUCT(($Q$12:$AA$12&lt;&gt;"")*ROUND($Q41:$AA41,15-13*ORÇAMENTO!$AF$7))))</f>
        <v>40</v>
      </c>
      <c r="I41" s="558" t="s">
        <v>560</v>
      </c>
      <c r="K41" s="171"/>
      <c r="L41" s="172" t="s">
        <v>255</v>
      </c>
      <c r="M41" s="173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174" t="str">
        <f ca="1">IF($D41&lt;&gt;"Serviço","",IF(AUTOEVENTO="Manual",IF($A41=0,"&lt;-- defina o número do agrupador",OFFSET(EVENTOS!$D$14,$A41,0)),OFFSET($F$15,$A41,0)))</f>
        <v>FUNDAÇÕES</v>
      </c>
      <c r="O41" s="175"/>
      <c r="Q41" s="175"/>
      <c r="R41" s="176"/>
      <c r="S41" s="176"/>
      <c r="T41" s="176"/>
      <c r="U41" s="176"/>
      <c r="V41" s="176"/>
      <c r="W41" s="176"/>
      <c r="X41" s="176"/>
      <c r="Y41" s="176"/>
      <c r="Z41" s="177"/>
      <c r="AB41" s="541">
        <f ca="1">IF(AND($D41="Serviço",AB$12&lt;&gt;0,$H41&gt;0,OR(AUTOEVENTO&lt;&gt;"manual",$M41&lt;&gt;1)),
IF(Import.TipoArredondamento&lt;&gt;"TransfereGOV",
ROUND(OFFSET($P41,0,AB$13),15-13*ORÇAMENTO!$AF$7)/$H41*OFFSET(ORÇAMENTO!$X$15,ROW(AB41)-ROW(AB$15),0),
ROUND(ROUND(OFFSET($P41,0,AB$13),15-13*ORÇAMENTO!$AF$7)*OFFSET(ORÇAMENTO!$W$15,ROW(AB41)-ROW(AB$15),0),15-13*ORÇAMENTO!$AF$11)),0)</f>
        <v>0</v>
      </c>
      <c r="AC41" s="542">
        <f ca="1">IF(AND($D41="Serviço",AC$12&lt;&gt;0,$H41&gt;0,OR(AUTOEVENTO&lt;&gt;"manual",$M41&lt;&gt;1)),
IF(Import.TipoArredondamento&lt;&gt;"TransfereGOV",
ROUND(OFFSET($P41,0,AC$13),15-13*ORÇAMENTO!$AF$7)/$H41*OFFSET(ORÇAMENTO!$X$15,ROW(AC41)-ROW(AC$15),0),
ROUND(ROUND(OFFSET($P41,0,AC$13),15-13*ORÇAMENTO!$AF$7)*OFFSET(ORÇAMENTO!$W$15,ROW(AC41)-ROW(AC$15),0),15-13*ORÇAMENTO!$AF$11)),0)</f>
        <v>0</v>
      </c>
      <c r="AD41" s="542">
        <f ca="1">IF(AND($D41="Serviço",AD$12&lt;&gt;0,$H41&gt;0,OR(AUTOEVENTO&lt;&gt;"manual",$M41&lt;&gt;1)),
IF(Import.TipoArredondamento&lt;&gt;"TransfereGOV",
ROUND(OFFSET($P41,0,AD$13),15-13*ORÇAMENTO!$AF$7)/$H41*OFFSET(ORÇAMENTO!$X$15,ROW(AD41)-ROW(AD$15),0),
ROUND(ROUND(OFFSET($P41,0,AD$13),15-13*ORÇAMENTO!$AF$7)*OFFSET(ORÇAMENTO!$W$15,ROW(AD41)-ROW(AD$15),0),15-13*ORÇAMENTO!$AF$11)),0)</f>
        <v>0</v>
      </c>
      <c r="AE41" s="542">
        <f ca="1">IF(AND($D41="Serviço",AE$12&lt;&gt;0,$H41&gt;0,OR(AUTOEVENTO&lt;&gt;"manual",$M41&lt;&gt;1)),
IF(Import.TipoArredondamento&lt;&gt;"TransfereGOV",
ROUND(OFFSET($P41,0,AE$13),15-13*ORÇAMENTO!$AF$7)/$H41*OFFSET(ORÇAMENTO!$X$15,ROW(AE41)-ROW(AE$15),0),
ROUND(ROUND(OFFSET($P41,0,AE$13),15-13*ORÇAMENTO!$AF$7)*OFFSET(ORÇAMENTO!$W$15,ROW(AE41)-ROW(AE$15),0),15-13*ORÇAMENTO!$AF$11)),0)</f>
        <v>0</v>
      </c>
      <c r="AF41" s="542">
        <f ca="1">IF(AND($D41="Serviço",AF$12&lt;&gt;0,$H41&gt;0,OR(AUTOEVENTO&lt;&gt;"manual",$M41&lt;&gt;1)),
IF(Import.TipoArredondamento&lt;&gt;"TransfereGOV",
ROUND(OFFSET($P41,0,AF$13),15-13*ORÇAMENTO!$AF$7)/$H41*OFFSET(ORÇAMENTO!$X$15,ROW(AF41)-ROW(AF$15),0),
ROUND(ROUND(OFFSET($P41,0,AF$13),15-13*ORÇAMENTO!$AF$7)*OFFSET(ORÇAMENTO!$W$15,ROW(AF41)-ROW(AF$15),0),15-13*ORÇAMENTO!$AF$11)),0)</f>
        <v>0</v>
      </c>
      <c r="AG41" s="542">
        <f ca="1">IF(AND($D41="Serviço",AG$12&lt;&gt;0,$H41&gt;0,OR(AUTOEVENTO&lt;&gt;"manual",$M41&lt;&gt;1)),
IF(Import.TipoArredondamento&lt;&gt;"TransfereGOV",
ROUND(OFFSET($P41,0,AG$13),15-13*ORÇAMENTO!$AF$7)/$H41*OFFSET(ORÇAMENTO!$X$15,ROW(AG41)-ROW(AG$15),0),
ROUND(ROUND(OFFSET($P41,0,AG$13),15-13*ORÇAMENTO!$AF$7)*OFFSET(ORÇAMENTO!$W$15,ROW(AG41)-ROW(AG$15),0),15-13*ORÇAMENTO!$AF$11)),0)</f>
        <v>0</v>
      </c>
      <c r="AH41" s="542">
        <f ca="1">IF(AND($D41="Serviço",AH$12&lt;&gt;0,$H41&gt;0,OR(AUTOEVENTO&lt;&gt;"manual",$M41&lt;&gt;1)),
IF(Import.TipoArredondamento&lt;&gt;"TransfereGOV",
ROUND(OFFSET($P41,0,AH$13),15-13*ORÇAMENTO!$AF$7)/$H41*OFFSET(ORÇAMENTO!$X$15,ROW(AH41)-ROW(AH$15),0),
ROUND(ROUND(OFFSET($P41,0,AH$13),15-13*ORÇAMENTO!$AF$7)*OFFSET(ORÇAMENTO!$W$15,ROW(AH41)-ROW(AH$15),0),15-13*ORÇAMENTO!$AF$11)),0)</f>
        <v>0</v>
      </c>
      <c r="AI41" s="542">
        <f ca="1">IF(AND($D41="Serviço",AI$12&lt;&gt;0,$H41&gt;0,OR(AUTOEVENTO&lt;&gt;"manual",$M41&lt;&gt;1)),
IF(Import.TipoArredondamento&lt;&gt;"TransfereGOV",
ROUND(OFFSET($P41,0,AI$13),15-13*ORÇAMENTO!$AF$7)/$H41*OFFSET(ORÇAMENTO!$X$15,ROW(AI41)-ROW(AI$15),0),
ROUND(ROUND(OFFSET($P41,0,AI$13),15-13*ORÇAMENTO!$AF$7)*OFFSET(ORÇAMENTO!$W$15,ROW(AI41)-ROW(AI$15),0),15-13*ORÇAMENTO!$AF$11)),0)</f>
        <v>0</v>
      </c>
      <c r="AJ41" s="542">
        <f ca="1">IF(AND($D41="Serviço",AJ$12&lt;&gt;0,$H41&gt;0,OR(AUTOEVENTO&lt;&gt;"manual",$M41&lt;&gt;1)),
IF(Import.TipoArredondamento&lt;&gt;"TransfereGOV",
ROUND(OFFSET($P41,0,AJ$13),15-13*ORÇAMENTO!$AF$7)/$H41*OFFSET(ORÇAMENTO!$X$15,ROW(AJ41)-ROW(AJ$15),0),
ROUND(ROUND(OFFSET($P41,0,AJ$13),15-13*ORÇAMENTO!$AF$7)*OFFSET(ORÇAMENTO!$W$15,ROW(AJ41)-ROW(AJ$15),0),15-13*ORÇAMENTO!$AF$11)),0)</f>
        <v>0</v>
      </c>
      <c r="AK41" s="543">
        <f ca="1">IF(AND($D41="Serviço",AK$12&lt;&gt;0,$H41&gt;0,OR(AUTOEVENTO&lt;&gt;"manual",$M41&lt;&gt;1)),
IF(Import.TipoArredondamento&lt;&gt;"TransfereGOV",
ROUND(OFFSET($P41,0,AK$13),15-13*ORÇAMENTO!$AF$7)/$H41*OFFSET(ORÇAMENTO!$X$15,ROW(AK41)-ROW(AK$15),0),
ROUND(ROUND(OFFSET($P41,0,AK$13),15-13*ORÇAMENTO!$AF$7)*OFFSET(ORÇAMENTO!$W$15,ROW(AK41)-ROW(AK$15),0),15-13*ORÇAMENTO!$AF$11)),0)</f>
        <v>0</v>
      </c>
      <c r="AM41" s="178">
        <f ca="1">IF($D41&lt;&gt;"Serviço",0,IF(AND(AUTOEVENTO="Manual",$M41=1),0,IF(OFFSET(CRONOPLE!$F$14,$M41,AM$13)="",10^12,OFFSET(CRONOPLE!$F$14,$M41,AM$13))))</f>
        <v>1000000000000</v>
      </c>
      <c r="AN41" s="178">
        <f ca="1">IF($D41&lt;&gt;"Serviço",0,IF(AND(AUTOEVENTO="Manual",$M41=1),0,IF(OFFSET(CRONOPLE!$F$14,$M41,AN$13)="",10^12,OFFSET(CRONOPLE!$F$14,$M41,AN$13))))</f>
        <v>1000000000000</v>
      </c>
      <c r="AO41" s="178">
        <f ca="1">IF($D41&lt;&gt;"Serviço",0,IF(AND(AUTOEVENTO="Manual",$M41=1),0,IF(OFFSET(CRONOPLE!$F$14,$M41,AO$13)="",10^12,OFFSET(CRONOPLE!$F$14,$M41,AO$13))))</f>
        <v>1000000000000</v>
      </c>
      <c r="AP41" s="178">
        <f ca="1">IF($D41&lt;&gt;"Serviço",0,IF(AND(AUTOEVENTO="Manual",$M41=1),0,IF(OFFSET(CRONOPLE!$F$14,$M41,AP$13)="",10^12,OFFSET(CRONOPLE!$F$14,$M41,AP$13))))</f>
        <v>1000000000000</v>
      </c>
      <c r="AQ41" s="178">
        <f ca="1">IF($D41&lt;&gt;"Serviço",0,IF(AND(AUTOEVENTO="Manual",$M41=1),0,IF(OFFSET(CRONOPLE!$F$14,$M41,AQ$13)="",10^12,OFFSET(CRONOPLE!$F$14,$M41,AQ$13))))</f>
        <v>1000000000000</v>
      </c>
      <c r="AR41" s="178">
        <f ca="1">IF($D41&lt;&gt;"Serviço",0,IF(AND(AUTOEVENTO="Manual",$M41=1),0,IF(OFFSET(CRONOPLE!$F$14,$M41,AR$13)="",10^12,OFFSET(CRONOPLE!$F$14,$M41,AR$13))))</f>
        <v>1000000000000</v>
      </c>
      <c r="AS41" s="178">
        <f ca="1">IF($D41&lt;&gt;"Serviço",0,IF(AND(AUTOEVENTO="Manual",$M41=1),0,IF(OFFSET(CRONOPLE!$F$14,$M41,AS$13)="",10^12,OFFSET(CRONOPLE!$F$14,$M41,AS$13))))</f>
        <v>1000000000000</v>
      </c>
      <c r="AT41" s="178">
        <f ca="1">IF($D41&lt;&gt;"Serviço",0,IF(AND(AUTOEVENTO="Manual",$M41=1),0,IF(OFFSET(CRONOPLE!$F$14,$M41,AT$13)="",10^12,OFFSET(CRONOPLE!$F$14,$M41,AT$13))))</f>
        <v>1000000000000</v>
      </c>
      <c r="AU41" s="178">
        <f ca="1">IF($D41&lt;&gt;"Serviço",0,IF(AND(AUTOEVENTO="Manual",$M41=1),0,IF(OFFSET(CRONOPLE!$F$14,$M41,AU$13)="",10^12,OFFSET(CRONOPLE!$F$14,$M41,AU$13))))</f>
        <v>1000000000000</v>
      </c>
      <c r="AV41" s="178">
        <f ca="1">IF($D41&lt;&gt;"Serviço",0,IF(AND(AUTOEVENTO="Manual",$M41=1),0,IF(OFFSET(CRONOPLE!$F$14,$M41,AV$13)="",10^12,OFFSET(CRONOPLE!$F$14,$M41,AV$13))))</f>
        <v>1000000000000</v>
      </c>
      <c r="AX41" s="179">
        <f ca="1">IF($D41&lt;&gt;"Serviço",0,IF(OR(AND(AUTOEVENTO="Manual",$M41=1),$M41&gt;(ROW(PLE.lastrow)-ROW(PLE.firstrow))),0,IF(OFFSET(PLE!$G$14,$M41,AX$13)="",10^12,OFFSET(PLE!$G$14,$M41,AX$13))))</f>
        <v>1000000000000</v>
      </c>
      <c r="AY41" s="179">
        <f ca="1">IF($D41&lt;&gt;"Serviço",0,IF(OR(AND(AUTOEVENTO="Manual",$M41=1),$M41&gt;(ROW(PLE.lastrow)-ROW(PLE.firstrow))),0,IF(OFFSET(PLE!$G$14,$M41,AY$13)="",10^12,OFFSET(PLE!$G$14,$M41,AY$13))))</f>
        <v>1000000000000</v>
      </c>
      <c r="AZ41" s="179">
        <f ca="1">IF($D41&lt;&gt;"Serviço",0,IF(OR(AND(AUTOEVENTO="Manual",$M41=1),$M41&gt;(ROW(PLE.lastrow)-ROW(PLE.firstrow))),0,IF(OFFSET(PLE!$G$14,$M41,AZ$13)="",10^12,OFFSET(PLE!$G$14,$M41,AZ$13))))</f>
        <v>1000000000000</v>
      </c>
      <c r="BA41" s="179">
        <f ca="1">IF($D41&lt;&gt;"Serviço",0,IF(OR(AND(AUTOEVENTO="Manual",$M41=1),$M41&gt;(ROW(PLE.lastrow)-ROW(PLE.firstrow))),0,IF(OFFSET(PLE!$G$14,$M41,BA$13)="",10^12,OFFSET(PLE!$G$14,$M41,BA$13))))</f>
        <v>1000000000000</v>
      </c>
      <c r="BB41" s="179">
        <f ca="1">IF($D41&lt;&gt;"Serviço",0,IF(OR(AND(AUTOEVENTO="Manual",$M41=1),$M41&gt;(ROW(PLE.lastrow)-ROW(PLE.firstrow))),0,IF(OFFSET(PLE!$G$14,$M41,BB$13)="",10^12,OFFSET(PLE!$G$14,$M41,BB$13))))</f>
        <v>1000000000000</v>
      </c>
      <c r="BC41" s="179">
        <f ca="1">IF($D41&lt;&gt;"Serviço",0,IF(OR(AND(AUTOEVENTO="Manual",$M41=1),$M41&gt;(ROW(PLE.lastrow)-ROW(PLE.firstrow))),0,IF(OFFSET(PLE!$G$14,$M41,BC$13)="",10^12,OFFSET(PLE!$G$14,$M41,BC$13))))</f>
        <v>1000000000000</v>
      </c>
      <c r="BD41" s="179">
        <f ca="1">IF($D41&lt;&gt;"Serviço",0,IF(OR(AND(AUTOEVENTO="Manual",$M41=1),$M41&gt;(ROW(PLE.lastrow)-ROW(PLE.firstrow))),0,IF(OFFSET(PLE!$G$14,$M41,BD$13)="",10^12,OFFSET(PLE!$G$14,$M41,BD$13))))</f>
        <v>1000000000000</v>
      </c>
      <c r="BE41" s="179">
        <f ca="1">IF($D41&lt;&gt;"Serviço",0,IF(OR(AND(AUTOEVENTO="Manual",$M41=1),$M41&gt;(ROW(PLE.lastrow)-ROW(PLE.firstrow))),0,IF(OFFSET(PLE!$G$14,$M41,BE$13)="",10^12,OFFSET(PLE!$G$14,$M41,BE$13))))</f>
        <v>1000000000000</v>
      </c>
      <c r="BF41" s="179">
        <f ca="1">IF($D41&lt;&gt;"Serviço",0,IF(OR(AND(AUTOEVENTO="Manual",$M41=1),$M41&gt;(ROW(PLE.lastrow)-ROW(PLE.firstrow))),0,IF(OFFSET(PLE!$G$14,$M41,BF$13)="",10^12,OFFSET(PLE!$G$14,$M41,BF$13))))</f>
        <v>1000000000000</v>
      </c>
      <c r="BG41" s="179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7" t="str">
        <f t="shared" ca="1" si="8"/>
        <v>27.</v>
      </c>
      <c r="B42" s="7">
        <f ca="1">OFFSET(ORÇAMENTO!C$15,ROW(B42)-ROW(B$15),0)</f>
        <v>2</v>
      </c>
      <c r="C42" s="7" t="str">
        <f ca="1">OFFSET(ORÇAMENTO!L$15,ROW(C42)-ROW(C$15),0)</f>
        <v>F</v>
      </c>
      <c r="D42" s="115" t="str">
        <f ca="1">OFFSET(ORÇAMENTO!N$15,ROW(D42)-ROW(D$15),0)</f>
        <v>Nível 2</v>
      </c>
      <c r="E42" s="116" t="str">
        <f ca="1">OFFSET(ORÇAMENTO!O$15,ROW(E42)-ROW(E$15),0)</f>
        <v>1.4.</v>
      </c>
      <c r="F42" s="169" t="str">
        <f ca="1">OFFSET(ORÇAMENTO!R$15,ROW(F42)-ROW(F$15),0)</f>
        <v>ESTRUTURA DE CONCRETO</v>
      </c>
      <c r="G42" s="170" t="str">
        <f ca="1">IF($D42&lt;&gt;"Serviço","",OFFSET(ORÇAMENTO!S$15,ROW(G42)-ROW(G$15),0))</f>
        <v/>
      </c>
      <c r="H42" s="121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558"/>
      <c r="K42" s="171"/>
      <c r="L42" s="172" t="s">
        <v>255</v>
      </c>
      <c r="M42" s="173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174" t="str">
        <f ca="1">IF($D42&lt;&gt;"Serviço","",IF(AUTOEVENTO="Manual",IF($A42=0,"&lt;-- defina o número do agrupador",OFFSET(EVENTOS!$D$14,$A42,0)),OFFSET($F$15,$A42,0)))</f>
        <v/>
      </c>
      <c r="O42" s="175"/>
      <c r="Q42" s="175"/>
      <c r="R42" s="176"/>
      <c r="S42" s="176"/>
      <c r="T42" s="176"/>
      <c r="U42" s="176"/>
      <c r="V42" s="176"/>
      <c r="W42" s="176"/>
      <c r="X42" s="176"/>
      <c r="Y42" s="176"/>
      <c r="Z42" s="177"/>
      <c r="AB42" s="541">
        <f ca="1">IF(AND($D42="Serviço",AB$12&lt;&gt;0,$H42&gt;0,OR(AUTOEVENTO&lt;&gt;"manual",$M42&lt;&gt;1)),
IF(Import.TipoArredondamento&lt;&gt;"TransfereGOV",
ROUND(OFFSET($P42,0,AB$13),15-13*ORÇAMENTO!$AF$7)/$H42*OFFSET(ORÇAMENTO!$X$15,ROW(AB42)-ROW(AB$15),0),
ROUND(ROUND(OFFSET($P42,0,AB$13),15-13*ORÇAMENTO!$AF$7)*OFFSET(ORÇAMENTO!$W$15,ROW(AB42)-ROW(AB$15),0),15-13*ORÇAMENTO!$AF$11)),0)</f>
        <v>0</v>
      </c>
      <c r="AC42" s="542">
        <f ca="1">IF(AND($D42="Serviço",AC$12&lt;&gt;0,$H42&gt;0,OR(AUTOEVENTO&lt;&gt;"manual",$M42&lt;&gt;1)),
IF(Import.TipoArredondamento&lt;&gt;"TransfereGOV",
ROUND(OFFSET($P42,0,AC$13),15-13*ORÇAMENTO!$AF$7)/$H42*OFFSET(ORÇAMENTO!$X$15,ROW(AC42)-ROW(AC$15),0),
ROUND(ROUND(OFFSET($P42,0,AC$13),15-13*ORÇAMENTO!$AF$7)*OFFSET(ORÇAMENTO!$W$15,ROW(AC42)-ROW(AC$15),0),15-13*ORÇAMENTO!$AF$11)),0)</f>
        <v>0</v>
      </c>
      <c r="AD42" s="542">
        <f ca="1">IF(AND($D42="Serviço",AD$12&lt;&gt;0,$H42&gt;0,OR(AUTOEVENTO&lt;&gt;"manual",$M42&lt;&gt;1)),
IF(Import.TipoArredondamento&lt;&gt;"TransfereGOV",
ROUND(OFFSET($P42,0,AD$13),15-13*ORÇAMENTO!$AF$7)/$H42*OFFSET(ORÇAMENTO!$X$15,ROW(AD42)-ROW(AD$15),0),
ROUND(ROUND(OFFSET($P42,0,AD$13),15-13*ORÇAMENTO!$AF$7)*OFFSET(ORÇAMENTO!$W$15,ROW(AD42)-ROW(AD$15),0),15-13*ORÇAMENTO!$AF$11)),0)</f>
        <v>0</v>
      </c>
      <c r="AE42" s="542">
        <f ca="1">IF(AND($D42="Serviço",AE$12&lt;&gt;0,$H42&gt;0,OR(AUTOEVENTO&lt;&gt;"manual",$M42&lt;&gt;1)),
IF(Import.TipoArredondamento&lt;&gt;"TransfereGOV",
ROUND(OFFSET($P42,0,AE$13),15-13*ORÇAMENTO!$AF$7)/$H42*OFFSET(ORÇAMENTO!$X$15,ROW(AE42)-ROW(AE$15),0),
ROUND(ROUND(OFFSET($P42,0,AE$13),15-13*ORÇAMENTO!$AF$7)*OFFSET(ORÇAMENTO!$W$15,ROW(AE42)-ROW(AE$15),0),15-13*ORÇAMENTO!$AF$11)),0)</f>
        <v>0</v>
      </c>
      <c r="AF42" s="542">
        <f ca="1">IF(AND($D42="Serviço",AF$12&lt;&gt;0,$H42&gt;0,OR(AUTOEVENTO&lt;&gt;"manual",$M42&lt;&gt;1)),
IF(Import.TipoArredondamento&lt;&gt;"TransfereGOV",
ROUND(OFFSET($P42,0,AF$13),15-13*ORÇAMENTO!$AF$7)/$H42*OFFSET(ORÇAMENTO!$X$15,ROW(AF42)-ROW(AF$15),0),
ROUND(ROUND(OFFSET($P42,0,AF$13),15-13*ORÇAMENTO!$AF$7)*OFFSET(ORÇAMENTO!$W$15,ROW(AF42)-ROW(AF$15),0),15-13*ORÇAMENTO!$AF$11)),0)</f>
        <v>0</v>
      </c>
      <c r="AG42" s="542">
        <f ca="1">IF(AND($D42="Serviço",AG$12&lt;&gt;0,$H42&gt;0,OR(AUTOEVENTO&lt;&gt;"manual",$M42&lt;&gt;1)),
IF(Import.TipoArredondamento&lt;&gt;"TransfereGOV",
ROUND(OFFSET($P42,0,AG$13),15-13*ORÇAMENTO!$AF$7)/$H42*OFFSET(ORÇAMENTO!$X$15,ROW(AG42)-ROW(AG$15),0),
ROUND(ROUND(OFFSET($P42,0,AG$13),15-13*ORÇAMENTO!$AF$7)*OFFSET(ORÇAMENTO!$W$15,ROW(AG42)-ROW(AG$15),0),15-13*ORÇAMENTO!$AF$11)),0)</f>
        <v>0</v>
      </c>
      <c r="AH42" s="542">
        <f ca="1">IF(AND($D42="Serviço",AH$12&lt;&gt;0,$H42&gt;0,OR(AUTOEVENTO&lt;&gt;"manual",$M42&lt;&gt;1)),
IF(Import.TipoArredondamento&lt;&gt;"TransfereGOV",
ROUND(OFFSET($P42,0,AH$13),15-13*ORÇAMENTO!$AF$7)/$H42*OFFSET(ORÇAMENTO!$X$15,ROW(AH42)-ROW(AH$15),0),
ROUND(ROUND(OFFSET($P42,0,AH$13),15-13*ORÇAMENTO!$AF$7)*OFFSET(ORÇAMENTO!$W$15,ROW(AH42)-ROW(AH$15),0),15-13*ORÇAMENTO!$AF$11)),0)</f>
        <v>0</v>
      </c>
      <c r="AI42" s="542">
        <f ca="1">IF(AND($D42="Serviço",AI$12&lt;&gt;0,$H42&gt;0,OR(AUTOEVENTO&lt;&gt;"manual",$M42&lt;&gt;1)),
IF(Import.TipoArredondamento&lt;&gt;"TransfereGOV",
ROUND(OFFSET($P42,0,AI$13),15-13*ORÇAMENTO!$AF$7)/$H42*OFFSET(ORÇAMENTO!$X$15,ROW(AI42)-ROW(AI$15),0),
ROUND(ROUND(OFFSET($P42,0,AI$13),15-13*ORÇAMENTO!$AF$7)*OFFSET(ORÇAMENTO!$W$15,ROW(AI42)-ROW(AI$15),0),15-13*ORÇAMENTO!$AF$11)),0)</f>
        <v>0</v>
      </c>
      <c r="AJ42" s="542">
        <f ca="1">IF(AND($D42="Serviço",AJ$12&lt;&gt;0,$H42&gt;0,OR(AUTOEVENTO&lt;&gt;"manual",$M42&lt;&gt;1)),
IF(Import.TipoArredondamento&lt;&gt;"TransfereGOV",
ROUND(OFFSET($P42,0,AJ$13),15-13*ORÇAMENTO!$AF$7)/$H42*OFFSET(ORÇAMENTO!$X$15,ROW(AJ42)-ROW(AJ$15),0),
ROUND(ROUND(OFFSET($P42,0,AJ$13),15-13*ORÇAMENTO!$AF$7)*OFFSET(ORÇAMENTO!$W$15,ROW(AJ42)-ROW(AJ$15),0),15-13*ORÇAMENTO!$AF$11)),0)</f>
        <v>0</v>
      </c>
      <c r="AK42" s="543">
        <f ca="1">IF(AND($D42="Serviço",AK$12&lt;&gt;0,$H42&gt;0,OR(AUTOEVENTO&lt;&gt;"manual",$M42&lt;&gt;1)),
IF(Import.TipoArredondamento&lt;&gt;"TransfereGOV",
ROUND(OFFSET($P42,0,AK$13),15-13*ORÇAMENTO!$AF$7)/$H42*OFFSET(ORÇAMENTO!$X$15,ROW(AK42)-ROW(AK$15),0),
ROUND(ROUND(OFFSET($P42,0,AK$13),15-13*ORÇAMENTO!$AF$7)*OFFSET(ORÇAMENTO!$W$15,ROW(AK42)-ROW(AK$15),0),15-13*ORÇAMENTO!$AF$11)),0)</f>
        <v>0</v>
      </c>
      <c r="AM42" s="178">
        <f ca="1">IF($D42&lt;&gt;"Serviço",0,IF(AND(AUTOEVENTO="Manual",$M42=1),0,IF(OFFSET(CRONOPLE!$F$14,$M42,AM$13)="",10^12,OFFSET(CRONOPLE!$F$14,$M42,AM$13))))</f>
        <v>0</v>
      </c>
      <c r="AN42" s="178">
        <f ca="1">IF($D42&lt;&gt;"Serviço",0,IF(AND(AUTOEVENTO="Manual",$M42=1),0,IF(OFFSET(CRONOPLE!$F$14,$M42,AN$13)="",10^12,OFFSET(CRONOPLE!$F$14,$M42,AN$13))))</f>
        <v>0</v>
      </c>
      <c r="AO42" s="178">
        <f ca="1">IF($D42&lt;&gt;"Serviço",0,IF(AND(AUTOEVENTO="Manual",$M42=1),0,IF(OFFSET(CRONOPLE!$F$14,$M42,AO$13)="",10^12,OFFSET(CRONOPLE!$F$14,$M42,AO$13))))</f>
        <v>0</v>
      </c>
      <c r="AP42" s="178">
        <f ca="1">IF($D42&lt;&gt;"Serviço",0,IF(AND(AUTOEVENTO="Manual",$M42=1),0,IF(OFFSET(CRONOPLE!$F$14,$M42,AP$13)="",10^12,OFFSET(CRONOPLE!$F$14,$M42,AP$13))))</f>
        <v>0</v>
      </c>
      <c r="AQ42" s="178">
        <f ca="1">IF($D42&lt;&gt;"Serviço",0,IF(AND(AUTOEVENTO="Manual",$M42=1),0,IF(OFFSET(CRONOPLE!$F$14,$M42,AQ$13)="",10^12,OFFSET(CRONOPLE!$F$14,$M42,AQ$13))))</f>
        <v>0</v>
      </c>
      <c r="AR42" s="178">
        <f ca="1">IF($D42&lt;&gt;"Serviço",0,IF(AND(AUTOEVENTO="Manual",$M42=1),0,IF(OFFSET(CRONOPLE!$F$14,$M42,AR$13)="",10^12,OFFSET(CRONOPLE!$F$14,$M42,AR$13))))</f>
        <v>0</v>
      </c>
      <c r="AS42" s="178">
        <f ca="1">IF($D42&lt;&gt;"Serviço",0,IF(AND(AUTOEVENTO="Manual",$M42=1),0,IF(OFFSET(CRONOPLE!$F$14,$M42,AS$13)="",10^12,OFFSET(CRONOPLE!$F$14,$M42,AS$13))))</f>
        <v>0</v>
      </c>
      <c r="AT42" s="178">
        <f ca="1">IF($D42&lt;&gt;"Serviço",0,IF(AND(AUTOEVENTO="Manual",$M42=1),0,IF(OFFSET(CRONOPLE!$F$14,$M42,AT$13)="",10^12,OFFSET(CRONOPLE!$F$14,$M42,AT$13))))</f>
        <v>0</v>
      </c>
      <c r="AU42" s="178">
        <f ca="1">IF($D42&lt;&gt;"Serviço",0,IF(AND(AUTOEVENTO="Manual",$M42=1),0,IF(OFFSET(CRONOPLE!$F$14,$M42,AU$13)="",10^12,OFFSET(CRONOPLE!$F$14,$M42,AU$13))))</f>
        <v>0</v>
      </c>
      <c r="AV42" s="178">
        <f ca="1">IF($D42&lt;&gt;"Serviço",0,IF(AND(AUTOEVENTO="Manual",$M42=1),0,IF(OFFSET(CRONOPLE!$F$14,$M42,AV$13)="",10^12,OFFSET(CRONOPLE!$F$14,$M42,AV$13))))</f>
        <v>0</v>
      </c>
      <c r="AX42" s="179">
        <f ca="1">IF($D42&lt;&gt;"Serviço",0,IF(OR(AND(AUTOEVENTO="Manual",$M42=1),$M42&gt;(ROW(PLE.lastrow)-ROW(PLE.firstrow))),0,IF(OFFSET(PLE!$G$14,$M42,AX$13)="",10^12,OFFSET(PLE!$G$14,$M42,AX$13))))</f>
        <v>0</v>
      </c>
      <c r="AY42" s="179">
        <f ca="1">IF($D42&lt;&gt;"Serviço",0,IF(OR(AND(AUTOEVENTO="Manual",$M42=1),$M42&gt;(ROW(PLE.lastrow)-ROW(PLE.firstrow))),0,IF(OFFSET(PLE!$G$14,$M42,AY$13)="",10^12,OFFSET(PLE!$G$14,$M42,AY$13))))</f>
        <v>0</v>
      </c>
      <c r="AZ42" s="179">
        <f ca="1">IF($D42&lt;&gt;"Serviço",0,IF(OR(AND(AUTOEVENTO="Manual",$M42=1),$M42&gt;(ROW(PLE.lastrow)-ROW(PLE.firstrow))),0,IF(OFFSET(PLE!$G$14,$M42,AZ$13)="",10^12,OFFSET(PLE!$G$14,$M42,AZ$13))))</f>
        <v>0</v>
      </c>
      <c r="BA42" s="179">
        <f ca="1">IF($D42&lt;&gt;"Serviço",0,IF(OR(AND(AUTOEVENTO="Manual",$M42=1),$M42&gt;(ROW(PLE.lastrow)-ROW(PLE.firstrow))),0,IF(OFFSET(PLE!$G$14,$M42,BA$13)="",10^12,OFFSET(PLE!$G$14,$M42,BA$13))))</f>
        <v>0</v>
      </c>
      <c r="BB42" s="179">
        <f ca="1">IF($D42&lt;&gt;"Serviço",0,IF(OR(AND(AUTOEVENTO="Manual",$M42=1),$M42&gt;(ROW(PLE.lastrow)-ROW(PLE.firstrow))),0,IF(OFFSET(PLE!$G$14,$M42,BB$13)="",10^12,OFFSET(PLE!$G$14,$M42,BB$13))))</f>
        <v>0</v>
      </c>
      <c r="BC42" s="179">
        <f ca="1">IF($D42&lt;&gt;"Serviço",0,IF(OR(AND(AUTOEVENTO="Manual",$M42=1),$M42&gt;(ROW(PLE.lastrow)-ROW(PLE.firstrow))),0,IF(OFFSET(PLE!$G$14,$M42,BC$13)="",10^12,OFFSET(PLE!$G$14,$M42,BC$13))))</f>
        <v>0</v>
      </c>
      <c r="BD42" s="179">
        <f ca="1">IF($D42&lt;&gt;"Serviço",0,IF(OR(AND(AUTOEVENTO="Manual",$M42=1),$M42&gt;(ROW(PLE.lastrow)-ROW(PLE.firstrow))),0,IF(OFFSET(PLE!$G$14,$M42,BD$13)="",10^12,OFFSET(PLE!$G$14,$M42,BD$13))))</f>
        <v>0</v>
      </c>
      <c r="BE42" s="179">
        <f ca="1">IF($D42&lt;&gt;"Serviço",0,IF(OR(AND(AUTOEVENTO="Manual",$M42=1),$M42&gt;(ROW(PLE.lastrow)-ROW(PLE.firstrow))),0,IF(OFFSET(PLE!$G$14,$M42,BE$13)="",10^12,OFFSET(PLE!$G$14,$M42,BE$13))))</f>
        <v>0</v>
      </c>
      <c r="BF42" s="179">
        <f ca="1">IF($D42&lt;&gt;"Serviço",0,IF(OR(AND(AUTOEVENTO="Manual",$M42=1),$M42&gt;(ROW(PLE.lastrow)-ROW(PLE.firstrow))),0,IF(OFFSET(PLE!$G$14,$M42,BF$13)="",10^12,OFFSET(PLE!$G$14,$M42,BF$13))))</f>
        <v>0</v>
      </c>
      <c r="BG42" s="179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25.5" x14ac:dyDescent="0.2">
      <c r="A43" s="7" t="str">
        <f t="shared" ca="1" si="8"/>
        <v>27</v>
      </c>
      <c r="B43" s="7" t="str">
        <f ca="1">OFFSET(ORÇAMENTO!C$15,ROW(B43)-ROW(B$15),0)</f>
        <v>S</v>
      </c>
      <c r="C43" s="7" t="str">
        <f ca="1">OFFSET(ORÇAMENTO!L$15,ROW(C43)-ROW(C$15),0)</f>
        <v/>
      </c>
      <c r="D43" s="115" t="str">
        <f ca="1">OFFSET(ORÇAMENTO!N$15,ROW(D43)-ROW(D$15),0)</f>
        <v>Serviço</v>
      </c>
      <c r="E43" s="116" t="str">
        <f ca="1">OFFSET(ORÇAMENTO!O$15,ROW(E43)-ROW(E$15),0)</f>
        <v>-</v>
      </c>
      <c r="F43" s="169" t="str">
        <f ca="1">OFFSET(ORÇAMENTO!R$15,ROW(F43)-ROW(F$15),0)</f>
        <v>(abra o arquivo 'Referência 10-2024.xlsm)</v>
      </c>
      <c r="G43" s="170" t="str">
        <f ca="1">IF($D43&lt;&gt;"Serviço","",OFFSET(ORÇAMENTO!S$15,ROW(G43)-ROW(G$15),0))</f>
        <v>-</v>
      </c>
      <c r="H43" s="121">
        <f ca="1">IF($D43&lt;&gt;"Serviço",0,IF(ACOMPANHAMENTO="BM",ROUND(OFFSET(ORÇAMENTO!AJ$15,ROW(H43)-ROW(H$15),0),15-13*ORÇAMENTO!$AF$7),SUMPRODUCT(($Q$12:$AA$12&lt;&gt;"")*ROUND($Q43:$AA43,15-13*ORÇAMENTO!$AF$7))))</f>
        <v>30.24</v>
      </c>
      <c r="I43" s="558" t="s">
        <v>561</v>
      </c>
      <c r="K43" s="171"/>
      <c r="L43" s="172" t="s">
        <v>255</v>
      </c>
      <c r="M43" s="173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174" t="str">
        <f ca="1">IF($D43&lt;&gt;"Serviço","",IF(AUTOEVENTO="Manual",IF($A43=0,"&lt;-- defina o número do agrupador",OFFSET(EVENTOS!$D$14,$A43,0)),OFFSET($F$15,$A43,0)))</f>
        <v>ESTRUTURA DE CONCRETO</v>
      </c>
      <c r="O43" s="175"/>
      <c r="Q43" s="175"/>
      <c r="R43" s="176"/>
      <c r="S43" s="176"/>
      <c r="T43" s="176"/>
      <c r="U43" s="176"/>
      <c r="V43" s="176"/>
      <c r="W43" s="176"/>
      <c r="X43" s="176"/>
      <c r="Y43" s="176"/>
      <c r="Z43" s="177"/>
      <c r="AB43" s="541">
        <f ca="1">IF(AND($D43="Serviço",AB$12&lt;&gt;0,$H43&gt;0,OR(AUTOEVENTO&lt;&gt;"manual",$M43&lt;&gt;1)),
IF(Import.TipoArredondamento&lt;&gt;"TransfereGOV",
ROUND(OFFSET($P43,0,AB$13),15-13*ORÇAMENTO!$AF$7)/$H43*OFFSET(ORÇAMENTO!$X$15,ROW(AB43)-ROW(AB$15),0),
ROUND(ROUND(OFFSET($P43,0,AB$13),15-13*ORÇAMENTO!$AF$7)*OFFSET(ORÇAMENTO!$W$15,ROW(AB43)-ROW(AB$15),0),15-13*ORÇAMENTO!$AF$11)),0)</f>
        <v>0</v>
      </c>
      <c r="AC43" s="542">
        <f ca="1">IF(AND($D43="Serviço",AC$12&lt;&gt;0,$H43&gt;0,OR(AUTOEVENTO&lt;&gt;"manual",$M43&lt;&gt;1)),
IF(Import.TipoArredondamento&lt;&gt;"TransfereGOV",
ROUND(OFFSET($P43,0,AC$13),15-13*ORÇAMENTO!$AF$7)/$H43*OFFSET(ORÇAMENTO!$X$15,ROW(AC43)-ROW(AC$15),0),
ROUND(ROUND(OFFSET($P43,0,AC$13),15-13*ORÇAMENTO!$AF$7)*OFFSET(ORÇAMENTO!$W$15,ROW(AC43)-ROW(AC$15),0),15-13*ORÇAMENTO!$AF$11)),0)</f>
        <v>0</v>
      </c>
      <c r="AD43" s="542">
        <f ca="1">IF(AND($D43="Serviço",AD$12&lt;&gt;0,$H43&gt;0,OR(AUTOEVENTO&lt;&gt;"manual",$M43&lt;&gt;1)),
IF(Import.TipoArredondamento&lt;&gt;"TransfereGOV",
ROUND(OFFSET($P43,0,AD$13),15-13*ORÇAMENTO!$AF$7)/$H43*OFFSET(ORÇAMENTO!$X$15,ROW(AD43)-ROW(AD$15),0),
ROUND(ROUND(OFFSET($P43,0,AD$13),15-13*ORÇAMENTO!$AF$7)*OFFSET(ORÇAMENTO!$W$15,ROW(AD43)-ROW(AD$15),0),15-13*ORÇAMENTO!$AF$11)),0)</f>
        <v>0</v>
      </c>
      <c r="AE43" s="542">
        <f ca="1">IF(AND($D43="Serviço",AE$12&lt;&gt;0,$H43&gt;0,OR(AUTOEVENTO&lt;&gt;"manual",$M43&lt;&gt;1)),
IF(Import.TipoArredondamento&lt;&gt;"TransfereGOV",
ROUND(OFFSET($P43,0,AE$13),15-13*ORÇAMENTO!$AF$7)/$H43*OFFSET(ORÇAMENTO!$X$15,ROW(AE43)-ROW(AE$15),0),
ROUND(ROUND(OFFSET($P43,0,AE$13),15-13*ORÇAMENTO!$AF$7)*OFFSET(ORÇAMENTO!$W$15,ROW(AE43)-ROW(AE$15),0),15-13*ORÇAMENTO!$AF$11)),0)</f>
        <v>0</v>
      </c>
      <c r="AF43" s="542">
        <f ca="1">IF(AND($D43="Serviço",AF$12&lt;&gt;0,$H43&gt;0,OR(AUTOEVENTO&lt;&gt;"manual",$M43&lt;&gt;1)),
IF(Import.TipoArredondamento&lt;&gt;"TransfereGOV",
ROUND(OFFSET($P43,0,AF$13),15-13*ORÇAMENTO!$AF$7)/$H43*OFFSET(ORÇAMENTO!$X$15,ROW(AF43)-ROW(AF$15),0),
ROUND(ROUND(OFFSET($P43,0,AF$13),15-13*ORÇAMENTO!$AF$7)*OFFSET(ORÇAMENTO!$W$15,ROW(AF43)-ROW(AF$15),0),15-13*ORÇAMENTO!$AF$11)),0)</f>
        <v>0</v>
      </c>
      <c r="AG43" s="542">
        <f ca="1">IF(AND($D43="Serviço",AG$12&lt;&gt;0,$H43&gt;0,OR(AUTOEVENTO&lt;&gt;"manual",$M43&lt;&gt;1)),
IF(Import.TipoArredondamento&lt;&gt;"TransfereGOV",
ROUND(OFFSET($P43,0,AG$13),15-13*ORÇAMENTO!$AF$7)/$H43*OFFSET(ORÇAMENTO!$X$15,ROW(AG43)-ROW(AG$15),0),
ROUND(ROUND(OFFSET($P43,0,AG$13),15-13*ORÇAMENTO!$AF$7)*OFFSET(ORÇAMENTO!$W$15,ROW(AG43)-ROW(AG$15),0),15-13*ORÇAMENTO!$AF$11)),0)</f>
        <v>0</v>
      </c>
      <c r="AH43" s="542">
        <f ca="1">IF(AND($D43="Serviço",AH$12&lt;&gt;0,$H43&gt;0,OR(AUTOEVENTO&lt;&gt;"manual",$M43&lt;&gt;1)),
IF(Import.TipoArredondamento&lt;&gt;"TransfereGOV",
ROUND(OFFSET($P43,0,AH$13),15-13*ORÇAMENTO!$AF$7)/$H43*OFFSET(ORÇAMENTO!$X$15,ROW(AH43)-ROW(AH$15),0),
ROUND(ROUND(OFFSET($P43,0,AH$13),15-13*ORÇAMENTO!$AF$7)*OFFSET(ORÇAMENTO!$W$15,ROW(AH43)-ROW(AH$15),0),15-13*ORÇAMENTO!$AF$11)),0)</f>
        <v>0</v>
      </c>
      <c r="AI43" s="542">
        <f ca="1">IF(AND($D43="Serviço",AI$12&lt;&gt;0,$H43&gt;0,OR(AUTOEVENTO&lt;&gt;"manual",$M43&lt;&gt;1)),
IF(Import.TipoArredondamento&lt;&gt;"TransfereGOV",
ROUND(OFFSET($P43,0,AI$13),15-13*ORÇAMENTO!$AF$7)/$H43*OFFSET(ORÇAMENTO!$X$15,ROW(AI43)-ROW(AI$15),0),
ROUND(ROUND(OFFSET($P43,0,AI$13),15-13*ORÇAMENTO!$AF$7)*OFFSET(ORÇAMENTO!$W$15,ROW(AI43)-ROW(AI$15),0),15-13*ORÇAMENTO!$AF$11)),0)</f>
        <v>0</v>
      </c>
      <c r="AJ43" s="542">
        <f ca="1">IF(AND($D43="Serviço",AJ$12&lt;&gt;0,$H43&gt;0,OR(AUTOEVENTO&lt;&gt;"manual",$M43&lt;&gt;1)),
IF(Import.TipoArredondamento&lt;&gt;"TransfereGOV",
ROUND(OFFSET($P43,0,AJ$13),15-13*ORÇAMENTO!$AF$7)/$H43*OFFSET(ORÇAMENTO!$X$15,ROW(AJ43)-ROW(AJ$15),0),
ROUND(ROUND(OFFSET($P43,0,AJ$13),15-13*ORÇAMENTO!$AF$7)*OFFSET(ORÇAMENTO!$W$15,ROW(AJ43)-ROW(AJ$15),0),15-13*ORÇAMENTO!$AF$11)),0)</f>
        <v>0</v>
      </c>
      <c r="AK43" s="543">
        <f ca="1">IF(AND($D43="Serviço",AK$12&lt;&gt;0,$H43&gt;0,OR(AUTOEVENTO&lt;&gt;"manual",$M43&lt;&gt;1)),
IF(Import.TipoArredondamento&lt;&gt;"TransfereGOV",
ROUND(OFFSET($P43,0,AK$13),15-13*ORÇAMENTO!$AF$7)/$H43*OFFSET(ORÇAMENTO!$X$15,ROW(AK43)-ROW(AK$15),0),
ROUND(ROUND(OFFSET($P43,0,AK$13),15-13*ORÇAMENTO!$AF$7)*OFFSET(ORÇAMENTO!$W$15,ROW(AK43)-ROW(AK$15),0),15-13*ORÇAMENTO!$AF$11)),0)</f>
        <v>0</v>
      </c>
      <c r="AM43" s="178">
        <f ca="1">IF($D43&lt;&gt;"Serviço",0,IF(AND(AUTOEVENTO="Manual",$M43=1),0,IF(OFFSET(CRONOPLE!$F$14,$M43,AM$13)="",10^12,OFFSET(CRONOPLE!$F$14,$M43,AM$13))))</f>
        <v>1000000000000</v>
      </c>
      <c r="AN43" s="178">
        <f ca="1">IF($D43&lt;&gt;"Serviço",0,IF(AND(AUTOEVENTO="Manual",$M43=1),0,IF(OFFSET(CRONOPLE!$F$14,$M43,AN$13)="",10^12,OFFSET(CRONOPLE!$F$14,$M43,AN$13))))</f>
        <v>1000000000000</v>
      </c>
      <c r="AO43" s="178">
        <f ca="1">IF($D43&lt;&gt;"Serviço",0,IF(AND(AUTOEVENTO="Manual",$M43=1),0,IF(OFFSET(CRONOPLE!$F$14,$M43,AO$13)="",10^12,OFFSET(CRONOPLE!$F$14,$M43,AO$13))))</f>
        <v>1000000000000</v>
      </c>
      <c r="AP43" s="178">
        <f ca="1">IF($D43&lt;&gt;"Serviço",0,IF(AND(AUTOEVENTO="Manual",$M43=1),0,IF(OFFSET(CRONOPLE!$F$14,$M43,AP$13)="",10^12,OFFSET(CRONOPLE!$F$14,$M43,AP$13))))</f>
        <v>1000000000000</v>
      </c>
      <c r="AQ43" s="178">
        <f ca="1">IF($D43&lt;&gt;"Serviço",0,IF(AND(AUTOEVENTO="Manual",$M43=1),0,IF(OFFSET(CRONOPLE!$F$14,$M43,AQ$13)="",10^12,OFFSET(CRONOPLE!$F$14,$M43,AQ$13))))</f>
        <v>1000000000000</v>
      </c>
      <c r="AR43" s="178">
        <f ca="1">IF($D43&lt;&gt;"Serviço",0,IF(AND(AUTOEVENTO="Manual",$M43=1),0,IF(OFFSET(CRONOPLE!$F$14,$M43,AR$13)="",10^12,OFFSET(CRONOPLE!$F$14,$M43,AR$13))))</f>
        <v>1000000000000</v>
      </c>
      <c r="AS43" s="178">
        <f ca="1">IF($D43&lt;&gt;"Serviço",0,IF(AND(AUTOEVENTO="Manual",$M43=1),0,IF(OFFSET(CRONOPLE!$F$14,$M43,AS$13)="",10^12,OFFSET(CRONOPLE!$F$14,$M43,AS$13))))</f>
        <v>1000000000000</v>
      </c>
      <c r="AT43" s="178">
        <f ca="1">IF($D43&lt;&gt;"Serviço",0,IF(AND(AUTOEVENTO="Manual",$M43=1),0,IF(OFFSET(CRONOPLE!$F$14,$M43,AT$13)="",10^12,OFFSET(CRONOPLE!$F$14,$M43,AT$13))))</f>
        <v>1000000000000</v>
      </c>
      <c r="AU43" s="178">
        <f ca="1">IF($D43&lt;&gt;"Serviço",0,IF(AND(AUTOEVENTO="Manual",$M43=1),0,IF(OFFSET(CRONOPLE!$F$14,$M43,AU$13)="",10^12,OFFSET(CRONOPLE!$F$14,$M43,AU$13))))</f>
        <v>1000000000000</v>
      </c>
      <c r="AV43" s="178">
        <f ca="1">IF($D43&lt;&gt;"Serviço",0,IF(AND(AUTOEVENTO="Manual",$M43=1),0,IF(OFFSET(CRONOPLE!$F$14,$M43,AV$13)="",10^12,OFFSET(CRONOPLE!$F$14,$M43,AV$13))))</f>
        <v>1000000000000</v>
      </c>
      <c r="AX43" s="179">
        <f ca="1">IF($D43&lt;&gt;"Serviço",0,IF(OR(AND(AUTOEVENTO="Manual",$M43=1),$M43&gt;(ROW(PLE.lastrow)-ROW(PLE.firstrow))),0,IF(OFFSET(PLE!$G$14,$M43,AX$13)="",10^12,OFFSET(PLE!$G$14,$M43,AX$13))))</f>
        <v>1000000000000</v>
      </c>
      <c r="AY43" s="179">
        <f ca="1">IF($D43&lt;&gt;"Serviço",0,IF(OR(AND(AUTOEVENTO="Manual",$M43=1),$M43&gt;(ROW(PLE.lastrow)-ROW(PLE.firstrow))),0,IF(OFFSET(PLE!$G$14,$M43,AY$13)="",10^12,OFFSET(PLE!$G$14,$M43,AY$13))))</f>
        <v>1000000000000</v>
      </c>
      <c r="AZ43" s="179">
        <f ca="1">IF($D43&lt;&gt;"Serviço",0,IF(OR(AND(AUTOEVENTO="Manual",$M43=1),$M43&gt;(ROW(PLE.lastrow)-ROW(PLE.firstrow))),0,IF(OFFSET(PLE!$G$14,$M43,AZ$13)="",10^12,OFFSET(PLE!$G$14,$M43,AZ$13))))</f>
        <v>1000000000000</v>
      </c>
      <c r="BA43" s="179">
        <f ca="1">IF($D43&lt;&gt;"Serviço",0,IF(OR(AND(AUTOEVENTO="Manual",$M43=1),$M43&gt;(ROW(PLE.lastrow)-ROW(PLE.firstrow))),0,IF(OFFSET(PLE!$G$14,$M43,BA$13)="",10^12,OFFSET(PLE!$G$14,$M43,BA$13))))</f>
        <v>1000000000000</v>
      </c>
      <c r="BB43" s="179">
        <f ca="1">IF($D43&lt;&gt;"Serviço",0,IF(OR(AND(AUTOEVENTO="Manual",$M43=1),$M43&gt;(ROW(PLE.lastrow)-ROW(PLE.firstrow))),0,IF(OFFSET(PLE!$G$14,$M43,BB$13)="",10^12,OFFSET(PLE!$G$14,$M43,BB$13))))</f>
        <v>1000000000000</v>
      </c>
      <c r="BC43" s="179">
        <f ca="1">IF($D43&lt;&gt;"Serviço",0,IF(OR(AND(AUTOEVENTO="Manual",$M43=1),$M43&gt;(ROW(PLE.lastrow)-ROW(PLE.firstrow))),0,IF(OFFSET(PLE!$G$14,$M43,BC$13)="",10^12,OFFSET(PLE!$G$14,$M43,BC$13))))</f>
        <v>1000000000000</v>
      </c>
      <c r="BD43" s="179">
        <f ca="1">IF($D43&lt;&gt;"Serviço",0,IF(OR(AND(AUTOEVENTO="Manual",$M43=1),$M43&gt;(ROW(PLE.lastrow)-ROW(PLE.firstrow))),0,IF(OFFSET(PLE!$G$14,$M43,BD$13)="",10^12,OFFSET(PLE!$G$14,$M43,BD$13))))</f>
        <v>1000000000000</v>
      </c>
      <c r="BE43" s="179">
        <f ca="1">IF($D43&lt;&gt;"Serviço",0,IF(OR(AND(AUTOEVENTO="Manual",$M43=1),$M43&gt;(ROW(PLE.lastrow)-ROW(PLE.firstrow))),0,IF(OFFSET(PLE!$G$14,$M43,BE$13)="",10^12,OFFSET(PLE!$G$14,$M43,BE$13))))</f>
        <v>1000000000000</v>
      </c>
      <c r="BF43" s="179">
        <f ca="1">IF($D43&lt;&gt;"Serviço",0,IF(OR(AND(AUTOEVENTO="Manual",$M43=1),$M43&gt;(ROW(PLE.lastrow)-ROW(PLE.firstrow))),0,IF(OFFSET(PLE!$G$14,$M43,BF$13)="",10^12,OFFSET(PLE!$G$14,$M43,BF$13))))</f>
        <v>1000000000000</v>
      </c>
      <c r="BG43" s="179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7" t="str">
        <f t="shared" ca="1" si="8"/>
        <v>27</v>
      </c>
      <c r="B44" s="7" t="str">
        <f ca="1">OFFSET(ORÇAMENTO!C$15,ROW(B44)-ROW(B$15),0)</f>
        <v>S</v>
      </c>
      <c r="C44" s="7" t="str">
        <f ca="1">OFFSET(ORÇAMENTO!L$15,ROW(C44)-ROW(C$15),0)</f>
        <v/>
      </c>
      <c r="D44" s="115" t="str">
        <f ca="1">OFFSET(ORÇAMENTO!N$15,ROW(D44)-ROW(D$15),0)</f>
        <v>Serviço</v>
      </c>
      <c r="E44" s="116" t="str">
        <f ca="1">OFFSET(ORÇAMENTO!O$15,ROW(E44)-ROW(E$15),0)</f>
        <v>-</v>
      </c>
      <c r="F44" s="169" t="str">
        <f ca="1">OFFSET(ORÇAMENTO!R$15,ROW(F44)-ROW(F$15),0)</f>
        <v>(abra o arquivo 'Referência 10-2024.xlsm)</v>
      </c>
      <c r="G44" s="170" t="str">
        <f ca="1">IF($D44&lt;&gt;"Serviço","",OFFSET(ORÇAMENTO!S$15,ROW(G44)-ROW(G$15),0))</f>
        <v>-</v>
      </c>
      <c r="H44" s="121">
        <f ca="1">IF($D44&lt;&gt;"Serviço",0,IF(ACOMPANHAMENTO="BM",ROUND(OFFSET(ORÇAMENTO!AJ$15,ROW(H44)-ROW(H$15),0),15-13*ORÇAMENTO!$AF$7),SUMPRODUCT(($Q$12:$AA$12&lt;&gt;"")*ROUND($Q44:$AA44,15-13*ORÇAMENTO!$AF$7))))</f>
        <v>29.82</v>
      </c>
      <c r="I44" s="558" t="s">
        <v>561</v>
      </c>
      <c r="K44" s="171"/>
      <c r="L44" s="172" t="s">
        <v>255</v>
      </c>
      <c r="M44" s="173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174" t="str">
        <f ca="1">IF($D44&lt;&gt;"Serviço","",IF(AUTOEVENTO="Manual",IF($A44=0,"&lt;-- defina o número do agrupador",OFFSET(EVENTOS!$D$14,$A44,0)),OFFSET($F$15,$A44,0)))</f>
        <v>ESTRUTURA DE CONCRETO</v>
      </c>
      <c r="O44" s="175"/>
      <c r="Q44" s="175"/>
      <c r="R44" s="176"/>
      <c r="S44" s="176"/>
      <c r="T44" s="176"/>
      <c r="U44" s="176"/>
      <c r="V44" s="176"/>
      <c r="W44" s="176"/>
      <c r="X44" s="176"/>
      <c r="Y44" s="176"/>
      <c r="Z44" s="177"/>
      <c r="AB44" s="541">
        <f ca="1">IF(AND($D44="Serviço",AB$12&lt;&gt;0,$H44&gt;0,OR(AUTOEVENTO&lt;&gt;"manual",$M44&lt;&gt;1)),
IF(Import.TipoArredondamento&lt;&gt;"TransfereGOV",
ROUND(OFFSET($P44,0,AB$13),15-13*ORÇAMENTO!$AF$7)/$H44*OFFSET(ORÇAMENTO!$X$15,ROW(AB44)-ROW(AB$15),0),
ROUND(ROUND(OFFSET($P44,0,AB$13),15-13*ORÇAMENTO!$AF$7)*OFFSET(ORÇAMENTO!$W$15,ROW(AB44)-ROW(AB$15),0),15-13*ORÇAMENTO!$AF$11)),0)</f>
        <v>0</v>
      </c>
      <c r="AC44" s="542">
        <f ca="1">IF(AND($D44="Serviço",AC$12&lt;&gt;0,$H44&gt;0,OR(AUTOEVENTO&lt;&gt;"manual",$M44&lt;&gt;1)),
IF(Import.TipoArredondamento&lt;&gt;"TransfereGOV",
ROUND(OFFSET($P44,0,AC$13),15-13*ORÇAMENTO!$AF$7)/$H44*OFFSET(ORÇAMENTO!$X$15,ROW(AC44)-ROW(AC$15),0),
ROUND(ROUND(OFFSET($P44,0,AC$13),15-13*ORÇAMENTO!$AF$7)*OFFSET(ORÇAMENTO!$W$15,ROW(AC44)-ROW(AC$15),0),15-13*ORÇAMENTO!$AF$11)),0)</f>
        <v>0</v>
      </c>
      <c r="AD44" s="542">
        <f ca="1">IF(AND($D44="Serviço",AD$12&lt;&gt;0,$H44&gt;0,OR(AUTOEVENTO&lt;&gt;"manual",$M44&lt;&gt;1)),
IF(Import.TipoArredondamento&lt;&gt;"TransfereGOV",
ROUND(OFFSET($P44,0,AD$13),15-13*ORÇAMENTO!$AF$7)/$H44*OFFSET(ORÇAMENTO!$X$15,ROW(AD44)-ROW(AD$15),0),
ROUND(ROUND(OFFSET($P44,0,AD$13),15-13*ORÇAMENTO!$AF$7)*OFFSET(ORÇAMENTO!$W$15,ROW(AD44)-ROW(AD$15),0),15-13*ORÇAMENTO!$AF$11)),0)</f>
        <v>0</v>
      </c>
      <c r="AE44" s="542">
        <f ca="1">IF(AND($D44="Serviço",AE$12&lt;&gt;0,$H44&gt;0,OR(AUTOEVENTO&lt;&gt;"manual",$M44&lt;&gt;1)),
IF(Import.TipoArredondamento&lt;&gt;"TransfereGOV",
ROUND(OFFSET($P44,0,AE$13),15-13*ORÇAMENTO!$AF$7)/$H44*OFFSET(ORÇAMENTO!$X$15,ROW(AE44)-ROW(AE$15),0),
ROUND(ROUND(OFFSET($P44,0,AE$13),15-13*ORÇAMENTO!$AF$7)*OFFSET(ORÇAMENTO!$W$15,ROW(AE44)-ROW(AE$15),0),15-13*ORÇAMENTO!$AF$11)),0)</f>
        <v>0</v>
      </c>
      <c r="AF44" s="542">
        <f ca="1">IF(AND($D44="Serviço",AF$12&lt;&gt;0,$H44&gt;0,OR(AUTOEVENTO&lt;&gt;"manual",$M44&lt;&gt;1)),
IF(Import.TipoArredondamento&lt;&gt;"TransfereGOV",
ROUND(OFFSET($P44,0,AF$13),15-13*ORÇAMENTO!$AF$7)/$H44*OFFSET(ORÇAMENTO!$X$15,ROW(AF44)-ROW(AF$15),0),
ROUND(ROUND(OFFSET($P44,0,AF$13),15-13*ORÇAMENTO!$AF$7)*OFFSET(ORÇAMENTO!$W$15,ROW(AF44)-ROW(AF$15),0),15-13*ORÇAMENTO!$AF$11)),0)</f>
        <v>0</v>
      </c>
      <c r="AG44" s="542">
        <f ca="1">IF(AND($D44="Serviço",AG$12&lt;&gt;0,$H44&gt;0,OR(AUTOEVENTO&lt;&gt;"manual",$M44&lt;&gt;1)),
IF(Import.TipoArredondamento&lt;&gt;"TransfereGOV",
ROUND(OFFSET($P44,0,AG$13),15-13*ORÇAMENTO!$AF$7)/$H44*OFFSET(ORÇAMENTO!$X$15,ROW(AG44)-ROW(AG$15),0),
ROUND(ROUND(OFFSET($P44,0,AG$13),15-13*ORÇAMENTO!$AF$7)*OFFSET(ORÇAMENTO!$W$15,ROW(AG44)-ROW(AG$15),0),15-13*ORÇAMENTO!$AF$11)),0)</f>
        <v>0</v>
      </c>
      <c r="AH44" s="542">
        <f ca="1">IF(AND($D44="Serviço",AH$12&lt;&gt;0,$H44&gt;0,OR(AUTOEVENTO&lt;&gt;"manual",$M44&lt;&gt;1)),
IF(Import.TipoArredondamento&lt;&gt;"TransfereGOV",
ROUND(OFFSET($P44,0,AH$13),15-13*ORÇAMENTO!$AF$7)/$H44*OFFSET(ORÇAMENTO!$X$15,ROW(AH44)-ROW(AH$15),0),
ROUND(ROUND(OFFSET($P44,0,AH$13),15-13*ORÇAMENTO!$AF$7)*OFFSET(ORÇAMENTO!$W$15,ROW(AH44)-ROW(AH$15),0),15-13*ORÇAMENTO!$AF$11)),0)</f>
        <v>0</v>
      </c>
      <c r="AI44" s="542">
        <f ca="1">IF(AND($D44="Serviço",AI$12&lt;&gt;0,$H44&gt;0,OR(AUTOEVENTO&lt;&gt;"manual",$M44&lt;&gt;1)),
IF(Import.TipoArredondamento&lt;&gt;"TransfereGOV",
ROUND(OFFSET($P44,0,AI$13),15-13*ORÇAMENTO!$AF$7)/$H44*OFFSET(ORÇAMENTO!$X$15,ROW(AI44)-ROW(AI$15),0),
ROUND(ROUND(OFFSET($P44,0,AI$13),15-13*ORÇAMENTO!$AF$7)*OFFSET(ORÇAMENTO!$W$15,ROW(AI44)-ROW(AI$15),0),15-13*ORÇAMENTO!$AF$11)),0)</f>
        <v>0</v>
      </c>
      <c r="AJ44" s="542">
        <f ca="1">IF(AND($D44="Serviço",AJ$12&lt;&gt;0,$H44&gt;0,OR(AUTOEVENTO&lt;&gt;"manual",$M44&lt;&gt;1)),
IF(Import.TipoArredondamento&lt;&gt;"TransfereGOV",
ROUND(OFFSET($P44,0,AJ$13),15-13*ORÇAMENTO!$AF$7)/$H44*OFFSET(ORÇAMENTO!$X$15,ROW(AJ44)-ROW(AJ$15),0),
ROUND(ROUND(OFFSET($P44,0,AJ$13),15-13*ORÇAMENTO!$AF$7)*OFFSET(ORÇAMENTO!$W$15,ROW(AJ44)-ROW(AJ$15),0),15-13*ORÇAMENTO!$AF$11)),0)</f>
        <v>0</v>
      </c>
      <c r="AK44" s="543">
        <f ca="1">IF(AND($D44="Serviço",AK$12&lt;&gt;0,$H44&gt;0,OR(AUTOEVENTO&lt;&gt;"manual",$M44&lt;&gt;1)),
IF(Import.TipoArredondamento&lt;&gt;"TransfereGOV",
ROUND(OFFSET($P44,0,AK$13),15-13*ORÇAMENTO!$AF$7)/$H44*OFFSET(ORÇAMENTO!$X$15,ROW(AK44)-ROW(AK$15),0),
ROUND(ROUND(OFFSET($P44,0,AK$13),15-13*ORÇAMENTO!$AF$7)*OFFSET(ORÇAMENTO!$W$15,ROW(AK44)-ROW(AK$15),0),15-13*ORÇAMENTO!$AF$11)),0)</f>
        <v>0</v>
      </c>
      <c r="AM44" s="178">
        <f ca="1">IF($D44&lt;&gt;"Serviço",0,IF(AND(AUTOEVENTO="Manual",$M44=1),0,IF(OFFSET(CRONOPLE!$F$14,$M44,AM$13)="",10^12,OFFSET(CRONOPLE!$F$14,$M44,AM$13))))</f>
        <v>1000000000000</v>
      </c>
      <c r="AN44" s="178">
        <f ca="1">IF($D44&lt;&gt;"Serviço",0,IF(AND(AUTOEVENTO="Manual",$M44=1),0,IF(OFFSET(CRONOPLE!$F$14,$M44,AN$13)="",10^12,OFFSET(CRONOPLE!$F$14,$M44,AN$13))))</f>
        <v>1000000000000</v>
      </c>
      <c r="AO44" s="178">
        <f ca="1">IF($D44&lt;&gt;"Serviço",0,IF(AND(AUTOEVENTO="Manual",$M44=1),0,IF(OFFSET(CRONOPLE!$F$14,$M44,AO$13)="",10^12,OFFSET(CRONOPLE!$F$14,$M44,AO$13))))</f>
        <v>1000000000000</v>
      </c>
      <c r="AP44" s="178">
        <f ca="1">IF($D44&lt;&gt;"Serviço",0,IF(AND(AUTOEVENTO="Manual",$M44=1),0,IF(OFFSET(CRONOPLE!$F$14,$M44,AP$13)="",10^12,OFFSET(CRONOPLE!$F$14,$M44,AP$13))))</f>
        <v>1000000000000</v>
      </c>
      <c r="AQ44" s="178">
        <f ca="1">IF($D44&lt;&gt;"Serviço",0,IF(AND(AUTOEVENTO="Manual",$M44=1),0,IF(OFFSET(CRONOPLE!$F$14,$M44,AQ$13)="",10^12,OFFSET(CRONOPLE!$F$14,$M44,AQ$13))))</f>
        <v>1000000000000</v>
      </c>
      <c r="AR44" s="178">
        <f ca="1">IF($D44&lt;&gt;"Serviço",0,IF(AND(AUTOEVENTO="Manual",$M44=1),0,IF(OFFSET(CRONOPLE!$F$14,$M44,AR$13)="",10^12,OFFSET(CRONOPLE!$F$14,$M44,AR$13))))</f>
        <v>1000000000000</v>
      </c>
      <c r="AS44" s="178">
        <f ca="1">IF($D44&lt;&gt;"Serviço",0,IF(AND(AUTOEVENTO="Manual",$M44=1),0,IF(OFFSET(CRONOPLE!$F$14,$M44,AS$13)="",10^12,OFFSET(CRONOPLE!$F$14,$M44,AS$13))))</f>
        <v>1000000000000</v>
      </c>
      <c r="AT44" s="178">
        <f ca="1">IF($D44&lt;&gt;"Serviço",0,IF(AND(AUTOEVENTO="Manual",$M44=1),0,IF(OFFSET(CRONOPLE!$F$14,$M44,AT$13)="",10^12,OFFSET(CRONOPLE!$F$14,$M44,AT$13))))</f>
        <v>1000000000000</v>
      </c>
      <c r="AU44" s="178">
        <f ca="1">IF($D44&lt;&gt;"Serviço",0,IF(AND(AUTOEVENTO="Manual",$M44=1),0,IF(OFFSET(CRONOPLE!$F$14,$M44,AU$13)="",10^12,OFFSET(CRONOPLE!$F$14,$M44,AU$13))))</f>
        <v>1000000000000</v>
      </c>
      <c r="AV44" s="178">
        <f ca="1">IF($D44&lt;&gt;"Serviço",0,IF(AND(AUTOEVENTO="Manual",$M44=1),0,IF(OFFSET(CRONOPLE!$F$14,$M44,AV$13)="",10^12,OFFSET(CRONOPLE!$F$14,$M44,AV$13))))</f>
        <v>1000000000000</v>
      </c>
      <c r="AX44" s="179">
        <f ca="1">IF($D44&lt;&gt;"Serviço",0,IF(OR(AND(AUTOEVENTO="Manual",$M44=1),$M44&gt;(ROW(PLE.lastrow)-ROW(PLE.firstrow))),0,IF(OFFSET(PLE!$G$14,$M44,AX$13)="",10^12,OFFSET(PLE!$G$14,$M44,AX$13))))</f>
        <v>1000000000000</v>
      </c>
      <c r="AY44" s="179">
        <f ca="1">IF($D44&lt;&gt;"Serviço",0,IF(OR(AND(AUTOEVENTO="Manual",$M44=1),$M44&gt;(ROW(PLE.lastrow)-ROW(PLE.firstrow))),0,IF(OFFSET(PLE!$G$14,$M44,AY$13)="",10^12,OFFSET(PLE!$G$14,$M44,AY$13))))</f>
        <v>1000000000000</v>
      </c>
      <c r="AZ44" s="179">
        <f ca="1">IF($D44&lt;&gt;"Serviço",0,IF(OR(AND(AUTOEVENTO="Manual",$M44=1),$M44&gt;(ROW(PLE.lastrow)-ROW(PLE.firstrow))),0,IF(OFFSET(PLE!$G$14,$M44,AZ$13)="",10^12,OFFSET(PLE!$G$14,$M44,AZ$13))))</f>
        <v>1000000000000</v>
      </c>
      <c r="BA44" s="179">
        <f ca="1">IF($D44&lt;&gt;"Serviço",0,IF(OR(AND(AUTOEVENTO="Manual",$M44=1),$M44&gt;(ROW(PLE.lastrow)-ROW(PLE.firstrow))),0,IF(OFFSET(PLE!$G$14,$M44,BA$13)="",10^12,OFFSET(PLE!$G$14,$M44,BA$13))))</f>
        <v>1000000000000</v>
      </c>
      <c r="BB44" s="179">
        <f ca="1">IF($D44&lt;&gt;"Serviço",0,IF(OR(AND(AUTOEVENTO="Manual",$M44=1),$M44&gt;(ROW(PLE.lastrow)-ROW(PLE.firstrow))),0,IF(OFFSET(PLE!$G$14,$M44,BB$13)="",10^12,OFFSET(PLE!$G$14,$M44,BB$13))))</f>
        <v>1000000000000</v>
      </c>
      <c r="BC44" s="179">
        <f ca="1">IF($D44&lt;&gt;"Serviço",0,IF(OR(AND(AUTOEVENTO="Manual",$M44=1),$M44&gt;(ROW(PLE.lastrow)-ROW(PLE.firstrow))),0,IF(OFFSET(PLE!$G$14,$M44,BC$13)="",10^12,OFFSET(PLE!$G$14,$M44,BC$13))))</f>
        <v>1000000000000</v>
      </c>
      <c r="BD44" s="179">
        <f ca="1">IF($D44&lt;&gt;"Serviço",0,IF(OR(AND(AUTOEVENTO="Manual",$M44=1),$M44&gt;(ROW(PLE.lastrow)-ROW(PLE.firstrow))),0,IF(OFFSET(PLE!$G$14,$M44,BD$13)="",10^12,OFFSET(PLE!$G$14,$M44,BD$13))))</f>
        <v>1000000000000</v>
      </c>
      <c r="BE44" s="179">
        <f ca="1">IF($D44&lt;&gt;"Serviço",0,IF(OR(AND(AUTOEVENTO="Manual",$M44=1),$M44&gt;(ROW(PLE.lastrow)-ROW(PLE.firstrow))),0,IF(OFFSET(PLE!$G$14,$M44,BE$13)="",10^12,OFFSET(PLE!$G$14,$M44,BE$13))))</f>
        <v>1000000000000</v>
      </c>
      <c r="BF44" s="179">
        <f ca="1">IF($D44&lt;&gt;"Serviço",0,IF(OR(AND(AUTOEVENTO="Manual",$M44=1),$M44&gt;(ROW(PLE.lastrow)-ROW(PLE.firstrow))),0,IF(OFFSET(PLE!$G$14,$M44,BF$13)="",10^12,OFFSET(PLE!$G$14,$M44,BF$13))))</f>
        <v>1000000000000</v>
      </c>
      <c r="BG44" s="179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38.25" x14ac:dyDescent="0.2">
      <c r="A45" s="7" t="str">
        <f t="shared" ca="1" si="8"/>
        <v>27</v>
      </c>
      <c r="B45" s="7" t="str">
        <f ca="1">OFFSET(ORÇAMENTO!C$15,ROW(B45)-ROW(B$15),0)</f>
        <v>S</v>
      </c>
      <c r="C45" s="7" t="str">
        <f ca="1">OFFSET(ORÇAMENTO!L$15,ROW(C45)-ROW(C$15),0)</f>
        <v/>
      </c>
      <c r="D45" s="115" t="str">
        <f ca="1">OFFSET(ORÇAMENTO!N$15,ROW(D45)-ROW(D$15),0)</f>
        <v>Serviço</v>
      </c>
      <c r="E45" s="116" t="str">
        <f ca="1">OFFSET(ORÇAMENTO!O$15,ROW(E45)-ROW(E$15),0)</f>
        <v>-</v>
      </c>
      <c r="F45" s="169" t="str">
        <f ca="1">OFFSET(ORÇAMENTO!R$15,ROW(F45)-ROW(F$15),0)</f>
        <v>(abra o arquivo 'Referência 10-2024.xlsm)</v>
      </c>
      <c r="G45" s="170" t="str">
        <f ca="1">IF($D45&lt;&gt;"Serviço","",OFFSET(ORÇAMENTO!S$15,ROW(G45)-ROW(G$15),0))</f>
        <v>-</v>
      </c>
      <c r="H45" s="121">
        <f ca="1">IF($D45&lt;&gt;"Serviço",0,IF(ACOMPANHAMENTO="BM",ROUND(OFFSET(ORÇAMENTO!AJ$15,ROW(H45)-ROW(H$15),0),15-13*ORÇAMENTO!$AF$7),SUMPRODUCT(($Q$12:$AA$12&lt;&gt;"")*ROUND($Q45:$AA45,15-13*ORÇAMENTO!$AF$7))))</f>
        <v>166.73</v>
      </c>
      <c r="I45" s="558" t="s">
        <v>561</v>
      </c>
      <c r="K45" s="171"/>
      <c r="L45" s="172" t="s">
        <v>255</v>
      </c>
      <c r="M45" s="173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174" t="str">
        <f ca="1">IF($D45&lt;&gt;"Serviço","",IF(AUTOEVENTO="Manual",IF($A45=0,"&lt;-- defina o número do agrupador",OFFSET(EVENTOS!$D$14,$A45,0)),OFFSET($F$15,$A45,0)))</f>
        <v>ESTRUTURA DE CONCRETO</v>
      </c>
      <c r="O45" s="175"/>
      <c r="Q45" s="175"/>
      <c r="R45" s="176"/>
      <c r="S45" s="176"/>
      <c r="T45" s="176"/>
      <c r="U45" s="176"/>
      <c r="V45" s="176"/>
      <c r="W45" s="176"/>
      <c r="X45" s="176"/>
      <c r="Y45" s="176"/>
      <c r="Z45" s="177"/>
      <c r="AB45" s="541">
        <f ca="1">IF(AND($D45="Serviço",AB$12&lt;&gt;0,$H45&gt;0,OR(AUTOEVENTO&lt;&gt;"manual",$M45&lt;&gt;1)),
IF(Import.TipoArredondamento&lt;&gt;"TransfereGOV",
ROUND(OFFSET($P45,0,AB$13),15-13*ORÇAMENTO!$AF$7)/$H45*OFFSET(ORÇAMENTO!$X$15,ROW(AB45)-ROW(AB$15),0),
ROUND(ROUND(OFFSET($P45,0,AB$13),15-13*ORÇAMENTO!$AF$7)*OFFSET(ORÇAMENTO!$W$15,ROW(AB45)-ROW(AB$15),0),15-13*ORÇAMENTO!$AF$11)),0)</f>
        <v>0</v>
      </c>
      <c r="AC45" s="542">
        <f ca="1">IF(AND($D45="Serviço",AC$12&lt;&gt;0,$H45&gt;0,OR(AUTOEVENTO&lt;&gt;"manual",$M45&lt;&gt;1)),
IF(Import.TipoArredondamento&lt;&gt;"TransfereGOV",
ROUND(OFFSET($P45,0,AC$13),15-13*ORÇAMENTO!$AF$7)/$H45*OFFSET(ORÇAMENTO!$X$15,ROW(AC45)-ROW(AC$15),0),
ROUND(ROUND(OFFSET($P45,0,AC$13),15-13*ORÇAMENTO!$AF$7)*OFFSET(ORÇAMENTO!$W$15,ROW(AC45)-ROW(AC$15),0),15-13*ORÇAMENTO!$AF$11)),0)</f>
        <v>0</v>
      </c>
      <c r="AD45" s="542">
        <f ca="1">IF(AND($D45="Serviço",AD$12&lt;&gt;0,$H45&gt;0,OR(AUTOEVENTO&lt;&gt;"manual",$M45&lt;&gt;1)),
IF(Import.TipoArredondamento&lt;&gt;"TransfereGOV",
ROUND(OFFSET($P45,0,AD$13),15-13*ORÇAMENTO!$AF$7)/$H45*OFFSET(ORÇAMENTO!$X$15,ROW(AD45)-ROW(AD$15),0),
ROUND(ROUND(OFFSET($P45,0,AD$13),15-13*ORÇAMENTO!$AF$7)*OFFSET(ORÇAMENTO!$W$15,ROW(AD45)-ROW(AD$15),0),15-13*ORÇAMENTO!$AF$11)),0)</f>
        <v>0</v>
      </c>
      <c r="AE45" s="542">
        <f ca="1">IF(AND($D45="Serviço",AE$12&lt;&gt;0,$H45&gt;0,OR(AUTOEVENTO&lt;&gt;"manual",$M45&lt;&gt;1)),
IF(Import.TipoArredondamento&lt;&gt;"TransfereGOV",
ROUND(OFFSET($P45,0,AE$13),15-13*ORÇAMENTO!$AF$7)/$H45*OFFSET(ORÇAMENTO!$X$15,ROW(AE45)-ROW(AE$15),0),
ROUND(ROUND(OFFSET($P45,0,AE$13),15-13*ORÇAMENTO!$AF$7)*OFFSET(ORÇAMENTO!$W$15,ROW(AE45)-ROW(AE$15),0),15-13*ORÇAMENTO!$AF$11)),0)</f>
        <v>0</v>
      </c>
      <c r="AF45" s="542">
        <f ca="1">IF(AND($D45="Serviço",AF$12&lt;&gt;0,$H45&gt;0,OR(AUTOEVENTO&lt;&gt;"manual",$M45&lt;&gt;1)),
IF(Import.TipoArredondamento&lt;&gt;"TransfereGOV",
ROUND(OFFSET($P45,0,AF$13),15-13*ORÇAMENTO!$AF$7)/$H45*OFFSET(ORÇAMENTO!$X$15,ROW(AF45)-ROW(AF$15),0),
ROUND(ROUND(OFFSET($P45,0,AF$13),15-13*ORÇAMENTO!$AF$7)*OFFSET(ORÇAMENTO!$W$15,ROW(AF45)-ROW(AF$15),0),15-13*ORÇAMENTO!$AF$11)),0)</f>
        <v>0</v>
      </c>
      <c r="AG45" s="542">
        <f ca="1">IF(AND($D45="Serviço",AG$12&lt;&gt;0,$H45&gt;0,OR(AUTOEVENTO&lt;&gt;"manual",$M45&lt;&gt;1)),
IF(Import.TipoArredondamento&lt;&gt;"TransfereGOV",
ROUND(OFFSET($P45,0,AG$13),15-13*ORÇAMENTO!$AF$7)/$H45*OFFSET(ORÇAMENTO!$X$15,ROW(AG45)-ROW(AG$15),0),
ROUND(ROUND(OFFSET($P45,0,AG$13),15-13*ORÇAMENTO!$AF$7)*OFFSET(ORÇAMENTO!$W$15,ROW(AG45)-ROW(AG$15),0),15-13*ORÇAMENTO!$AF$11)),0)</f>
        <v>0</v>
      </c>
      <c r="AH45" s="542">
        <f ca="1">IF(AND($D45="Serviço",AH$12&lt;&gt;0,$H45&gt;0,OR(AUTOEVENTO&lt;&gt;"manual",$M45&lt;&gt;1)),
IF(Import.TipoArredondamento&lt;&gt;"TransfereGOV",
ROUND(OFFSET($P45,0,AH$13),15-13*ORÇAMENTO!$AF$7)/$H45*OFFSET(ORÇAMENTO!$X$15,ROW(AH45)-ROW(AH$15),0),
ROUND(ROUND(OFFSET($P45,0,AH$13),15-13*ORÇAMENTO!$AF$7)*OFFSET(ORÇAMENTO!$W$15,ROW(AH45)-ROW(AH$15),0),15-13*ORÇAMENTO!$AF$11)),0)</f>
        <v>0</v>
      </c>
      <c r="AI45" s="542">
        <f ca="1">IF(AND($D45="Serviço",AI$12&lt;&gt;0,$H45&gt;0,OR(AUTOEVENTO&lt;&gt;"manual",$M45&lt;&gt;1)),
IF(Import.TipoArredondamento&lt;&gt;"TransfereGOV",
ROUND(OFFSET($P45,0,AI$13),15-13*ORÇAMENTO!$AF$7)/$H45*OFFSET(ORÇAMENTO!$X$15,ROW(AI45)-ROW(AI$15),0),
ROUND(ROUND(OFFSET($P45,0,AI$13),15-13*ORÇAMENTO!$AF$7)*OFFSET(ORÇAMENTO!$W$15,ROW(AI45)-ROW(AI$15),0),15-13*ORÇAMENTO!$AF$11)),0)</f>
        <v>0</v>
      </c>
      <c r="AJ45" s="542">
        <f ca="1">IF(AND($D45="Serviço",AJ$12&lt;&gt;0,$H45&gt;0,OR(AUTOEVENTO&lt;&gt;"manual",$M45&lt;&gt;1)),
IF(Import.TipoArredondamento&lt;&gt;"TransfereGOV",
ROUND(OFFSET($P45,0,AJ$13),15-13*ORÇAMENTO!$AF$7)/$H45*OFFSET(ORÇAMENTO!$X$15,ROW(AJ45)-ROW(AJ$15),0),
ROUND(ROUND(OFFSET($P45,0,AJ$13),15-13*ORÇAMENTO!$AF$7)*OFFSET(ORÇAMENTO!$W$15,ROW(AJ45)-ROW(AJ$15),0),15-13*ORÇAMENTO!$AF$11)),0)</f>
        <v>0</v>
      </c>
      <c r="AK45" s="543">
        <f ca="1">IF(AND($D45="Serviço",AK$12&lt;&gt;0,$H45&gt;0,OR(AUTOEVENTO&lt;&gt;"manual",$M45&lt;&gt;1)),
IF(Import.TipoArredondamento&lt;&gt;"TransfereGOV",
ROUND(OFFSET($P45,0,AK$13),15-13*ORÇAMENTO!$AF$7)/$H45*OFFSET(ORÇAMENTO!$X$15,ROW(AK45)-ROW(AK$15),0),
ROUND(ROUND(OFFSET($P45,0,AK$13),15-13*ORÇAMENTO!$AF$7)*OFFSET(ORÇAMENTO!$W$15,ROW(AK45)-ROW(AK$15),0),15-13*ORÇAMENTO!$AF$11)),0)</f>
        <v>0</v>
      </c>
      <c r="AM45" s="178">
        <f ca="1">IF($D45&lt;&gt;"Serviço",0,IF(AND(AUTOEVENTO="Manual",$M45=1),0,IF(OFFSET(CRONOPLE!$F$14,$M45,AM$13)="",10^12,OFFSET(CRONOPLE!$F$14,$M45,AM$13))))</f>
        <v>1000000000000</v>
      </c>
      <c r="AN45" s="178">
        <f ca="1">IF($D45&lt;&gt;"Serviço",0,IF(AND(AUTOEVENTO="Manual",$M45=1),0,IF(OFFSET(CRONOPLE!$F$14,$M45,AN$13)="",10^12,OFFSET(CRONOPLE!$F$14,$M45,AN$13))))</f>
        <v>1000000000000</v>
      </c>
      <c r="AO45" s="178">
        <f ca="1">IF($D45&lt;&gt;"Serviço",0,IF(AND(AUTOEVENTO="Manual",$M45=1),0,IF(OFFSET(CRONOPLE!$F$14,$M45,AO$13)="",10^12,OFFSET(CRONOPLE!$F$14,$M45,AO$13))))</f>
        <v>1000000000000</v>
      </c>
      <c r="AP45" s="178">
        <f ca="1">IF($D45&lt;&gt;"Serviço",0,IF(AND(AUTOEVENTO="Manual",$M45=1),0,IF(OFFSET(CRONOPLE!$F$14,$M45,AP$13)="",10^12,OFFSET(CRONOPLE!$F$14,$M45,AP$13))))</f>
        <v>1000000000000</v>
      </c>
      <c r="AQ45" s="178">
        <f ca="1">IF($D45&lt;&gt;"Serviço",0,IF(AND(AUTOEVENTO="Manual",$M45=1),0,IF(OFFSET(CRONOPLE!$F$14,$M45,AQ$13)="",10^12,OFFSET(CRONOPLE!$F$14,$M45,AQ$13))))</f>
        <v>1000000000000</v>
      </c>
      <c r="AR45" s="178">
        <f ca="1">IF($D45&lt;&gt;"Serviço",0,IF(AND(AUTOEVENTO="Manual",$M45=1),0,IF(OFFSET(CRONOPLE!$F$14,$M45,AR$13)="",10^12,OFFSET(CRONOPLE!$F$14,$M45,AR$13))))</f>
        <v>1000000000000</v>
      </c>
      <c r="AS45" s="178">
        <f ca="1">IF($D45&lt;&gt;"Serviço",0,IF(AND(AUTOEVENTO="Manual",$M45=1),0,IF(OFFSET(CRONOPLE!$F$14,$M45,AS$13)="",10^12,OFFSET(CRONOPLE!$F$14,$M45,AS$13))))</f>
        <v>1000000000000</v>
      </c>
      <c r="AT45" s="178">
        <f ca="1">IF($D45&lt;&gt;"Serviço",0,IF(AND(AUTOEVENTO="Manual",$M45=1),0,IF(OFFSET(CRONOPLE!$F$14,$M45,AT$13)="",10^12,OFFSET(CRONOPLE!$F$14,$M45,AT$13))))</f>
        <v>1000000000000</v>
      </c>
      <c r="AU45" s="178">
        <f ca="1">IF($D45&lt;&gt;"Serviço",0,IF(AND(AUTOEVENTO="Manual",$M45=1),0,IF(OFFSET(CRONOPLE!$F$14,$M45,AU$13)="",10^12,OFFSET(CRONOPLE!$F$14,$M45,AU$13))))</f>
        <v>1000000000000</v>
      </c>
      <c r="AV45" s="178">
        <f ca="1">IF($D45&lt;&gt;"Serviço",0,IF(AND(AUTOEVENTO="Manual",$M45=1),0,IF(OFFSET(CRONOPLE!$F$14,$M45,AV$13)="",10^12,OFFSET(CRONOPLE!$F$14,$M45,AV$13))))</f>
        <v>1000000000000</v>
      </c>
      <c r="AX45" s="179">
        <f ca="1">IF($D45&lt;&gt;"Serviço",0,IF(OR(AND(AUTOEVENTO="Manual",$M45=1),$M45&gt;(ROW(PLE.lastrow)-ROW(PLE.firstrow))),0,IF(OFFSET(PLE!$G$14,$M45,AX$13)="",10^12,OFFSET(PLE!$G$14,$M45,AX$13))))</f>
        <v>1000000000000</v>
      </c>
      <c r="AY45" s="179">
        <f ca="1">IF($D45&lt;&gt;"Serviço",0,IF(OR(AND(AUTOEVENTO="Manual",$M45=1),$M45&gt;(ROW(PLE.lastrow)-ROW(PLE.firstrow))),0,IF(OFFSET(PLE!$G$14,$M45,AY$13)="",10^12,OFFSET(PLE!$G$14,$M45,AY$13))))</f>
        <v>1000000000000</v>
      </c>
      <c r="AZ45" s="179">
        <f ca="1">IF($D45&lt;&gt;"Serviço",0,IF(OR(AND(AUTOEVENTO="Manual",$M45=1),$M45&gt;(ROW(PLE.lastrow)-ROW(PLE.firstrow))),0,IF(OFFSET(PLE!$G$14,$M45,AZ$13)="",10^12,OFFSET(PLE!$G$14,$M45,AZ$13))))</f>
        <v>1000000000000</v>
      </c>
      <c r="BA45" s="179">
        <f ca="1">IF($D45&lt;&gt;"Serviço",0,IF(OR(AND(AUTOEVENTO="Manual",$M45=1),$M45&gt;(ROW(PLE.lastrow)-ROW(PLE.firstrow))),0,IF(OFFSET(PLE!$G$14,$M45,BA$13)="",10^12,OFFSET(PLE!$G$14,$M45,BA$13))))</f>
        <v>1000000000000</v>
      </c>
      <c r="BB45" s="179">
        <f ca="1">IF($D45&lt;&gt;"Serviço",0,IF(OR(AND(AUTOEVENTO="Manual",$M45=1),$M45&gt;(ROW(PLE.lastrow)-ROW(PLE.firstrow))),0,IF(OFFSET(PLE!$G$14,$M45,BB$13)="",10^12,OFFSET(PLE!$G$14,$M45,BB$13))))</f>
        <v>1000000000000</v>
      </c>
      <c r="BC45" s="179">
        <f ca="1">IF($D45&lt;&gt;"Serviço",0,IF(OR(AND(AUTOEVENTO="Manual",$M45=1),$M45&gt;(ROW(PLE.lastrow)-ROW(PLE.firstrow))),0,IF(OFFSET(PLE!$G$14,$M45,BC$13)="",10^12,OFFSET(PLE!$G$14,$M45,BC$13))))</f>
        <v>1000000000000</v>
      </c>
      <c r="BD45" s="179">
        <f ca="1">IF($D45&lt;&gt;"Serviço",0,IF(OR(AND(AUTOEVENTO="Manual",$M45=1),$M45&gt;(ROW(PLE.lastrow)-ROW(PLE.firstrow))),0,IF(OFFSET(PLE!$G$14,$M45,BD$13)="",10^12,OFFSET(PLE!$G$14,$M45,BD$13))))</f>
        <v>1000000000000</v>
      </c>
      <c r="BE45" s="179">
        <f ca="1">IF($D45&lt;&gt;"Serviço",0,IF(OR(AND(AUTOEVENTO="Manual",$M45=1),$M45&gt;(ROW(PLE.lastrow)-ROW(PLE.firstrow))),0,IF(OFFSET(PLE!$G$14,$M45,BE$13)="",10^12,OFFSET(PLE!$G$14,$M45,BE$13))))</f>
        <v>1000000000000</v>
      </c>
      <c r="BF45" s="179">
        <f ca="1">IF($D45&lt;&gt;"Serviço",0,IF(OR(AND(AUTOEVENTO="Manual",$M45=1),$M45&gt;(ROW(PLE.lastrow)-ROW(PLE.firstrow))),0,IF(OFFSET(PLE!$G$14,$M45,BF$13)="",10^12,OFFSET(PLE!$G$14,$M45,BF$13))))</f>
        <v>1000000000000</v>
      </c>
      <c r="BG45" s="179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38.25" x14ac:dyDescent="0.2">
      <c r="A46" s="7" t="str">
        <f t="shared" ca="1" si="8"/>
        <v>27</v>
      </c>
      <c r="B46" s="7" t="str">
        <f ca="1">OFFSET(ORÇAMENTO!C$15,ROW(B46)-ROW(B$15),0)</f>
        <v>S</v>
      </c>
      <c r="C46" s="7" t="str">
        <f ca="1">OFFSET(ORÇAMENTO!L$15,ROW(C46)-ROW(C$15),0)</f>
        <v/>
      </c>
      <c r="D46" s="115" t="str">
        <f ca="1">OFFSET(ORÇAMENTO!N$15,ROW(D46)-ROW(D$15),0)</f>
        <v>Serviço</v>
      </c>
      <c r="E46" s="116" t="str">
        <f ca="1">OFFSET(ORÇAMENTO!O$15,ROW(E46)-ROW(E$15),0)</f>
        <v>-</v>
      </c>
      <c r="F46" s="169" t="str">
        <f ca="1">OFFSET(ORÇAMENTO!R$15,ROW(F46)-ROW(F$15),0)</f>
        <v>(abra o arquivo 'Referência 10-2024.xlsm)</v>
      </c>
      <c r="G46" s="170" t="str">
        <f ca="1">IF($D46&lt;&gt;"Serviço","",OFFSET(ORÇAMENTO!S$15,ROW(G46)-ROW(G$15),0))</f>
        <v>-</v>
      </c>
      <c r="H46" s="121">
        <f ca="1">IF($D46&lt;&gt;"Serviço",0,IF(ACOMPANHAMENTO="BM",ROUND(OFFSET(ORÇAMENTO!AJ$15,ROW(H46)-ROW(H$15),0),15-13*ORÇAMENTO!$AF$7),SUMPRODUCT(($Q$12:$AA$12&lt;&gt;"")*ROUND($Q46:$AA46,15-13*ORÇAMENTO!$AF$7))))</f>
        <v>64.7</v>
      </c>
      <c r="I46" s="558" t="s">
        <v>561</v>
      </c>
      <c r="K46" s="171"/>
      <c r="L46" s="172" t="s">
        <v>255</v>
      </c>
      <c r="M46" s="173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174" t="str">
        <f ca="1">IF($D46&lt;&gt;"Serviço","",IF(AUTOEVENTO="Manual",IF($A46=0,"&lt;-- defina o número do agrupador",OFFSET(EVENTOS!$D$14,$A46,0)),OFFSET($F$15,$A46,0)))</f>
        <v>ESTRUTURA DE CONCRETO</v>
      </c>
      <c r="O46" s="175"/>
      <c r="Q46" s="175"/>
      <c r="R46" s="176"/>
      <c r="S46" s="176"/>
      <c r="T46" s="176"/>
      <c r="U46" s="176"/>
      <c r="V46" s="176"/>
      <c r="W46" s="176"/>
      <c r="X46" s="176"/>
      <c r="Y46" s="176"/>
      <c r="Z46" s="177"/>
      <c r="AB46" s="541">
        <f ca="1">IF(AND($D46="Serviço",AB$12&lt;&gt;0,$H46&gt;0,OR(AUTOEVENTO&lt;&gt;"manual",$M46&lt;&gt;1)),
IF(Import.TipoArredondamento&lt;&gt;"TransfereGOV",
ROUND(OFFSET($P46,0,AB$13),15-13*ORÇAMENTO!$AF$7)/$H46*OFFSET(ORÇAMENTO!$X$15,ROW(AB46)-ROW(AB$15),0),
ROUND(ROUND(OFFSET($P46,0,AB$13),15-13*ORÇAMENTO!$AF$7)*OFFSET(ORÇAMENTO!$W$15,ROW(AB46)-ROW(AB$15),0),15-13*ORÇAMENTO!$AF$11)),0)</f>
        <v>0</v>
      </c>
      <c r="AC46" s="542">
        <f ca="1">IF(AND($D46="Serviço",AC$12&lt;&gt;0,$H46&gt;0,OR(AUTOEVENTO&lt;&gt;"manual",$M46&lt;&gt;1)),
IF(Import.TipoArredondamento&lt;&gt;"TransfereGOV",
ROUND(OFFSET($P46,0,AC$13),15-13*ORÇAMENTO!$AF$7)/$H46*OFFSET(ORÇAMENTO!$X$15,ROW(AC46)-ROW(AC$15),0),
ROUND(ROUND(OFFSET($P46,0,AC$13),15-13*ORÇAMENTO!$AF$7)*OFFSET(ORÇAMENTO!$W$15,ROW(AC46)-ROW(AC$15),0),15-13*ORÇAMENTO!$AF$11)),0)</f>
        <v>0</v>
      </c>
      <c r="AD46" s="542">
        <f ca="1">IF(AND($D46="Serviço",AD$12&lt;&gt;0,$H46&gt;0,OR(AUTOEVENTO&lt;&gt;"manual",$M46&lt;&gt;1)),
IF(Import.TipoArredondamento&lt;&gt;"TransfereGOV",
ROUND(OFFSET($P46,0,AD$13),15-13*ORÇAMENTO!$AF$7)/$H46*OFFSET(ORÇAMENTO!$X$15,ROW(AD46)-ROW(AD$15),0),
ROUND(ROUND(OFFSET($P46,0,AD$13),15-13*ORÇAMENTO!$AF$7)*OFFSET(ORÇAMENTO!$W$15,ROW(AD46)-ROW(AD$15),0),15-13*ORÇAMENTO!$AF$11)),0)</f>
        <v>0</v>
      </c>
      <c r="AE46" s="542">
        <f ca="1">IF(AND($D46="Serviço",AE$12&lt;&gt;0,$H46&gt;0,OR(AUTOEVENTO&lt;&gt;"manual",$M46&lt;&gt;1)),
IF(Import.TipoArredondamento&lt;&gt;"TransfereGOV",
ROUND(OFFSET($P46,0,AE$13),15-13*ORÇAMENTO!$AF$7)/$H46*OFFSET(ORÇAMENTO!$X$15,ROW(AE46)-ROW(AE$15),0),
ROUND(ROUND(OFFSET($P46,0,AE$13),15-13*ORÇAMENTO!$AF$7)*OFFSET(ORÇAMENTO!$W$15,ROW(AE46)-ROW(AE$15),0),15-13*ORÇAMENTO!$AF$11)),0)</f>
        <v>0</v>
      </c>
      <c r="AF46" s="542">
        <f ca="1">IF(AND($D46="Serviço",AF$12&lt;&gt;0,$H46&gt;0,OR(AUTOEVENTO&lt;&gt;"manual",$M46&lt;&gt;1)),
IF(Import.TipoArredondamento&lt;&gt;"TransfereGOV",
ROUND(OFFSET($P46,0,AF$13),15-13*ORÇAMENTO!$AF$7)/$H46*OFFSET(ORÇAMENTO!$X$15,ROW(AF46)-ROW(AF$15),0),
ROUND(ROUND(OFFSET($P46,0,AF$13),15-13*ORÇAMENTO!$AF$7)*OFFSET(ORÇAMENTO!$W$15,ROW(AF46)-ROW(AF$15),0),15-13*ORÇAMENTO!$AF$11)),0)</f>
        <v>0</v>
      </c>
      <c r="AG46" s="542">
        <f ca="1">IF(AND($D46="Serviço",AG$12&lt;&gt;0,$H46&gt;0,OR(AUTOEVENTO&lt;&gt;"manual",$M46&lt;&gt;1)),
IF(Import.TipoArredondamento&lt;&gt;"TransfereGOV",
ROUND(OFFSET($P46,0,AG$13),15-13*ORÇAMENTO!$AF$7)/$H46*OFFSET(ORÇAMENTO!$X$15,ROW(AG46)-ROW(AG$15),0),
ROUND(ROUND(OFFSET($P46,0,AG$13),15-13*ORÇAMENTO!$AF$7)*OFFSET(ORÇAMENTO!$W$15,ROW(AG46)-ROW(AG$15),0),15-13*ORÇAMENTO!$AF$11)),0)</f>
        <v>0</v>
      </c>
      <c r="AH46" s="542">
        <f ca="1">IF(AND($D46="Serviço",AH$12&lt;&gt;0,$H46&gt;0,OR(AUTOEVENTO&lt;&gt;"manual",$M46&lt;&gt;1)),
IF(Import.TipoArredondamento&lt;&gt;"TransfereGOV",
ROUND(OFFSET($P46,0,AH$13),15-13*ORÇAMENTO!$AF$7)/$H46*OFFSET(ORÇAMENTO!$X$15,ROW(AH46)-ROW(AH$15),0),
ROUND(ROUND(OFFSET($P46,0,AH$13),15-13*ORÇAMENTO!$AF$7)*OFFSET(ORÇAMENTO!$W$15,ROW(AH46)-ROW(AH$15),0),15-13*ORÇAMENTO!$AF$11)),0)</f>
        <v>0</v>
      </c>
      <c r="AI46" s="542">
        <f ca="1">IF(AND($D46="Serviço",AI$12&lt;&gt;0,$H46&gt;0,OR(AUTOEVENTO&lt;&gt;"manual",$M46&lt;&gt;1)),
IF(Import.TipoArredondamento&lt;&gt;"TransfereGOV",
ROUND(OFFSET($P46,0,AI$13),15-13*ORÇAMENTO!$AF$7)/$H46*OFFSET(ORÇAMENTO!$X$15,ROW(AI46)-ROW(AI$15),0),
ROUND(ROUND(OFFSET($P46,0,AI$13),15-13*ORÇAMENTO!$AF$7)*OFFSET(ORÇAMENTO!$W$15,ROW(AI46)-ROW(AI$15),0),15-13*ORÇAMENTO!$AF$11)),0)</f>
        <v>0</v>
      </c>
      <c r="AJ46" s="542">
        <f ca="1">IF(AND($D46="Serviço",AJ$12&lt;&gt;0,$H46&gt;0,OR(AUTOEVENTO&lt;&gt;"manual",$M46&lt;&gt;1)),
IF(Import.TipoArredondamento&lt;&gt;"TransfereGOV",
ROUND(OFFSET($P46,0,AJ$13),15-13*ORÇAMENTO!$AF$7)/$H46*OFFSET(ORÇAMENTO!$X$15,ROW(AJ46)-ROW(AJ$15),0),
ROUND(ROUND(OFFSET($P46,0,AJ$13),15-13*ORÇAMENTO!$AF$7)*OFFSET(ORÇAMENTO!$W$15,ROW(AJ46)-ROW(AJ$15),0),15-13*ORÇAMENTO!$AF$11)),0)</f>
        <v>0</v>
      </c>
      <c r="AK46" s="543">
        <f ca="1">IF(AND($D46="Serviço",AK$12&lt;&gt;0,$H46&gt;0,OR(AUTOEVENTO&lt;&gt;"manual",$M46&lt;&gt;1)),
IF(Import.TipoArredondamento&lt;&gt;"TransfereGOV",
ROUND(OFFSET($P46,0,AK$13),15-13*ORÇAMENTO!$AF$7)/$H46*OFFSET(ORÇAMENTO!$X$15,ROW(AK46)-ROW(AK$15),0),
ROUND(ROUND(OFFSET($P46,0,AK$13),15-13*ORÇAMENTO!$AF$7)*OFFSET(ORÇAMENTO!$W$15,ROW(AK46)-ROW(AK$15),0),15-13*ORÇAMENTO!$AF$11)),0)</f>
        <v>0</v>
      </c>
      <c r="AM46" s="178">
        <f ca="1">IF($D46&lt;&gt;"Serviço",0,IF(AND(AUTOEVENTO="Manual",$M46=1),0,IF(OFFSET(CRONOPLE!$F$14,$M46,AM$13)="",10^12,OFFSET(CRONOPLE!$F$14,$M46,AM$13))))</f>
        <v>1000000000000</v>
      </c>
      <c r="AN46" s="178">
        <f ca="1">IF($D46&lt;&gt;"Serviço",0,IF(AND(AUTOEVENTO="Manual",$M46=1),0,IF(OFFSET(CRONOPLE!$F$14,$M46,AN$13)="",10^12,OFFSET(CRONOPLE!$F$14,$M46,AN$13))))</f>
        <v>1000000000000</v>
      </c>
      <c r="AO46" s="178">
        <f ca="1">IF($D46&lt;&gt;"Serviço",0,IF(AND(AUTOEVENTO="Manual",$M46=1),0,IF(OFFSET(CRONOPLE!$F$14,$M46,AO$13)="",10^12,OFFSET(CRONOPLE!$F$14,$M46,AO$13))))</f>
        <v>1000000000000</v>
      </c>
      <c r="AP46" s="178">
        <f ca="1">IF($D46&lt;&gt;"Serviço",0,IF(AND(AUTOEVENTO="Manual",$M46=1),0,IF(OFFSET(CRONOPLE!$F$14,$M46,AP$13)="",10^12,OFFSET(CRONOPLE!$F$14,$M46,AP$13))))</f>
        <v>1000000000000</v>
      </c>
      <c r="AQ46" s="178">
        <f ca="1">IF($D46&lt;&gt;"Serviço",0,IF(AND(AUTOEVENTO="Manual",$M46=1),0,IF(OFFSET(CRONOPLE!$F$14,$M46,AQ$13)="",10^12,OFFSET(CRONOPLE!$F$14,$M46,AQ$13))))</f>
        <v>1000000000000</v>
      </c>
      <c r="AR46" s="178">
        <f ca="1">IF($D46&lt;&gt;"Serviço",0,IF(AND(AUTOEVENTO="Manual",$M46=1),0,IF(OFFSET(CRONOPLE!$F$14,$M46,AR$13)="",10^12,OFFSET(CRONOPLE!$F$14,$M46,AR$13))))</f>
        <v>1000000000000</v>
      </c>
      <c r="AS46" s="178">
        <f ca="1">IF($D46&lt;&gt;"Serviço",0,IF(AND(AUTOEVENTO="Manual",$M46=1),0,IF(OFFSET(CRONOPLE!$F$14,$M46,AS$13)="",10^12,OFFSET(CRONOPLE!$F$14,$M46,AS$13))))</f>
        <v>1000000000000</v>
      </c>
      <c r="AT46" s="178">
        <f ca="1">IF($D46&lt;&gt;"Serviço",0,IF(AND(AUTOEVENTO="Manual",$M46=1),0,IF(OFFSET(CRONOPLE!$F$14,$M46,AT$13)="",10^12,OFFSET(CRONOPLE!$F$14,$M46,AT$13))))</f>
        <v>1000000000000</v>
      </c>
      <c r="AU46" s="178">
        <f ca="1">IF($D46&lt;&gt;"Serviço",0,IF(AND(AUTOEVENTO="Manual",$M46=1),0,IF(OFFSET(CRONOPLE!$F$14,$M46,AU$13)="",10^12,OFFSET(CRONOPLE!$F$14,$M46,AU$13))))</f>
        <v>1000000000000</v>
      </c>
      <c r="AV46" s="178">
        <f ca="1">IF($D46&lt;&gt;"Serviço",0,IF(AND(AUTOEVENTO="Manual",$M46=1),0,IF(OFFSET(CRONOPLE!$F$14,$M46,AV$13)="",10^12,OFFSET(CRONOPLE!$F$14,$M46,AV$13))))</f>
        <v>1000000000000</v>
      </c>
      <c r="AX46" s="179">
        <f ca="1">IF($D46&lt;&gt;"Serviço",0,IF(OR(AND(AUTOEVENTO="Manual",$M46=1),$M46&gt;(ROW(PLE.lastrow)-ROW(PLE.firstrow))),0,IF(OFFSET(PLE!$G$14,$M46,AX$13)="",10^12,OFFSET(PLE!$G$14,$M46,AX$13))))</f>
        <v>1000000000000</v>
      </c>
      <c r="AY46" s="179">
        <f ca="1">IF($D46&lt;&gt;"Serviço",0,IF(OR(AND(AUTOEVENTO="Manual",$M46=1),$M46&gt;(ROW(PLE.lastrow)-ROW(PLE.firstrow))),0,IF(OFFSET(PLE!$G$14,$M46,AY$13)="",10^12,OFFSET(PLE!$G$14,$M46,AY$13))))</f>
        <v>1000000000000</v>
      </c>
      <c r="AZ46" s="179">
        <f ca="1">IF($D46&lt;&gt;"Serviço",0,IF(OR(AND(AUTOEVENTO="Manual",$M46=1),$M46&gt;(ROW(PLE.lastrow)-ROW(PLE.firstrow))),0,IF(OFFSET(PLE!$G$14,$M46,AZ$13)="",10^12,OFFSET(PLE!$G$14,$M46,AZ$13))))</f>
        <v>1000000000000</v>
      </c>
      <c r="BA46" s="179">
        <f ca="1">IF($D46&lt;&gt;"Serviço",0,IF(OR(AND(AUTOEVENTO="Manual",$M46=1),$M46&gt;(ROW(PLE.lastrow)-ROW(PLE.firstrow))),0,IF(OFFSET(PLE!$G$14,$M46,BA$13)="",10^12,OFFSET(PLE!$G$14,$M46,BA$13))))</f>
        <v>1000000000000</v>
      </c>
      <c r="BB46" s="179">
        <f ca="1">IF($D46&lt;&gt;"Serviço",0,IF(OR(AND(AUTOEVENTO="Manual",$M46=1),$M46&gt;(ROW(PLE.lastrow)-ROW(PLE.firstrow))),0,IF(OFFSET(PLE!$G$14,$M46,BB$13)="",10^12,OFFSET(PLE!$G$14,$M46,BB$13))))</f>
        <v>1000000000000</v>
      </c>
      <c r="BC46" s="179">
        <f ca="1">IF($D46&lt;&gt;"Serviço",0,IF(OR(AND(AUTOEVENTO="Manual",$M46=1),$M46&gt;(ROW(PLE.lastrow)-ROW(PLE.firstrow))),0,IF(OFFSET(PLE!$G$14,$M46,BC$13)="",10^12,OFFSET(PLE!$G$14,$M46,BC$13))))</f>
        <v>1000000000000</v>
      </c>
      <c r="BD46" s="179">
        <f ca="1">IF($D46&lt;&gt;"Serviço",0,IF(OR(AND(AUTOEVENTO="Manual",$M46=1),$M46&gt;(ROW(PLE.lastrow)-ROW(PLE.firstrow))),0,IF(OFFSET(PLE!$G$14,$M46,BD$13)="",10^12,OFFSET(PLE!$G$14,$M46,BD$13))))</f>
        <v>1000000000000</v>
      </c>
      <c r="BE46" s="179">
        <f ca="1">IF($D46&lt;&gt;"Serviço",0,IF(OR(AND(AUTOEVENTO="Manual",$M46=1),$M46&gt;(ROW(PLE.lastrow)-ROW(PLE.firstrow))),0,IF(OFFSET(PLE!$G$14,$M46,BE$13)="",10^12,OFFSET(PLE!$G$14,$M46,BE$13))))</f>
        <v>1000000000000</v>
      </c>
      <c r="BF46" s="179">
        <f ca="1">IF($D46&lt;&gt;"Serviço",0,IF(OR(AND(AUTOEVENTO="Manual",$M46=1),$M46&gt;(ROW(PLE.lastrow)-ROW(PLE.firstrow))),0,IF(OFFSET(PLE!$G$14,$M46,BF$13)="",10^12,OFFSET(PLE!$G$14,$M46,BF$13))))</f>
        <v>1000000000000</v>
      </c>
      <c r="BG46" s="179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25.5" x14ac:dyDescent="0.2">
      <c r="A47" s="7" t="str">
        <f t="shared" ca="1" si="8"/>
        <v>27</v>
      </c>
      <c r="B47" s="7" t="str">
        <f ca="1">OFFSET(ORÇAMENTO!C$15,ROW(B47)-ROW(B$15),0)</f>
        <v>S</v>
      </c>
      <c r="C47" s="7" t="str">
        <f ca="1">OFFSET(ORÇAMENTO!L$15,ROW(C47)-ROW(C$15),0)</f>
        <v/>
      </c>
      <c r="D47" s="115" t="str">
        <f ca="1">OFFSET(ORÇAMENTO!N$15,ROW(D47)-ROW(D$15),0)</f>
        <v>Serviço</v>
      </c>
      <c r="E47" s="116" t="str">
        <f ca="1">OFFSET(ORÇAMENTO!O$15,ROW(E47)-ROW(E$15),0)</f>
        <v>-</v>
      </c>
      <c r="F47" s="169" t="str">
        <f ca="1">OFFSET(ORÇAMENTO!R$15,ROW(F47)-ROW(F$15),0)</f>
        <v>(abra o arquivo 'Referência 10-2024.xlsm)</v>
      </c>
      <c r="G47" s="170" t="str">
        <f ca="1">IF($D47&lt;&gt;"Serviço","",OFFSET(ORÇAMENTO!S$15,ROW(G47)-ROW(G$15),0))</f>
        <v>-</v>
      </c>
      <c r="H47" s="121">
        <f ca="1">IF($D47&lt;&gt;"Serviço",0,IF(ACOMPANHAMENTO="BM",ROUND(OFFSET(ORÇAMENTO!AJ$15,ROW(H47)-ROW(H$15),0),15-13*ORÇAMENTO!$AF$7),SUMPRODUCT(($Q$12:$AA$12&lt;&gt;"")*ROUND($Q47:$AA47,15-13*ORÇAMENTO!$AF$7))))</f>
        <v>3.43</v>
      </c>
      <c r="I47" s="558" t="s">
        <v>561</v>
      </c>
      <c r="K47" s="171"/>
      <c r="L47" s="172" t="s">
        <v>255</v>
      </c>
      <c r="M47" s="173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174" t="str">
        <f ca="1">IF($D47&lt;&gt;"Serviço","",IF(AUTOEVENTO="Manual",IF($A47=0,"&lt;-- defina o número do agrupador",OFFSET(EVENTOS!$D$14,$A47,0)),OFFSET($F$15,$A47,0)))</f>
        <v>ESTRUTURA DE CONCRETO</v>
      </c>
      <c r="O47" s="175"/>
      <c r="Q47" s="175"/>
      <c r="R47" s="176"/>
      <c r="S47" s="176"/>
      <c r="T47" s="176"/>
      <c r="U47" s="176"/>
      <c r="V47" s="176"/>
      <c r="W47" s="176"/>
      <c r="X47" s="176"/>
      <c r="Y47" s="176"/>
      <c r="Z47" s="177"/>
      <c r="AB47" s="541">
        <f ca="1">IF(AND($D47="Serviço",AB$12&lt;&gt;0,$H47&gt;0,OR(AUTOEVENTO&lt;&gt;"manual",$M47&lt;&gt;1)),
IF(Import.TipoArredondamento&lt;&gt;"TransfereGOV",
ROUND(OFFSET($P47,0,AB$13),15-13*ORÇAMENTO!$AF$7)/$H47*OFFSET(ORÇAMENTO!$X$15,ROW(AB47)-ROW(AB$15),0),
ROUND(ROUND(OFFSET($P47,0,AB$13),15-13*ORÇAMENTO!$AF$7)*OFFSET(ORÇAMENTO!$W$15,ROW(AB47)-ROW(AB$15),0),15-13*ORÇAMENTO!$AF$11)),0)</f>
        <v>0</v>
      </c>
      <c r="AC47" s="542">
        <f ca="1">IF(AND($D47="Serviço",AC$12&lt;&gt;0,$H47&gt;0,OR(AUTOEVENTO&lt;&gt;"manual",$M47&lt;&gt;1)),
IF(Import.TipoArredondamento&lt;&gt;"TransfereGOV",
ROUND(OFFSET($P47,0,AC$13),15-13*ORÇAMENTO!$AF$7)/$H47*OFFSET(ORÇAMENTO!$X$15,ROW(AC47)-ROW(AC$15),0),
ROUND(ROUND(OFFSET($P47,0,AC$13),15-13*ORÇAMENTO!$AF$7)*OFFSET(ORÇAMENTO!$W$15,ROW(AC47)-ROW(AC$15),0),15-13*ORÇAMENTO!$AF$11)),0)</f>
        <v>0</v>
      </c>
      <c r="AD47" s="542">
        <f ca="1">IF(AND($D47="Serviço",AD$12&lt;&gt;0,$H47&gt;0,OR(AUTOEVENTO&lt;&gt;"manual",$M47&lt;&gt;1)),
IF(Import.TipoArredondamento&lt;&gt;"TransfereGOV",
ROUND(OFFSET($P47,0,AD$13),15-13*ORÇAMENTO!$AF$7)/$H47*OFFSET(ORÇAMENTO!$X$15,ROW(AD47)-ROW(AD$15),0),
ROUND(ROUND(OFFSET($P47,0,AD$13),15-13*ORÇAMENTO!$AF$7)*OFFSET(ORÇAMENTO!$W$15,ROW(AD47)-ROW(AD$15),0),15-13*ORÇAMENTO!$AF$11)),0)</f>
        <v>0</v>
      </c>
      <c r="AE47" s="542">
        <f ca="1">IF(AND($D47="Serviço",AE$12&lt;&gt;0,$H47&gt;0,OR(AUTOEVENTO&lt;&gt;"manual",$M47&lt;&gt;1)),
IF(Import.TipoArredondamento&lt;&gt;"TransfereGOV",
ROUND(OFFSET($P47,0,AE$13),15-13*ORÇAMENTO!$AF$7)/$H47*OFFSET(ORÇAMENTO!$X$15,ROW(AE47)-ROW(AE$15),0),
ROUND(ROUND(OFFSET($P47,0,AE$13),15-13*ORÇAMENTO!$AF$7)*OFFSET(ORÇAMENTO!$W$15,ROW(AE47)-ROW(AE$15),0),15-13*ORÇAMENTO!$AF$11)),0)</f>
        <v>0</v>
      </c>
      <c r="AF47" s="542">
        <f ca="1">IF(AND($D47="Serviço",AF$12&lt;&gt;0,$H47&gt;0,OR(AUTOEVENTO&lt;&gt;"manual",$M47&lt;&gt;1)),
IF(Import.TipoArredondamento&lt;&gt;"TransfereGOV",
ROUND(OFFSET($P47,0,AF$13),15-13*ORÇAMENTO!$AF$7)/$H47*OFFSET(ORÇAMENTO!$X$15,ROW(AF47)-ROW(AF$15),0),
ROUND(ROUND(OFFSET($P47,0,AF$13),15-13*ORÇAMENTO!$AF$7)*OFFSET(ORÇAMENTO!$W$15,ROW(AF47)-ROW(AF$15),0),15-13*ORÇAMENTO!$AF$11)),0)</f>
        <v>0</v>
      </c>
      <c r="AG47" s="542">
        <f ca="1">IF(AND($D47="Serviço",AG$12&lt;&gt;0,$H47&gt;0,OR(AUTOEVENTO&lt;&gt;"manual",$M47&lt;&gt;1)),
IF(Import.TipoArredondamento&lt;&gt;"TransfereGOV",
ROUND(OFFSET($P47,0,AG$13),15-13*ORÇAMENTO!$AF$7)/$H47*OFFSET(ORÇAMENTO!$X$15,ROW(AG47)-ROW(AG$15),0),
ROUND(ROUND(OFFSET($P47,0,AG$13),15-13*ORÇAMENTO!$AF$7)*OFFSET(ORÇAMENTO!$W$15,ROW(AG47)-ROW(AG$15),0),15-13*ORÇAMENTO!$AF$11)),0)</f>
        <v>0</v>
      </c>
      <c r="AH47" s="542">
        <f ca="1">IF(AND($D47="Serviço",AH$12&lt;&gt;0,$H47&gt;0,OR(AUTOEVENTO&lt;&gt;"manual",$M47&lt;&gt;1)),
IF(Import.TipoArredondamento&lt;&gt;"TransfereGOV",
ROUND(OFFSET($P47,0,AH$13),15-13*ORÇAMENTO!$AF$7)/$H47*OFFSET(ORÇAMENTO!$X$15,ROW(AH47)-ROW(AH$15),0),
ROUND(ROUND(OFFSET($P47,0,AH$13),15-13*ORÇAMENTO!$AF$7)*OFFSET(ORÇAMENTO!$W$15,ROW(AH47)-ROW(AH$15),0),15-13*ORÇAMENTO!$AF$11)),0)</f>
        <v>0</v>
      </c>
      <c r="AI47" s="542">
        <f ca="1">IF(AND($D47="Serviço",AI$12&lt;&gt;0,$H47&gt;0,OR(AUTOEVENTO&lt;&gt;"manual",$M47&lt;&gt;1)),
IF(Import.TipoArredondamento&lt;&gt;"TransfereGOV",
ROUND(OFFSET($P47,0,AI$13),15-13*ORÇAMENTO!$AF$7)/$H47*OFFSET(ORÇAMENTO!$X$15,ROW(AI47)-ROW(AI$15),0),
ROUND(ROUND(OFFSET($P47,0,AI$13),15-13*ORÇAMENTO!$AF$7)*OFFSET(ORÇAMENTO!$W$15,ROW(AI47)-ROW(AI$15),0),15-13*ORÇAMENTO!$AF$11)),0)</f>
        <v>0</v>
      </c>
      <c r="AJ47" s="542">
        <f ca="1">IF(AND($D47="Serviço",AJ$12&lt;&gt;0,$H47&gt;0,OR(AUTOEVENTO&lt;&gt;"manual",$M47&lt;&gt;1)),
IF(Import.TipoArredondamento&lt;&gt;"TransfereGOV",
ROUND(OFFSET($P47,0,AJ$13),15-13*ORÇAMENTO!$AF$7)/$H47*OFFSET(ORÇAMENTO!$X$15,ROW(AJ47)-ROW(AJ$15),0),
ROUND(ROUND(OFFSET($P47,0,AJ$13),15-13*ORÇAMENTO!$AF$7)*OFFSET(ORÇAMENTO!$W$15,ROW(AJ47)-ROW(AJ$15),0),15-13*ORÇAMENTO!$AF$11)),0)</f>
        <v>0</v>
      </c>
      <c r="AK47" s="543">
        <f ca="1">IF(AND($D47="Serviço",AK$12&lt;&gt;0,$H47&gt;0,OR(AUTOEVENTO&lt;&gt;"manual",$M47&lt;&gt;1)),
IF(Import.TipoArredondamento&lt;&gt;"TransfereGOV",
ROUND(OFFSET($P47,0,AK$13),15-13*ORÇAMENTO!$AF$7)/$H47*OFFSET(ORÇAMENTO!$X$15,ROW(AK47)-ROW(AK$15),0),
ROUND(ROUND(OFFSET($P47,0,AK$13),15-13*ORÇAMENTO!$AF$7)*OFFSET(ORÇAMENTO!$W$15,ROW(AK47)-ROW(AK$15),0),15-13*ORÇAMENTO!$AF$11)),0)</f>
        <v>0</v>
      </c>
      <c r="AM47" s="178">
        <f ca="1">IF($D47&lt;&gt;"Serviço",0,IF(AND(AUTOEVENTO="Manual",$M47=1),0,IF(OFFSET(CRONOPLE!$F$14,$M47,AM$13)="",10^12,OFFSET(CRONOPLE!$F$14,$M47,AM$13))))</f>
        <v>1000000000000</v>
      </c>
      <c r="AN47" s="178">
        <f ca="1">IF($D47&lt;&gt;"Serviço",0,IF(AND(AUTOEVENTO="Manual",$M47=1),0,IF(OFFSET(CRONOPLE!$F$14,$M47,AN$13)="",10^12,OFFSET(CRONOPLE!$F$14,$M47,AN$13))))</f>
        <v>1000000000000</v>
      </c>
      <c r="AO47" s="178">
        <f ca="1">IF($D47&lt;&gt;"Serviço",0,IF(AND(AUTOEVENTO="Manual",$M47=1),0,IF(OFFSET(CRONOPLE!$F$14,$M47,AO$13)="",10^12,OFFSET(CRONOPLE!$F$14,$M47,AO$13))))</f>
        <v>1000000000000</v>
      </c>
      <c r="AP47" s="178">
        <f ca="1">IF($D47&lt;&gt;"Serviço",0,IF(AND(AUTOEVENTO="Manual",$M47=1),0,IF(OFFSET(CRONOPLE!$F$14,$M47,AP$13)="",10^12,OFFSET(CRONOPLE!$F$14,$M47,AP$13))))</f>
        <v>1000000000000</v>
      </c>
      <c r="AQ47" s="178">
        <f ca="1">IF($D47&lt;&gt;"Serviço",0,IF(AND(AUTOEVENTO="Manual",$M47=1),0,IF(OFFSET(CRONOPLE!$F$14,$M47,AQ$13)="",10^12,OFFSET(CRONOPLE!$F$14,$M47,AQ$13))))</f>
        <v>1000000000000</v>
      </c>
      <c r="AR47" s="178">
        <f ca="1">IF($D47&lt;&gt;"Serviço",0,IF(AND(AUTOEVENTO="Manual",$M47=1),0,IF(OFFSET(CRONOPLE!$F$14,$M47,AR$13)="",10^12,OFFSET(CRONOPLE!$F$14,$M47,AR$13))))</f>
        <v>1000000000000</v>
      </c>
      <c r="AS47" s="178">
        <f ca="1">IF($D47&lt;&gt;"Serviço",0,IF(AND(AUTOEVENTO="Manual",$M47=1),0,IF(OFFSET(CRONOPLE!$F$14,$M47,AS$13)="",10^12,OFFSET(CRONOPLE!$F$14,$M47,AS$13))))</f>
        <v>1000000000000</v>
      </c>
      <c r="AT47" s="178">
        <f ca="1">IF($D47&lt;&gt;"Serviço",0,IF(AND(AUTOEVENTO="Manual",$M47=1),0,IF(OFFSET(CRONOPLE!$F$14,$M47,AT$13)="",10^12,OFFSET(CRONOPLE!$F$14,$M47,AT$13))))</f>
        <v>1000000000000</v>
      </c>
      <c r="AU47" s="178">
        <f ca="1">IF($D47&lt;&gt;"Serviço",0,IF(AND(AUTOEVENTO="Manual",$M47=1),0,IF(OFFSET(CRONOPLE!$F$14,$M47,AU$13)="",10^12,OFFSET(CRONOPLE!$F$14,$M47,AU$13))))</f>
        <v>1000000000000</v>
      </c>
      <c r="AV47" s="178">
        <f ca="1">IF($D47&lt;&gt;"Serviço",0,IF(AND(AUTOEVENTO="Manual",$M47=1),0,IF(OFFSET(CRONOPLE!$F$14,$M47,AV$13)="",10^12,OFFSET(CRONOPLE!$F$14,$M47,AV$13))))</f>
        <v>1000000000000</v>
      </c>
      <c r="AX47" s="179">
        <f ca="1">IF($D47&lt;&gt;"Serviço",0,IF(OR(AND(AUTOEVENTO="Manual",$M47=1),$M47&gt;(ROW(PLE.lastrow)-ROW(PLE.firstrow))),0,IF(OFFSET(PLE!$G$14,$M47,AX$13)="",10^12,OFFSET(PLE!$G$14,$M47,AX$13))))</f>
        <v>1000000000000</v>
      </c>
      <c r="AY47" s="179">
        <f ca="1">IF($D47&lt;&gt;"Serviço",0,IF(OR(AND(AUTOEVENTO="Manual",$M47=1),$M47&gt;(ROW(PLE.lastrow)-ROW(PLE.firstrow))),0,IF(OFFSET(PLE!$G$14,$M47,AY$13)="",10^12,OFFSET(PLE!$G$14,$M47,AY$13))))</f>
        <v>1000000000000</v>
      </c>
      <c r="AZ47" s="179">
        <f ca="1">IF($D47&lt;&gt;"Serviço",0,IF(OR(AND(AUTOEVENTO="Manual",$M47=1),$M47&gt;(ROW(PLE.lastrow)-ROW(PLE.firstrow))),0,IF(OFFSET(PLE!$G$14,$M47,AZ$13)="",10^12,OFFSET(PLE!$G$14,$M47,AZ$13))))</f>
        <v>1000000000000</v>
      </c>
      <c r="BA47" s="179">
        <f ca="1">IF($D47&lt;&gt;"Serviço",0,IF(OR(AND(AUTOEVENTO="Manual",$M47=1),$M47&gt;(ROW(PLE.lastrow)-ROW(PLE.firstrow))),0,IF(OFFSET(PLE!$G$14,$M47,BA$13)="",10^12,OFFSET(PLE!$G$14,$M47,BA$13))))</f>
        <v>1000000000000</v>
      </c>
      <c r="BB47" s="179">
        <f ca="1">IF($D47&lt;&gt;"Serviço",0,IF(OR(AND(AUTOEVENTO="Manual",$M47=1),$M47&gt;(ROW(PLE.lastrow)-ROW(PLE.firstrow))),0,IF(OFFSET(PLE!$G$14,$M47,BB$13)="",10^12,OFFSET(PLE!$G$14,$M47,BB$13))))</f>
        <v>1000000000000</v>
      </c>
      <c r="BC47" s="179">
        <f ca="1">IF($D47&lt;&gt;"Serviço",0,IF(OR(AND(AUTOEVENTO="Manual",$M47=1),$M47&gt;(ROW(PLE.lastrow)-ROW(PLE.firstrow))),0,IF(OFFSET(PLE!$G$14,$M47,BC$13)="",10^12,OFFSET(PLE!$G$14,$M47,BC$13))))</f>
        <v>1000000000000</v>
      </c>
      <c r="BD47" s="179">
        <f ca="1">IF($D47&lt;&gt;"Serviço",0,IF(OR(AND(AUTOEVENTO="Manual",$M47=1),$M47&gt;(ROW(PLE.lastrow)-ROW(PLE.firstrow))),0,IF(OFFSET(PLE!$G$14,$M47,BD$13)="",10^12,OFFSET(PLE!$G$14,$M47,BD$13))))</f>
        <v>1000000000000</v>
      </c>
      <c r="BE47" s="179">
        <f ca="1">IF($D47&lt;&gt;"Serviço",0,IF(OR(AND(AUTOEVENTO="Manual",$M47=1),$M47&gt;(ROW(PLE.lastrow)-ROW(PLE.firstrow))),0,IF(OFFSET(PLE!$G$14,$M47,BE$13)="",10^12,OFFSET(PLE!$G$14,$M47,BE$13))))</f>
        <v>1000000000000</v>
      </c>
      <c r="BF47" s="179">
        <f ca="1">IF($D47&lt;&gt;"Serviço",0,IF(OR(AND(AUTOEVENTO="Manual",$M47=1),$M47&gt;(ROW(PLE.lastrow)-ROW(PLE.firstrow))),0,IF(OFFSET(PLE!$G$14,$M47,BF$13)="",10^12,OFFSET(PLE!$G$14,$M47,BF$13))))</f>
        <v>1000000000000</v>
      </c>
      <c r="BG47" s="179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7" t="str">
        <f t="shared" ca="1" si="8"/>
        <v>27</v>
      </c>
      <c r="B48" s="7" t="str">
        <f ca="1">OFFSET(ORÇAMENTO!C$15,ROW(B48)-ROW(B$15),0)</f>
        <v>S</v>
      </c>
      <c r="C48" s="7" t="str">
        <f ca="1">OFFSET(ORÇAMENTO!L$15,ROW(C48)-ROW(C$15),0)</f>
        <v/>
      </c>
      <c r="D48" s="115" t="str">
        <f ca="1">OFFSET(ORÇAMENTO!N$15,ROW(D48)-ROW(D$15),0)</f>
        <v>Serviço</v>
      </c>
      <c r="E48" s="116" t="str">
        <f ca="1">OFFSET(ORÇAMENTO!O$15,ROW(E48)-ROW(E$15),0)</f>
        <v>-</v>
      </c>
      <c r="F48" s="169" t="str">
        <f ca="1">OFFSET(ORÇAMENTO!R$15,ROW(F48)-ROW(F$15),0)</f>
        <v>(abra o arquivo 'Referência 10-2024.xlsm)</v>
      </c>
      <c r="G48" s="170" t="str">
        <f ca="1">IF($D48&lt;&gt;"Serviço","",OFFSET(ORÇAMENTO!S$15,ROW(G48)-ROW(G$15),0))</f>
        <v>-</v>
      </c>
      <c r="H48" s="121">
        <f ca="1">IF($D48&lt;&gt;"Serviço",0,IF(ACOMPANHAMENTO="BM",ROUND(OFFSET(ORÇAMENTO!AJ$15,ROW(H48)-ROW(H$15),0),15-13*ORÇAMENTO!$AF$7),SUMPRODUCT(($Q$12:$AA$12&lt;&gt;"")*ROUND($Q48:$AA48,15-13*ORÇAMENTO!$AF$7))))</f>
        <v>25.37</v>
      </c>
      <c r="I48" s="558" t="s">
        <v>561</v>
      </c>
      <c r="K48" s="171"/>
      <c r="L48" s="172" t="s">
        <v>255</v>
      </c>
      <c r="M48" s="173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174" t="str">
        <f ca="1">IF($D48&lt;&gt;"Serviço","",IF(AUTOEVENTO="Manual",IF($A48=0,"&lt;-- defina o número do agrupador",OFFSET(EVENTOS!$D$14,$A48,0)),OFFSET($F$15,$A48,0)))</f>
        <v>ESTRUTURA DE CONCRETO</v>
      </c>
      <c r="O48" s="175"/>
      <c r="Q48" s="175"/>
      <c r="R48" s="176"/>
      <c r="S48" s="176"/>
      <c r="T48" s="176"/>
      <c r="U48" s="176"/>
      <c r="V48" s="176"/>
      <c r="W48" s="176"/>
      <c r="X48" s="176"/>
      <c r="Y48" s="176"/>
      <c r="Z48" s="177"/>
      <c r="AB48" s="541">
        <f ca="1">IF(AND($D48="Serviço",AB$12&lt;&gt;0,$H48&gt;0,OR(AUTOEVENTO&lt;&gt;"manual",$M48&lt;&gt;1)),
IF(Import.TipoArredondamento&lt;&gt;"TransfereGOV",
ROUND(OFFSET($P48,0,AB$13),15-13*ORÇAMENTO!$AF$7)/$H48*OFFSET(ORÇAMENTO!$X$15,ROW(AB48)-ROW(AB$15),0),
ROUND(ROUND(OFFSET($P48,0,AB$13),15-13*ORÇAMENTO!$AF$7)*OFFSET(ORÇAMENTO!$W$15,ROW(AB48)-ROW(AB$15),0),15-13*ORÇAMENTO!$AF$11)),0)</f>
        <v>0</v>
      </c>
      <c r="AC48" s="542">
        <f ca="1">IF(AND($D48="Serviço",AC$12&lt;&gt;0,$H48&gt;0,OR(AUTOEVENTO&lt;&gt;"manual",$M48&lt;&gt;1)),
IF(Import.TipoArredondamento&lt;&gt;"TransfereGOV",
ROUND(OFFSET($P48,0,AC$13),15-13*ORÇAMENTO!$AF$7)/$H48*OFFSET(ORÇAMENTO!$X$15,ROW(AC48)-ROW(AC$15),0),
ROUND(ROUND(OFFSET($P48,0,AC$13),15-13*ORÇAMENTO!$AF$7)*OFFSET(ORÇAMENTO!$W$15,ROW(AC48)-ROW(AC$15),0),15-13*ORÇAMENTO!$AF$11)),0)</f>
        <v>0</v>
      </c>
      <c r="AD48" s="542">
        <f ca="1">IF(AND($D48="Serviço",AD$12&lt;&gt;0,$H48&gt;0,OR(AUTOEVENTO&lt;&gt;"manual",$M48&lt;&gt;1)),
IF(Import.TipoArredondamento&lt;&gt;"TransfereGOV",
ROUND(OFFSET($P48,0,AD$13),15-13*ORÇAMENTO!$AF$7)/$H48*OFFSET(ORÇAMENTO!$X$15,ROW(AD48)-ROW(AD$15),0),
ROUND(ROUND(OFFSET($P48,0,AD$13),15-13*ORÇAMENTO!$AF$7)*OFFSET(ORÇAMENTO!$W$15,ROW(AD48)-ROW(AD$15),0),15-13*ORÇAMENTO!$AF$11)),0)</f>
        <v>0</v>
      </c>
      <c r="AE48" s="542">
        <f ca="1">IF(AND($D48="Serviço",AE$12&lt;&gt;0,$H48&gt;0,OR(AUTOEVENTO&lt;&gt;"manual",$M48&lt;&gt;1)),
IF(Import.TipoArredondamento&lt;&gt;"TransfereGOV",
ROUND(OFFSET($P48,0,AE$13),15-13*ORÇAMENTO!$AF$7)/$H48*OFFSET(ORÇAMENTO!$X$15,ROW(AE48)-ROW(AE$15),0),
ROUND(ROUND(OFFSET($P48,0,AE$13),15-13*ORÇAMENTO!$AF$7)*OFFSET(ORÇAMENTO!$W$15,ROW(AE48)-ROW(AE$15),0),15-13*ORÇAMENTO!$AF$11)),0)</f>
        <v>0</v>
      </c>
      <c r="AF48" s="542">
        <f ca="1">IF(AND($D48="Serviço",AF$12&lt;&gt;0,$H48&gt;0,OR(AUTOEVENTO&lt;&gt;"manual",$M48&lt;&gt;1)),
IF(Import.TipoArredondamento&lt;&gt;"TransfereGOV",
ROUND(OFFSET($P48,0,AF$13),15-13*ORÇAMENTO!$AF$7)/$H48*OFFSET(ORÇAMENTO!$X$15,ROW(AF48)-ROW(AF$15),0),
ROUND(ROUND(OFFSET($P48,0,AF$13),15-13*ORÇAMENTO!$AF$7)*OFFSET(ORÇAMENTO!$W$15,ROW(AF48)-ROW(AF$15),0),15-13*ORÇAMENTO!$AF$11)),0)</f>
        <v>0</v>
      </c>
      <c r="AG48" s="542">
        <f ca="1">IF(AND($D48="Serviço",AG$12&lt;&gt;0,$H48&gt;0,OR(AUTOEVENTO&lt;&gt;"manual",$M48&lt;&gt;1)),
IF(Import.TipoArredondamento&lt;&gt;"TransfereGOV",
ROUND(OFFSET($P48,0,AG$13),15-13*ORÇAMENTO!$AF$7)/$H48*OFFSET(ORÇAMENTO!$X$15,ROW(AG48)-ROW(AG$15),0),
ROUND(ROUND(OFFSET($P48,0,AG$13),15-13*ORÇAMENTO!$AF$7)*OFFSET(ORÇAMENTO!$W$15,ROW(AG48)-ROW(AG$15),0),15-13*ORÇAMENTO!$AF$11)),0)</f>
        <v>0</v>
      </c>
      <c r="AH48" s="542">
        <f ca="1">IF(AND($D48="Serviço",AH$12&lt;&gt;0,$H48&gt;0,OR(AUTOEVENTO&lt;&gt;"manual",$M48&lt;&gt;1)),
IF(Import.TipoArredondamento&lt;&gt;"TransfereGOV",
ROUND(OFFSET($P48,0,AH$13),15-13*ORÇAMENTO!$AF$7)/$H48*OFFSET(ORÇAMENTO!$X$15,ROW(AH48)-ROW(AH$15),0),
ROUND(ROUND(OFFSET($P48,0,AH$13),15-13*ORÇAMENTO!$AF$7)*OFFSET(ORÇAMENTO!$W$15,ROW(AH48)-ROW(AH$15),0),15-13*ORÇAMENTO!$AF$11)),0)</f>
        <v>0</v>
      </c>
      <c r="AI48" s="542">
        <f ca="1">IF(AND($D48="Serviço",AI$12&lt;&gt;0,$H48&gt;0,OR(AUTOEVENTO&lt;&gt;"manual",$M48&lt;&gt;1)),
IF(Import.TipoArredondamento&lt;&gt;"TransfereGOV",
ROUND(OFFSET($P48,0,AI$13),15-13*ORÇAMENTO!$AF$7)/$H48*OFFSET(ORÇAMENTO!$X$15,ROW(AI48)-ROW(AI$15),0),
ROUND(ROUND(OFFSET($P48,0,AI$13),15-13*ORÇAMENTO!$AF$7)*OFFSET(ORÇAMENTO!$W$15,ROW(AI48)-ROW(AI$15),0),15-13*ORÇAMENTO!$AF$11)),0)</f>
        <v>0</v>
      </c>
      <c r="AJ48" s="542">
        <f ca="1">IF(AND($D48="Serviço",AJ$12&lt;&gt;0,$H48&gt;0,OR(AUTOEVENTO&lt;&gt;"manual",$M48&lt;&gt;1)),
IF(Import.TipoArredondamento&lt;&gt;"TransfereGOV",
ROUND(OFFSET($P48,0,AJ$13),15-13*ORÇAMENTO!$AF$7)/$H48*OFFSET(ORÇAMENTO!$X$15,ROW(AJ48)-ROW(AJ$15),0),
ROUND(ROUND(OFFSET($P48,0,AJ$13),15-13*ORÇAMENTO!$AF$7)*OFFSET(ORÇAMENTO!$W$15,ROW(AJ48)-ROW(AJ$15),0),15-13*ORÇAMENTO!$AF$11)),0)</f>
        <v>0</v>
      </c>
      <c r="AK48" s="543">
        <f ca="1">IF(AND($D48="Serviço",AK$12&lt;&gt;0,$H48&gt;0,OR(AUTOEVENTO&lt;&gt;"manual",$M48&lt;&gt;1)),
IF(Import.TipoArredondamento&lt;&gt;"TransfereGOV",
ROUND(OFFSET($P48,0,AK$13),15-13*ORÇAMENTO!$AF$7)/$H48*OFFSET(ORÇAMENTO!$X$15,ROW(AK48)-ROW(AK$15),0),
ROUND(ROUND(OFFSET($P48,0,AK$13),15-13*ORÇAMENTO!$AF$7)*OFFSET(ORÇAMENTO!$W$15,ROW(AK48)-ROW(AK$15),0),15-13*ORÇAMENTO!$AF$11)),0)</f>
        <v>0</v>
      </c>
      <c r="AM48" s="178">
        <f ca="1">IF($D48&lt;&gt;"Serviço",0,IF(AND(AUTOEVENTO="Manual",$M48=1),0,IF(OFFSET(CRONOPLE!$F$14,$M48,AM$13)="",10^12,OFFSET(CRONOPLE!$F$14,$M48,AM$13))))</f>
        <v>1000000000000</v>
      </c>
      <c r="AN48" s="178">
        <f ca="1">IF($D48&lt;&gt;"Serviço",0,IF(AND(AUTOEVENTO="Manual",$M48=1),0,IF(OFFSET(CRONOPLE!$F$14,$M48,AN$13)="",10^12,OFFSET(CRONOPLE!$F$14,$M48,AN$13))))</f>
        <v>1000000000000</v>
      </c>
      <c r="AO48" s="178">
        <f ca="1">IF($D48&lt;&gt;"Serviço",0,IF(AND(AUTOEVENTO="Manual",$M48=1),0,IF(OFFSET(CRONOPLE!$F$14,$M48,AO$13)="",10^12,OFFSET(CRONOPLE!$F$14,$M48,AO$13))))</f>
        <v>1000000000000</v>
      </c>
      <c r="AP48" s="178">
        <f ca="1">IF($D48&lt;&gt;"Serviço",0,IF(AND(AUTOEVENTO="Manual",$M48=1),0,IF(OFFSET(CRONOPLE!$F$14,$M48,AP$13)="",10^12,OFFSET(CRONOPLE!$F$14,$M48,AP$13))))</f>
        <v>1000000000000</v>
      </c>
      <c r="AQ48" s="178">
        <f ca="1">IF($D48&lt;&gt;"Serviço",0,IF(AND(AUTOEVENTO="Manual",$M48=1),0,IF(OFFSET(CRONOPLE!$F$14,$M48,AQ$13)="",10^12,OFFSET(CRONOPLE!$F$14,$M48,AQ$13))))</f>
        <v>1000000000000</v>
      </c>
      <c r="AR48" s="178">
        <f ca="1">IF($D48&lt;&gt;"Serviço",0,IF(AND(AUTOEVENTO="Manual",$M48=1),0,IF(OFFSET(CRONOPLE!$F$14,$M48,AR$13)="",10^12,OFFSET(CRONOPLE!$F$14,$M48,AR$13))))</f>
        <v>1000000000000</v>
      </c>
      <c r="AS48" s="178">
        <f ca="1">IF($D48&lt;&gt;"Serviço",0,IF(AND(AUTOEVENTO="Manual",$M48=1),0,IF(OFFSET(CRONOPLE!$F$14,$M48,AS$13)="",10^12,OFFSET(CRONOPLE!$F$14,$M48,AS$13))))</f>
        <v>1000000000000</v>
      </c>
      <c r="AT48" s="178">
        <f ca="1">IF($D48&lt;&gt;"Serviço",0,IF(AND(AUTOEVENTO="Manual",$M48=1),0,IF(OFFSET(CRONOPLE!$F$14,$M48,AT$13)="",10^12,OFFSET(CRONOPLE!$F$14,$M48,AT$13))))</f>
        <v>1000000000000</v>
      </c>
      <c r="AU48" s="178">
        <f ca="1">IF($D48&lt;&gt;"Serviço",0,IF(AND(AUTOEVENTO="Manual",$M48=1),0,IF(OFFSET(CRONOPLE!$F$14,$M48,AU$13)="",10^12,OFFSET(CRONOPLE!$F$14,$M48,AU$13))))</f>
        <v>1000000000000</v>
      </c>
      <c r="AV48" s="178">
        <f ca="1">IF($D48&lt;&gt;"Serviço",0,IF(AND(AUTOEVENTO="Manual",$M48=1),0,IF(OFFSET(CRONOPLE!$F$14,$M48,AV$13)="",10^12,OFFSET(CRONOPLE!$F$14,$M48,AV$13))))</f>
        <v>1000000000000</v>
      </c>
      <c r="AX48" s="179">
        <f ca="1">IF($D48&lt;&gt;"Serviço",0,IF(OR(AND(AUTOEVENTO="Manual",$M48=1),$M48&gt;(ROW(PLE.lastrow)-ROW(PLE.firstrow))),0,IF(OFFSET(PLE!$G$14,$M48,AX$13)="",10^12,OFFSET(PLE!$G$14,$M48,AX$13))))</f>
        <v>1000000000000</v>
      </c>
      <c r="AY48" s="179">
        <f ca="1">IF($D48&lt;&gt;"Serviço",0,IF(OR(AND(AUTOEVENTO="Manual",$M48=1),$M48&gt;(ROW(PLE.lastrow)-ROW(PLE.firstrow))),0,IF(OFFSET(PLE!$G$14,$M48,AY$13)="",10^12,OFFSET(PLE!$G$14,$M48,AY$13))))</f>
        <v>1000000000000</v>
      </c>
      <c r="AZ48" s="179">
        <f ca="1">IF($D48&lt;&gt;"Serviço",0,IF(OR(AND(AUTOEVENTO="Manual",$M48=1),$M48&gt;(ROW(PLE.lastrow)-ROW(PLE.firstrow))),0,IF(OFFSET(PLE!$G$14,$M48,AZ$13)="",10^12,OFFSET(PLE!$G$14,$M48,AZ$13))))</f>
        <v>1000000000000</v>
      </c>
      <c r="BA48" s="179">
        <f ca="1">IF($D48&lt;&gt;"Serviço",0,IF(OR(AND(AUTOEVENTO="Manual",$M48=1),$M48&gt;(ROW(PLE.lastrow)-ROW(PLE.firstrow))),0,IF(OFFSET(PLE!$G$14,$M48,BA$13)="",10^12,OFFSET(PLE!$G$14,$M48,BA$13))))</f>
        <v>1000000000000</v>
      </c>
      <c r="BB48" s="179">
        <f ca="1">IF($D48&lt;&gt;"Serviço",0,IF(OR(AND(AUTOEVENTO="Manual",$M48=1),$M48&gt;(ROW(PLE.lastrow)-ROW(PLE.firstrow))),0,IF(OFFSET(PLE!$G$14,$M48,BB$13)="",10^12,OFFSET(PLE!$G$14,$M48,BB$13))))</f>
        <v>1000000000000</v>
      </c>
      <c r="BC48" s="179">
        <f ca="1">IF($D48&lt;&gt;"Serviço",0,IF(OR(AND(AUTOEVENTO="Manual",$M48=1),$M48&gt;(ROW(PLE.lastrow)-ROW(PLE.firstrow))),0,IF(OFFSET(PLE!$G$14,$M48,BC$13)="",10^12,OFFSET(PLE!$G$14,$M48,BC$13))))</f>
        <v>1000000000000</v>
      </c>
      <c r="BD48" s="179">
        <f ca="1">IF($D48&lt;&gt;"Serviço",0,IF(OR(AND(AUTOEVENTO="Manual",$M48=1),$M48&gt;(ROW(PLE.lastrow)-ROW(PLE.firstrow))),0,IF(OFFSET(PLE!$G$14,$M48,BD$13)="",10^12,OFFSET(PLE!$G$14,$M48,BD$13))))</f>
        <v>1000000000000</v>
      </c>
      <c r="BE48" s="179">
        <f ca="1">IF($D48&lt;&gt;"Serviço",0,IF(OR(AND(AUTOEVENTO="Manual",$M48=1),$M48&gt;(ROW(PLE.lastrow)-ROW(PLE.firstrow))),0,IF(OFFSET(PLE!$G$14,$M48,BE$13)="",10^12,OFFSET(PLE!$G$14,$M48,BE$13))))</f>
        <v>1000000000000</v>
      </c>
      <c r="BF48" s="179">
        <f ca="1">IF($D48&lt;&gt;"Serviço",0,IF(OR(AND(AUTOEVENTO="Manual",$M48=1),$M48&gt;(ROW(PLE.lastrow)-ROW(PLE.firstrow))),0,IF(OFFSET(PLE!$G$14,$M48,BF$13)="",10^12,OFFSET(PLE!$G$14,$M48,BF$13))))</f>
        <v>1000000000000</v>
      </c>
      <c r="BG48" s="179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38.25" x14ac:dyDescent="0.2">
      <c r="A49" s="7" t="str">
        <f t="shared" ca="1" si="8"/>
        <v>27</v>
      </c>
      <c r="B49" s="7" t="str">
        <f ca="1">OFFSET(ORÇAMENTO!C$15,ROW(B49)-ROW(B$15),0)</f>
        <v>S</v>
      </c>
      <c r="C49" s="7" t="str">
        <f ca="1">OFFSET(ORÇAMENTO!L$15,ROW(C49)-ROW(C$15),0)</f>
        <v/>
      </c>
      <c r="D49" s="115" t="str">
        <f ca="1">OFFSET(ORÇAMENTO!N$15,ROW(D49)-ROW(D$15),0)</f>
        <v>Serviço</v>
      </c>
      <c r="E49" s="116" t="str">
        <f ca="1">OFFSET(ORÇAMENTO!O$15,ROW(E49)-ROW(E$15),0)</f>
        <v>-</v>
      </c>
      <c r="F49" s="169" t="str">
        <f ca="1">OFFSET(ORÇAMENTO!R$15,ROW(F49)-ROW(F$15),0)</f>
        <v>(abra o arquivo 'Referência 10-2024.xlsm)</v>
      </c>
      <c r="G49" s="170" t="str">
        <f ca="1">IF($D49&lt;&gt;"Serviço","",OFFSET(ORÇAMENTO!S$15,ROW(G49)-ROW(G$15),0))</f>
        <v>-</v>
      </c>
      <c r="H49" s="121">
        <f ca="1">IF($D49&lt;&gt;"Serviço",0,IF(ACOMPANHAMENTO="BM",ROUND(OFFSET(ORÇAMENTO!AJ$15,ROW(H49)-ROW(H$15),0),15-13*ORÇAMENTO!$AF$7),SUMPRODUCT(($Q$12:$AA$12&lt;&gt;"")*ROUND($Q49:$AA49,15-13*ORÇAMENTO!$AF$7))))</f>
        <v>54.92</v>
      </c>
      <c r="I49" s="558" t="s">
        <v>561</v>
      </c>
      <c r="K49" s="171"/>
      <c r="L49" s="172" t="s">
        <v>255</v>
      </c>
      <c r="M49" s="173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174" t="str">
        <f ca="1">IF($D49&lt;&gt;"Serviço","",IF(AUTOEVENTO="Manual",IF($A49=0,"&lt;-- defina o número do agrupador",OFFSET(EVENTOS!$D$14,$A49,0)),OFFSET($F$15,$A49,0)))</f>
        <v>ESTRUTURA DE CONCRETO</v>
      </c>
      <c r="O49" s="175"/>
      <c r="Q49" s="175"/>
      <c r="R49" s="176"/>
      <c r="S49" s="176"/>
      <c r="T49" s="176"/>
      <c r="U49" s="176"/>
      <c r="V49" s="176"/>
      <c r="W49" s="176"/>
      <c r="X49" s="176"/>
      <c r="Y49" s="176"/>
      <c r="Z49" s="177"/>
      <c r="AB49" s="541">
        <f ca="1">IF(AND($D49="Serviço",AB$12&lt;&gt;0,$H49&gt;0,OR(AUTOEVENTO&lt;&gt;"manual",$M49&lt;&gt;1)),
IF(Import.TipoArredondamento&lt;&gt;"TransfereGOV",
ROUND(OFFSET($P49,0,AB$13),15-13*ORÇAMENTO!$AF$7)/$H49*OFFSET(ORÇAMENTO!$X$15,ROW(AB49)-ROW(AB$15),0),
ROUND(ROUND(OFFSET($P49,0,AB$13),15-13*ORÇAMENTO!$AF$7)*OFFSET(ORÇAMENTO!$W$15,ROW(AB49)-ROW(AB$15),0),15-13*ORÇAMENTO!$AF$11)),0)</f>
        <v>0</v>
      </c>
      <c r="AC49" s="542">
        <f ca="1">IF(AND($D49="Serviço",AC$12&lt;&gt;0,$H49&gt;0,OR(AUTOEVENTO&lt;&gt;"manual",$M49&lt;&gt;1)),
IF(Import.TipoArredondamento&lt;&gt;"TransfereGOV",
ROUND(OFFSET($P49,0,AC$13),15-13*ORÇAMENTO!$AF$7)/$H49*OFFSET(ORÇAMENTO!$X$15,ROW(AC49)-ROW(AC$15),0),
ROUND(ROUND(OFFSET($P49,0,AC$13),15-13*ORÇAMENTO!$AF$7)*OFFSET(ORÇAMENTO!$W$15,ROW(AC49)-ROW(AC$15),0),15-13*ORÇAMENTO!$AF$11)),0)</f>
        <v>0</v>
      </c>
      <c r="AD49" s="542">
        <f ca="1">IF(AND($D49="Serviço",AD$12&lt;&gt;0,$H49&gt;0,OR(AUTOEVENTO&lt;&gt;"manual",$M49&lt;&gt;1)),
IF(Import.TipoArredondamento&lt;&gt;"TransfereGOV",
ROUND(OFFSET($P49,0,AD$13),15-13*ORÇAMENTO!$AF$7)/$H49*OFFSET(ORÇAMENTO!$X$15,ROW(AD49)-ROW(AD$15),0),
ROUND(ROUND(OFFSET($P49,0,AD$13),15-13*ORÇAMENTO!$AF$7)*OFFSET(ORÇAMENTO!$W$15,ROW(AD49)-ROW(AD$15),0),15-13*ORÇAMENTO!$AF$11)),0)</f>
        <v>0</v>
      </c>
      <c r="AE49" s="542">
        <f ca="1">IF(AND($D49="Serviço",AE$12&lt;&gt;0,$H49&gt;0,OR(AUTOEVENTO&lt;&gt;"manual",$M49&lt;&gt;1)),
IF(Import.TipoArredondamento&lt;&gt;"TransfereGOV",
ROUND(OFFSET($P49,0,AE$13),15-13*ORÇAMENTO!$AF$7)/$H49*OFFSET(ORÇAMENTO!$X$15,ROW(AE49)-ROW(AE$15),0),
ROUND(ROUND(OFFSET($P49,0,AE$13),15-13*ORÇAMENTO!$AF$7)*OFFSET(ORÇAMENTO!$W$15,ROW(AE49)-ROW(AE$15),0),15-13*ORÇAMENTO!$AF$11)),0)</f>
        <v>0</v>
      </c>
      <c r="AF49" s="542">
        <f ca="1">IF(AND($D49="Serviço",AF$12&lt;&gt;0,$H49&gt;0,OR(AUTOEVENTO&lt;&gt;"manual",$M49&lt;&gt;1)),
IF(Import.TipoArredondamento&lt;&gt;"TransfereGOV",
ROUND(OFFSET($P49,0,AF$13),15-13*ORÇAMENTO!$AF$7)/$H49*OFFSET(ORÇAMENTO!$X$15,ROW(AF49)-ROW(AF$15),0),
ROUND(ROUND(OFFSET($P49,0,AF$13),15-13*ORÇAMENTO!$AF$7)*OFFSET(ORÇAMENTO!$W$15,ROW(AF49)-ROW(AF$15),0),15-13*ORÇAMENTO!$AF$11)),0)</f>
        <v>0</v>
      </c>
      <c r="AG49" s="542">
        <f ca="1">IF(AND($D49="Serviço",AG$12&lt;&gt;0,$H49&gt;0,OR(AUTOEVENTO&lt;&gt;"manual",$M49&lt;&gt;1)),
IF(Import.TipoArredondamento&lt;&gt;"TransfereGOV",
ROUND(OFFSET($P49,0,AG$13),15-13*ORÇAMENTO!$AF$7)/$H49*OFFSET(ORÇAMENTO!$X$15,ROW(AG49)-ROW(AG$15),0),
ROUND(ROUND(OFFSET($P49,0,AG$13),15-13*ORÇAMENTO!$AF$7)*OFFSET(ORÇAMENTO!$W$15,ROW(AG49)-ROW(AG$15),0),15-13*ORÇAMENTO!$AF$11)),0)</f>
        <v>0</v>
      </c>
      <c r="AH49" s="542">
        <f ca="1">IF(AND($D49="Serviço",AH$12&lt;&gt;0,$H49&gt;0,OR(AUTOEVENTO&lt;&gt;"manual",$M49&lt;&gt;1)),
IF(Import.TipoArredondamento&lt;&gt;"TransfereGOV",
ROUND(OFFSET($P49,0,AH$13),15-13*ORÇAMENTO!$AF$7)/$H49*OFFSET(ORÇAMENTO!$X$15,ROW(AH49)-ROW(AH$15),0),
ROUND(ROUND(OFFSET($P49,0,AH$13),15-13*ORÇAMENTO!$AF$7)*OFFSET(ORÇAMENTO!$W$15,ROW(AH49)-ROW(AH$15),0),15-13*ORÇAMENTO!$AF$11)),0)</f>
        <v>0</v>
      </c>
      <c r="AI49" s="542">
        <f ca="1">IF(AND($D49="Serviço",AI$12&lt;&gt;0,$H49&gt;0,OR(AUTOEVENTO&lt;&gt;"manual",$M49&lt;&gt;1)),
IF(Import.TipoArredondamento&lt;&gt;"TransfereGOV",
ROUND(OFFSET($P49,0,AI$13),15-13*ORÇAMENTO!$AF$7)/$H49*OFFSET(ORÇAMENTO!$X$15,ROW(AI49)-ROW(AI$15),0),
ROUND(ROUND(OFFSET($P49,0,AI$13),15-13*ORÇAMENTO!$AF$7)*OFFSET(ORÇAMENTO!$W$15,ROW(AI49)-ROW(AI$15),0),15-13*ORÇAMENTO!$AF$11)),0)</f>
        <v>0</v>
      </c>
      <c r="AJ49" s="542">
        <f ca="1">IF(AND($D49="Serviço",AJ$12&lt;&gt;0,$H49&gt;0,OR(AUTOEVENTO&lt;&gt;"manual",$M49&lt;&gt;1)),
IF(Import.TipoArredondamento&lt;&gt;"TransfereGOV",
ROUND(OFFSET($P49,0,AJ$13),15-13*ORÇAMENTO!$AF$7)/$H49*OFFSET(ORÇAMENTO!$X$15,ROW(AJ49)-ROW(AJ$15),0),
ROUND(ROUND(OFFSET($P49,0,AJ$13),15-13*ORÇAMENTO!$AF$7)*OFFSET(ORÇAMENTO!$W$15,ROW(AJ49)-ROW(AJ$15),0),15-13*ORÇAMENTO!$AF$11)),0)</f>
        <v>0</v>
      </c>
      <c r="AK49" s="543">
        <f ca="1">IF(AND($D49="Serviço",AK$12&lt;&gt;0,$H49&gt;0,OR(AUTOEVENTO&lt;&gt;"manual",$M49&lt;&gt;1)),
IF(Import.TipoArredondamento&lt;&gt;"TransfereGOV",
ROUND(OFFSET($P49,0,AK$13),15-13*ORÇAMENTO!$AF$7)/$H49*OFFSET(ORÇAMENTO!$X$15,ROW(AK49)-ROW(AK$15),0),
ROUND(ROUND(OFFSET($P49,0,AK$13),15-13*ORÇAMENTO!$AF$7)*OFFSET(ORÇAMENTO!$W$15,ROW(AK49)-ROW(AK$15),0),15-13*ORÇAMENTO!$AF$11)),0)</f>
        <v>0</v>
      </c>
      <c r="AM49" s="178">
        <f ca="1">IF($D49&lt;&gt;"Serviço",0,IF(AND(AUTOEVENTO="Manual",$M49=1),0,IF(OFFSET(CRONOPLE!$F$14,$M49,AM$13)="",10^12,OFFSET(CRONOPLE!$F$14,$M49,AM$13))))</f>
        <v>1000000000000</v>
      </c>
      <c r="AN49" s="178">
        <f ca="1">IF($D49&lt;&gt;"Serviço",0,IF(AND(AUTOEVENTO="Manual",$M49=1),0,IF(OFFSET(CRONOPLE!$F$14,$M49,AN$13)="",10^12,OFFSET(CRONOPLE!$F$14,$M49,AN$13))))</f>
        <v>1000000000000</v>
      </c>
      <c r="AO49" s="178">
        <f ca="1">IF($D49&lt;&gt;"Serviço",0,IF(AND(AUTOEVENTO="Manual",$M49=1),0,IF(OFFSET(CRONOPLE!$F$14,$M49,AO$13)="",10^12,OFFSET(CRONOPLE!$F$14,$M49,AO$13))))</f>
        <v>1000000000000</v>
      </c>
      <c r="AP49" s="178">
        <f ca="1">IF($D49&lt;&gt;"Serviço",0,IF(AND(AUTOEVENTO="Manual",$M49=1),0,IF(OFFSET(CRONOPLE!$F$14,$M49,AP$13)="",10^12,OFFSET(CRONOPLE!$F$14,$M49,AP$13))))</f>
        <v>1000000000000</v>
      </c>
      <c r="AQ49" s="178">
        <f ca="1">IF($D49&lt;&gt;"Serviço",0,IF(AND(AUTOEVENTO="Manual",$M49=1),0,IF(OFFSET(CRONOPLE!$F$14,$M49,AQ$13)="",10^12,OFFSET(CRONOPLE!$F$14,$M49,AQ$13))))</f>
        <v>1000000000000</v>
      </c>
      <c r="AR49" s="178">
        <f ca="1">IF($D49&lt;&gt;"Serviço",0,IF(AND(AUTOEVENTO="Manual",$M49=1),0,IF(OFFSET(CRONOPLE!$F$14,$M49,AR$13)="",10^12,OFFSET(CRONOPLE!$F$14,$M49,AR$13))))</f>
        <v>1000000000000</v>
      </c>
      <c r="AS49" s="178">
        <f ca="1">IF($D49&lt;&gt;"Serviço",0,IF(AND(AUTOEVENTO="Manual",$M49=1),0,IF(OFFSET(CRONOPLE!$F$14,$M49,AS$13)="",10^12,OFFSET(CRONOPLE!$F$14,$M49,AS$13))))</f>
        <v>1000000000000</v>
      </c>
      <c r="AT49" s="178">
        <f ca="1">IF($D49&lt;&gt;"Serviço",0,IF(AND(AUTOEVENTO="Manual",$M49=1),0,IF(OFFSET(CRONOPLE!$F$14,$M49,AT$13)="",10^12,OFFSET(CRONOPLE!$F$14,$M49,AT$13))))</f>
        <v>1000000000000</v>
      </c>
      <c r="AU49" s="178">
        <f ca="1">IF($D49&lt;&gt;"Serviço",0,IF(AND(AUTOEVENTO="Manual",$M49=1),0,IF(OFFSET(CRONOPLE!$F$14,$M49,AU$13)="",10^12,OFFSET(CRONOPLE!$F$14,$M49,AU$13))))</f>
        <v>1000000000000</v>
      </c>
      <c r="AV49" s="178">
        <f ca="1">IF($D49&lt;&gt;"Serviço",0,IF(AND(AUTOEVENTO="Manual",$M49=1),0,IF(OFFSET(CRONOPLE!$F$14,$M49,AV$13)="",10^12,OFFSET(CRONOPLE!$F$14,$M49,AV$13))))</f>
        <v>1000000000000</v>
      </c>
      <c r="AX49" s="179">
        <f ca="1">IF($D49&lt;&gt;"Serviço",0,IF(OR(AND(AUTOEVENTO="Manual",$M49=1),$M49&gt;(ROW(PLE.lastrow)-ROW(PLE.firstrow))),0,IF(OFFSET(PLE!$G$14,$M49,AX$13)="",10^12,OFFSET(PLE!$G$14,$M49,AX$13))))</f>
        <v>1000000000000</v>
      </c>
      <c r="AY49" s="179">
        <f ca="1">IF($D49&lt;&gt;"Serviço",0,IF(OR(AND(AUTOEVENTO="Manual",$M49=1),$M49&gt;(ROW(PLE.lastrow)-ROW(PLE.firstrow))),0,IF(OFFSET(PLE!$G$14,$M49,AY$13)="",10^12,OFFSET(PLE!$G$14,$M49,AY$13))))</f>
        <v>1000000000000</v>
      </c>
      <c r="AZ49" s="179">
        <f ca="1">IF($D49&lt;&gt;"Serviço",0,IF(OR(AND(AUTOEVENTO="Manual",$M49=1),$M49&gt;(ROW(PLE.lastrow)-ROW(PLE.firstrow))),0,IF(OFFSET(PLE!$G$14,$M49,AZ$13)="",10^12,OFFSET(PLE!$G$14,$M49,AZ$13))))</f>
        <v>1000000000000</v>
      </c>
      <c r="BA49" s="179">
        <f ca="1">IF($D49&lt;&gt;"Serviço",0,IF(OR(AND(AUTOEVENTO="Manual",$M49=1),$M49&gt;(ROW(PLE.lastrow)-ROW(PLE.firstrow))),0,IF(OFFSET(PLE!$G$14,$M49,BA$13)="",10^12,OFFSET(PLE!$G$14,$M49,BA$13))))</f>
        <v>1000000000000</v>
      </c>
      <c r="BB49" s="179">
        <f ca="1">IF($D49&lt;&gt;"Serviço",0,IF(OR(AND(AUTOEVENTO="Manual",$M49=1),$M49&gt;(ROW(PLE.lastrow)-ROW(PLE.firstrow))),0,IF(OFFSET(PLE!$G$14,$M49,BB$13)="",10^12,OFFSET(PLE!$G$14,$M49,BB$13))))</f>
        <v>1000000000000</v>
      </c>
      <c r="BC49" s="179">
        <f ca="1">IF($D49&lt;&gt;"Serviço",0,IF(OR(AND(AUTOEVENTO="Manual",$M49=1),$M49&gt;(ROW(PLE.lastrow)-ROW(PLE.firstrow))),0,IF(OFFSET(PLE!$G$14,$M49,BC$13)="",10^12,OFFSET(PLE!$G$14,$M49,BC$13))))</f>
        <v>1000000000000</v>
      </c>
      <c r="BD49" s="179">
        <f ca="1">IF($D49&lt;&gt;"Serviço",0,IF(OR(AND(AUTOEVENTO="Manual",$M49=1),$M49&gt;(ROW(PLE.lastrow)-ROW(PLE.firstrow))),0,IF(OFFSET(PLE!$G$14,$M49,BD$13)="",10^12,OFFSET(PLE!$G$14,$M49,BD$13))))</f>
        <v>1000000000000</v>
      </c>
      <c r="BE49" s="179">
        <f ca="1">IF($D49&lt;&gt;"Serviço",0,IF(OR(AND(AUTOEVENTO="Manual",$M49=1),$M49&gt;(ROW(PLE.lastrow)-ROW(PLE.firstrow))),0,IF(OFFSET(PLE!$G$14,$M49,BE$13)="",10^12,OFFSET(PLE!$G$14,$M49,BE$13))))</f>
        <v>1000000000000</v>
      </c>
      <c r="BF49" s="179">
        <f ca="1">IF($D49&lt;&gt;"Serviço",0,IF(OR(AND(AUTOEVENTO="Manual",$M49=1),$M49&gt;(ROW(PLE.lastrow)-ROW(PLE.firstrow))),0,IF(OFFSET(PLE!$G$14,$M49,BF$13)="",10^12,OFFSET(PLE!$G$14,$M49,BF$13))))</f>
        <v>1000000000000</v>
      </c>
      <c r="BG49" s="179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7" t="str">
        <f t="shared" ca="1" si="8"/>
        <v>35.</v>
      </c>
      <c r="B50" s="7">
        <f ca="1">OFFSET(ORÇAMENTO!C$15,ROW(B50)-ROW(B$15),0)</f>
        <v>2</v>
      </c>
      <c r="C50" s="7" t="str">
        <f ca="1">OFFSET(ORÇAMENTO!L$15,ROW(C50)-ROW(C$15),0)</f>
        <v>F</v>
      </c>
      <c r="D50" s="115" t="str">
        <f ca="1">OFFSET(ORÇAMENTO!N$15,ROW(D50)-ROW(D$15),0)</f>
        <v>Nível 2</v>
      </c>
      <c r="E50" s="116" t="str">
        <f ca="1">OFFSET(ORÇAMENTO!O$15,ROW(E50)-ROW(E$15),0)</f>
        <v>1.5.</v>
      </c>
      <c r="F50" s="169" t="str">
        <f ca="1">OFFSET(ORÇAMENTO!R$15,ROW(F50)-ROW(F$15),0)</f>
        <v>PAREDES E DIVISÓRIAS</v>
      </c>
      <c r="G50" s="170" t="str">
        <f ca="1">IF($D50&lt;&gt;"Serviço","",OFFSET(ORÇAMENTO!S$15,ROW(G50)-ROW(G$15),0))</f>
        <v/>
      </c>
      <c r="H50" s="121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558"/>
      <c r="K50" s="171"/>
      <c r="L50" s="172" t="s">
        <v>255</v>
      </c>
      <c r="M50" s="173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174" t="str">
        <f ca="1">IF($D50&lt;&gt;"Serviço","",IF(AUTOEVENTO="Manual",IF($A50=0,"&lt;-- defina o número do agrupador",OFFSET(EVENTOS!$D$14,$A50,0)),OFFSET($F$15,$A50,0)))</f>
        <v/>
      </c>
      <c r="O50" s="175"/>
      <c r="Q50" s="175"/>
      <c r="R50" s="176"/>
      <c r="S50" s="176"/>
      <c r="T50" s="176"/>
      <c r="U50" s="176"/>
      <c r="V50" s="176"/>
      <c r="W50" s="176"/>
      <c r="X50" s="176"/>
      <c r="Y50" s="176"/>
      <c r="Z50" s="177"/>
      <c r="AB50" s="541">
        <f ca="1">IF(AND($D50="Serviço",AB$12&lt;&gt;0,$H50&gt;0,OR(AUTOEVENTO&lt;&gt;"manual",$M50&lt;&gt;1)),
IF(Import.TipoArredondamento&lt;&gt;"TransfereGOV",
ROUND(OFFSET($P50,0,AB$13),15-13*ORÇAMENTO!$AF$7)/$H50*OFFSET(ORÇAMENTO!$X$15,ROW(AB50)-ROW(AB$15),0),
ROUND(ROUND(OFFSET($P50,0,AB$13),15-13*ORÇAMENTO!$AF$7)*OFFSET(ORÇAMENTO!$W$15,ROW(AB50)-ROW(AB$15),0),15-13*ORÇAMENTO!$AF$11)),0)</f>
        <v>0</v>
      </c>
      <c r="AC50" s="542">
        <f ca="1">IF(AND($D50="Serviço",AC$12&lt;&gt;0,$H50&gt;0,OR(AUTOEVENTO&lt;&gt;"manual",$M50&lt;&gt;1)),
IF(Import.TipoArredondamento&lt;&gt;"TransfereGOV",
ROUND(OFFSET($P50,0,AC$13),15-13*ORÇAMENTO!$AF$7)/$H50*OFFSET(ORÇAMENTO!$X$15,ROW(AC50)-ROW(AC$15),0),
ROUND(ROUND(OFFSET($P50,0,AC$13),15-13*ORÇAMENTO!$AF$7)*OFFSET(ORÇAMENTO!$W$15,ROW(AC50)-ROW(AC$15),0),15-13*ORÇAMENTO!$AF$11)),0)</f>
        <v>0</v>
      </c>
      <c r="AD50" s="542">
        <f ca="1">IF(AND($D50="Serviço",AD$12&lt;&gt;0,$H50&gt;0,OR(AUTOEVENTO&lt;&gt;"manual",$M50&lt;&gt;1)),
IF(Import.TipoArredondamento&lt;&gt;"TransfereGOV",
ROUND(OFFSET($P50,0,AD$13),15-13*ORÇAMENTO!$AF$7)/$H50*OFFSET(ORÇAMENTO!$X$15,ROW(AD50)-ROW(AD$15),0),
ROUND(ROUND(OFFSET($P50,0,AD$13),15-13*ORÇAMENTO!$AF$7)*OFFSET(ORÇAMENTO!$W$15,ROW(AD50)-ROW(AD$15),0),15-13*ORÇAMENTO!$AF$11)),0)</f>
        <v>0</v>
      </c>
      <c r="AE50" s="542">
        <f ca="1">IF(AND($D50="Serviço",AE$12&lt;&gt;0,$H50&gt;0,OR(AUTOEVENTO&lt;&gt;"manual",$M50&lt;&gt;1)),
IF(Import.TipoArredondamento&lt;&gt;"TransfereGOV",
ROUND(OFFSET($P50,0,AE$13),15-13*ORÇAMENTO!$AF$7)/$H50*OFFSET(ORÇAMENTO!$X$15,ROW(AE50)-ROW(AE$15),0),
ROUND(ROUND(OFFSET($P50,0,AE$13),15-13*ORÇAMENTO!$AF$7)*OFFSET(ORÇAMENTO!$W$15,ROW(AE50)-ROW(AE$15),0),15-13*ORÇAMENTO!$AF$11)),0)</f>
        <v>0</v>
      </c>
      <c r="AF50" s="542">
        <f ca="1">IF(AND($D50="Serviço",AF$12&lt;&gt;0,$H50&gt;0,OR(AUTOEVENTO&lt;&gt;"manual",$M50&lt;&gt;1)),
IF(Import.TipoArredondamento&lt;&gt;"TransfereGOV",
ROUND(OFFSET($P50,0,AF$13),15-13*ORÇAMENTO!$AF$7)/$H50*OFFSET(ORÇAMENTO!$X$15,ROW(AF50)-ROW(AF$15),0),
ROUND(ROUND(OFFSET($P50,0,AF$13),15-13*ORÇAMENTO!$AF$7)*OFFSET(ORÇAMENTO!$W$15,ROW(AF50)-ROW(AF$15),0),15-13*ORÇAMENTO!$AF$11)),0)</f>
        <v>0</v>
      </c>
      <c r="AG50" s="542">
        <f ca="1">IF(AND($D50="Serviço",AG$12&lt;&gt;0,$H50&gt;0,OR(AUTOEVENTO&lt;&gt;"manual",$M50&lt;&gt;1)),
IF(Import.TipoArredondamento&lt;&gt;"TransfereGOV",
ROUND(OFFSET($P50,0,AG$13),15-13*ORÇAMENTO!$AF$7)/$H50*OFFSET(ORÇAMENTO!$X$15,ROW(AG50)-ROW(AG$15),0),
ROUND(ROUND(OFFSET($P50,0,AG$13),15-13*ORÇAMENTO!$AF$7)*OFFSET(ORÇAMENTO!$W$15,ROW(AG50)-ROW(AG$15),0),15-13*ORÇAMENTO!$AF$11)),0)</f>
        <v>0</v>
      </c>
      <c r="AH50" s="542">
        <f ca="1">IF(AND($D50="Serviço",AH$12&lt;&gt;0,$H50&gt;0,OR(AUTOEVENTO&lt;&gt;"manual",$M50&lt;&gt;1)),
IF(Import.TipoArredondamento&lt;&gt;"TransfereGOV",
ROUND(OFFSET($P50,0,AH$13),15-13*ORÇAMENTO!$AF$7)/$H50*OFFSET(ORÇAMENTO!$X$15,ROW(AH50)-ROW(AH$15),0),
ROUND(ROUND(OFFSET($P50,0,AH$13),15-13*ORÇAMENTO!$AF$7)*OFFSET(ORÇAMENTO!$W$15,ROW(AH50)-ROW(AH$15),0),15-13*ORÇAMENTO!$AF$11)),0)</f>
        <v>0</v>
      </c>
      <c r="AI50" s="542">
        <f ca="1">IF(AND($D50="Serviço",AI$12&lt;&gt;0,$H50&gt;0,OR(AUTOEVENTO&lt;&gt;"manual",$M50&lt;&gt;1)),
IF(Import.TipoArredondamento&lt;&gt;"TransfereGOV",
ROUND(OFFSET($P50,0,AI$13),15-13*ORÇAMENTO!$AF$7)/$H50*OFFSET(ORÇAMENTO!$X$15,ROW(AI50)-ROW(AI$15),0),
ROUND(ROUND(OFFSET($P50,0,AI$13),15-13*ORÇAMENTO!$AF$7)*OFFSET(ORÇAMENTO!$W$15,ROW(AI50)-ROW(AI$15),0),15-13*ORÇAMENTO!$AF$11)),0)</f>
        <v>0</v>
      </c>
      <c r="AJ50" s="542">
        <f ca="1">IF(AND($D50="Serviço",AJ$12&lt;&gt;0,$H50&gt;0,OR(AUTOEVENTO&lt;&gt;"manual",$M50&lt;&gt;1)),
IF(Import.TipoArredondamento&lt;&gt;"TransfereGOV",
ROUND(OFFSET($P50,0,AJ$13),15-13*ORÇAMENTO!$AF$7)/$H50*OFFSET(ORÇAMENTO!$X$15,ROW(AJ50)-ROW(AJ$15),0),
ROUND(ROUND(OFFSET($P50,0,AJ$13),15-13*ORÇAMENTO!$AF$7)*OFFSET(ORÇAMENTO!$W$15,ROW(AJ50)-ROW(AJ$15),0),15-13*ORÇAMENTO!$AF$11)),0)</f>
        <v>0</v>
      </c>
      <c r="AK50" s="543">
        <f ca="1">IF(AND($D50="Serviço",AK$12&lt;&gt;0,$H50&gt;0,OR(AUTOEVENTO&lt;&gt;"manual",$M50&lt;&gt;1)),
IF(Import.TipoArredondamento&lt;&gt;"TransfereGOV",
ROUND(OFFSET($P50,0,AK$13),15-13*ORÇAMENTO!$AF$7)/$H50*OFFSET(ORÇAMENTO!$X$15,ROW(AK50)-ROW(AK$15),0),
ROUND(ROUND(OFFSET($P50,0,AK$13),15-13*ORÇAMENTO!$AF$7)*OFFSET(ORÇAMENTO!$W$15,ROW(AK50)-ROW(AK$15),0),15-13*ORÇAMENTO!$AF$11)),0)</f>
        <v>0</v>
      </c>
      <c r="AM50" s="178">
        <f ca="1">IF($D50&lt;&gt;"Serviço",0,IF(AND(AUTOEVENTO="Manual",$M50=1),0,IF(OFFSET(CRONOPLE!$F$14,$M50,AM$13)="",10^12,OFFSET(CRONOPLE!$F$14,$M50,AM$13))))</f>
        <v>0</v>
      </c>
      <c r="AN50" s="178">
        <f ca="1">IF($D50&lt;&gt;"Serviço",0,IF(AND(AUTOEVENTO="Manual",$M50=1),0,IF(OFFSET(CRONOPLE!$F$14,$M50,AN$13)="",10^12,OFFSET(CRONOPLE!$F$14,$M50,AN$13))))</f>
        <v>0</v>
      </c>
      <c r="AO50" s="178">
        <f ca="1">IF($D50&lt;&gt;"Serviço",0,IF(AND(AUTOEVENTO="Manual",$M50=1),0,IF(OFFSET(CRONOPLE!$F$14,$M50,AO$13)="",10^12,OFFSET(CRONOPLE!$F$14,$M50,AO$13))))</f>
        <v>0</v>
      </c>
      <c r="AP50" s="178">
        <f ca="1">IF($D50&lt;&gt;"Serviço",0,IF(AND(AUTOEVENTO="Manual",$M50=1),0,IF(OFFSET(CRONOPLE!$F$14,$M50,AP$13)="",10^12,OFFSET(CRONOPLE!$F$14,$M50,AP$13))))</f>
        <v>0</v>
      </c>
      <c r="AQ50" s="178">
        <f ca="1">IF($D50&lt;&gt;"Serviço",0,IF(AND(AUTOEVENTO="Manual",$M50=1),0,IF(OFFSET(CRONOPLE!$F$14,$M50,AQ$13)="",10^12,OFFSET(CRONOPLE!$F$14,$M50,AQ$13))))</f>
        <v>0</v>
      </c>
      <c r="AR50" s="178">
        <f ca="1">IF($D50&lt;&gt;"Serviço",0,IF(AND(AUTOEVENTO="Manual",$M50=1),0,IF(OFFSET(CRONOPLE!$F$14,$M50,AR$13)="",10^12,OFFSET(CRONOPLE!$F$14,$M50,AR$13))))</f>
        <v>0</v>
      </c>
      <c r="AS50" s="178">
        <f ca="1">IF($D50&lt;&gt;"Serviço",0,IF(AND(AUTOEVENTO="Manual",$M50=1),0,IF(OFFSET(CRONOPLE!$F$14,$M50,AS$13)="",10^12,OFFSET(CRONOPLE!$F$14,$M50,AS$13))))</f>
        <v>0</v>
      </c>
      <c r="AT50" s="178">
        <f ca="1">IF($D50&lt;&gt;"Serviço",0,IF(AND(AUTOEVENTO="Manual",$M50=1),0,IF(OFFSET(CRONOPLE!$F$14,$M50,AT$13)="",10^12,OFFSET(CRONOPLE!$F$14,$M50,AT$13))))</f>
        <v>0</v>
      </c>
      <c r="AU50" s="178">
        <f ca="1">IF($D50&lt;&gt;"Serviço",0,IF(AND(AUTOEVENTO="Manual",$M50=1),0,IF(OFFSET(CRONOPLE!$F$14,$M50,AU$13)="",10^12,OFFSET(CRONOPLE!$F$14,$M50,AU$13))))</f>
        <v>0</v>
      </c>
      <c r="AV50" s="178">
        <f ca="1">IF($D50&lt;&gt;"Serviço",0,IF(AND(AUTOEVENTO="Manual",$M50=1),0,IF(OFFSET(CRONOPLE!$F$14,$M50,AV$13)="",10^12,OFFSET(CRONOPLE!$F$14,$M50,AV$13))))</f>
        <v>0</v>
      </c>
      <c r="AX50" s="179">
        <f ca="1">IF($D50&lt;&gt;"Serviço",0,IF(OR(AND(AUTOEVENTO="Manual",$M50=1),$M50&gt;(ROW(PLE.lastrow)-ROW(PLE.firstrow))),0,IF(OFFSET(PLE!$G$14,$M50,AX$13)="",10^12,OFFSET(PLE!$G$14,$M50,AX$13))))</f>
        <v>0</v>
      </c>
      <c r="AY50" s="179">
        <f ca="1">IF($D50&lt;&gt;"Serviço",0,IF(OR(AND(AUTOEVENTO="Manual",$M50=1),$M50&gt;(ROW(PLE.lastrow)-ROW(PLE.firstrow))),0,IF(OFFSET(PLE!$G$14,$M50,AY$13)="",10^12,OFFSET(PLE!$G$14,$M50,AY$13))))</f>
        <v>0</v>
      </c>
      <c r="AZ50" s="179">
        <f ca="1">IF($D50&lt;&gt;"Serviço",0,IF(OR(AND(AUTOEVENTO="Manual",$M50=1),$M50&gt;(ROW(PLE.lastrow)-ROW(PLE.firstrow))),0,IF(OFFSET(PLE!$G$14,$M50,AZ$13)="",10^12,OFFSET(PLE!$G$14,$M50,AZ$13))))</f>
        <v>0</v>
      </c>
      <c r="BA50" s="179">
        <f ca="1">IF($D50&lt;&gt;"Serviço",0,IF(OR(AND(AUTOEVENTO="Manual",$M50=1),$M50&gt;(ROW(PLE.lastrow)-ROW(PLE.firstrow))),0,IF(OFFSET(PLE!$G$14,$M50,BA$13)="",10^12,OFFSET(PLE!$G$14,$M50,BA$13))))</f>
        <v>0</v>
      </c>
      <c r="BB50" s="179">
        <f ca="1">IF($D50&lt;&gt;"Serviço",0,IF(OR(AND(AUTOEVENTO="Manual",$M50=1),$M50&gt;(ROW(PLE.lastrow)-ROW(PLE.firstrow))),0,IF(OFFSET(PLE!$G$14,$M50,BB$13)="",10^12,OFFSET(PLE!$G$14,$M50,BB$13))))</f>
        <v>0</v>
      </c>
      <c r="BC50" s="179">
        <f ca="1">IF($D50&lt;&gt;"Serviço",0,IF(OR(AND(AUTOEVENTO="Manual",$M50=1),$M50&gt;(ROW(PLE.lastrow)-ROW(PLE.firstrow))),0,IF(OFFSET(PLE!$G$14,$M50,BC$13)="",10^12,OFFSET(PLE!$G$14,$M50,BC$13))))</f>
        <v>0</v>
      </c>
      <c r="BD50" s="179">
        <f ca="1">IF($D50&lt;&gt;"Serviço",0,IF(OR(AND(AUTOEVENTO="Manual",$M50=1),$M50&gt;(ROW(PLE.lastrow)-ROW(PLE.firstrow))),0,IF(OFFSET(PLE!$G$14,$M50,BD$13)="",10^12,OFFSET(PLE!$G$14,$M50,BD$13))))</f>
        <v>0</v>
      </c>
      <c r="BE50" s="179">
        <f ca="1">IF($D50&lt;&gt;"Serviço",0,IF(OR(AND(AUTOEVENTO="Manual",$M50=1),$M50&gt;(ROW(PLE.lastrow)-ROW(PLE.firstrow))),0,IF(OFFSET(PLE!$G$14,$M50,BE$13)="",10^12,OFFSET(PLE!$G$14,$M50,BE$13))))</f>
        <v>0</v>
      </c>
      <c r="BF50" s="179">
        <f ca="1">IF($D50&lt;&gt;"Serviço",0,IF(OR(AND(AUTOEVENTO="Manual",$M50=1),$M50&gt;(ROW(PLE.lastrow)-ROW(PLE.firstrow))),0,IF(OFFSET(PLE!$G$14,$M50,BF$13)="",10^12,OFFSET(PLE!$G$14,$M50,BF$13))))</f>
        <v>0</v>
      </c>
      <c r="BG50" s="179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51" x14ac:dyDescent="0.2">
      <c r="A51" s="7" t="str">
        <f t="shared" ca="1" si="8"/>
        <v>35</v>
      </c>
      <c r="B51" s="7" t="str">
        <f ca="1">OFFSET(ORÇAMENTO!C$15,ROW(B51)-ROW(B$15),0)</f>
        <v>S</v>
      </c>
      <c r="C51" s="7" t="str">
        <f ca="1">OFFSET(ORÇAMENTO!L$15,ROW(C51)-ROW(C$15),0)</f>
        <v/>
      </c>
      <c r="D51" s="115" t="str">
        <f ca="1">OFFSET(ORÇAMENTO!N$15,ROW(D51)-ROW(D$15),0)</f>
        <v>Serviço</v>
      </c>
      <c r="E51" s="116" t="str">
        <f ca="1">OFFSET(ORÇAMENTO!O$15,ROW(E51)-ROW(E$15),0)</f>
        <v>-</v>
      </c>
      <c r="F51" s="169" t="str">
        <f ca="1">OFFSET(ORÇAMENTO!R$15,ROW(F51)-ROW(F$15),0)</f>
        <v>(abra o arquivo 'Referência 10-2024.xlsm)</v>
      </c>
      <c r="G51" s="170" t="str">
        <f ca="1">IF($D51&lt;&gt;"Serviço","",OFFSET(ORÇAMENTO!S$15,ROW(G51)-ROW(G$15),0))</f>
        <v>-</v>
      </c>
      <c r="H51" s="121">
        <f ca="1">IF($D51&lt;&gt;"Serviço",0,IF(ACOMPANHAMENTO="BM",ROUND(OFFSET(ORÇAMENTO!AJ$15,ROW(H51)-ROW(H$15),0),15-13*ORÇAMENTO!$AF$7),SUMPRODUCT(($Q$12:$AA$12&lt;&gt;"")*ROUND($Q51:$AA51,15-13*ORÇAMENTO!$AF$7))))</f>
        <v>74.930000000000007</v>
      </c>
      <c r="I51" s="558" t="s">
        <v>561</v>
      </c>
      <c r="K51" s="171"/>
      <c r="L51" s="172" t="s">
        <v>255</v>
      </c>
      <c r="M51" s="173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174" t="str">
        <f ca="1">IF($D51&lt;&gt;"Serviço","",IF(AUTOEVENTO="Manual",IF($A51=0,"&lt;-- defina o número do agrupador",OFFSET(EVENTOS!$D$14,$A51,0)),OFFSET($F$15,$A51,0)))</f>
        <v>PAREDES E DIVISÓRIAS</v>
      </c>
      <c r="O51" s="175"/>
      <c r="Q51" s="175"/>
      <c r="R51" s="176"/>
      <c r="S51" s="176"/>
      <c r="T51" s="176"/>
      <c r="U51" s="176"/>
      <c r="V51" s="176"/>
      <c r="W51" s="176"/>
      <c r="X51" s="176"/>
      <c r="Y51" s="176"/>
      <c r="Z51" s="177"/>
      <c r="AB51" s="541">
        <f ca="1">IF(AND($D51="Serviço",AB$12&lt;&gt;0,$H51&gt;0,OR(AUTOEVENTO&lt;&gt;"manual",$M51&lt;&gt;1)),
IF(Import.TipoArredondamento&lt;&gt;"TransfereGOV",
ROUND(OFFSET($P51,0,AB$13),15-13*ORÇAMENTO!$AF$7)/$H51*OFFSET(ORÇAMENTO!$X$15,ROW(AB51)-ROW(AB$15),0),
ROUND(ROUND(OFFSET($P51,0,AB$13),15-13*ORÇAMENTO!$AF$7)*OFFSET(ORÇAMENTO!$W$15,ROW(AB51)-ROW(AB$15),0),15-13*ORÇAMENTO!$AF$11)),0)</f>
        <v>0</v>
      </c>
      <c r="AC51" s="542">
        <f ca="1">IF(AND($D51="Serviço",AC$12&lt;&gt;0,$H51&gt;0,OR(AUTOEVENTO&lt;&gt;"manual",$M51&lt;&gt;1)),
IF(Import.TipoArredondamento&lt;&gt;"TransfereGOV",
ROUND(OFFSET($P51,0,AC$13),15-13*ORÇAMENTO!$AF$7)/$H51*OFFSET(ORÇAMENTO!$X$15,ROW(AC51)-ROW(AC$15),0),
ROUND(ROUND(OFFSET($P51,0,AC$13),15-13*ORÇAMENTO!$AF$7)*OFFSET(ORÇAMENTO!$W$15,ROW(AC51)-ROW(AC$15),0),15-13*ORÇAMENTO!$AF$11)),0)</f>
        <v>0</v>
      </c>
      <c r="AD51" s="542">
        <f ca="1">IF(AND($D51="Serviço",AD$12&lt;&gt;0,$H51&gt;0,OR(AUTOEVENTO&lt;&gt;"manual",$M51&lt;&gt;1)),
IF(Import.TipoArredondamento&lt;&gt;"TransfereGOV",
ROUND(OFFSET($P51,0,AD$13),15-13*ORÇAMENTO!$AF$7)/$H51*OFFSET(ORÇAMENTO!$X$15,ROW(AD51)-ROW(AD$15),0),
ROUND(ROUND(OFFSET($P51,0,AD$13),15-13*ORÇAMENTO!$AF$7)*OFFSET(ORÇAMENTO!$W$15,ROW(AD51)-ROW(AD$15),0),15-13*ORÇAMENTO!$AF$11)),0)</f>
        <v>0</v>
      </c>
      <c r="AE51" s="542">
        <f ca="1">IF(AND($D51="Serviço",AE$12&lt;&gt;0,$H51&gt;0,OR(AUTOEVENTO&lt;&gt;"manual",$M51&lt;&gt;1)),
IF(Import.TipoArredondamento&lt;&gt;"TransfereGOV",
ROUND(OFFSET($P51,0,AE$13),15-13*ORÇAMENTO!$AF$7)/$H51*OFFSET(ORÇAMENTO!$X$15,ROW(AE51)-ROW(AE$15),0),
ROUND(ROUND(OFFSET($P51,0,AE$13),15-13*ORÇAMENTO!$AF$7)*OFFSET(ORÇAMENTO!$W$15,ROW(AE51)-ROW(AE$15),0),15-13*ORÇAMENTO!$AF$11)),0)</f>
        <v>0</v>
      </c>
      <c r="AF51" s="542">
        <f ca="1">IF(AND($D51="Serviço",AF$12&lt;&gt;0,$H51&gt;0,OR(AUTOEVENTO&lt;&gt;"manual",$M51&lt;&gt;1)),
IF(Import.TipoArredondamento&lt;&gt;"TransfereGOV",
ROUND(OFFSET($P51,0,AF$13),15-13*ORÇAMENTO!$AF$7)/$H51*OFFSET(ORÇAMENTO!$X$15,ROW(AF51)-ROW(AF$15),0),
ROUND(ROUND(OFFSET($P51,0,AF$13),15-13*ORÇAMENTO!$AF$7)*OFFSET(ORÇAMENTO!$W$15,ROW(AF51)-ROW(AF$15),0),15-13*ORÇAMENTO!$AF$11)),0)</f>
        <v>0</v>
      </c>
      <c r="AG51" s="542">
        <f ca="1">IF(AND($D51="Serviço",AG$12&lt;&gt;0,$H51&gt;0,OR(AUTOEVENTO&lt;&gt;"manual",$M51&lt;&gt;1)),
IF(Import.TipoArredondamento&lt;&gt;"TransfereGOV",
ROUND(OFFSET($P51,0,AG$13),15-13*ORÇAMENTO!$AF$7)/$H51*OFFSET(ORÇAMENTO!$X$15,ROW(AG51)-ROW(AG$15),0),
ROUND(ROUND(OFFSET($P51,0,AG$13),15-13*ORÇAMENTO!$AF$7)*OFFSET(ORÇAMENTO!$W$15,ROW(AG51)-ROW(AG$15),0),15-13*ORÇAMENTO!$AF$11)),0)</f>
        <v>0</v>
      </c>
      <c r="AH51" s="542">
        <f ca="1">IF(AND($D51="Serviço",AH$12&lt;&gt;0,$H51&gt;0,OR(AUTOEVENTO&lt;&gt;"manual",$M51&lt;&gt;1)),
IF(Import.TipoArredondamento&lt;&gt;"TransfereGOV",
ROUND(OFFSET($P51,0,AH$13),15-13*ORÇAMENTO!$AF$7)/$H51*OFFSET(ORÇAMENTO!$X$15,ROW(AH51)-ROW(AH$15),0),
ROUND(ROUND(OFFSET($P51,0,AH$13),15-13*ORÇAMENTO!$AF$7)*OFFSET(ORÇAMENTO!$W$15,ROW(AH51)-ROW(AH$15),0),15-13*ORÇAMENTO!$AF$11)),0)</f>
        <v>0</v>
      </c>
      <c r="AI51" s="542">
        <f ca="1">IF(AND($D51="Serviço",AI$12&lt;&gt;0,$H51&gt;0,OR(AUTOEVENTO&lt;&gt;"manual",$M51&lt;&gt;1)),
IF(Import.TipoArredondamento&lt;&gt;"TransfereGOV",
ROUND(OFFSET($P51,0,AI$13),15-13*ORÇAMENTO!$AF$7)/$H51*OFFSET(ORÇAMENTO!$X$15,ROW(AI51)-ROW(AI$15),0),
ROUND(ROUND(OFFSET($P51,0,AI$13),15-13*ORÇAMENTO!$AF$7)*OFFSET(ORÇAMENTO!$W$15,ROW(AI51)-ROW(AI$15),0),15-13*ORÇAMENTO!$AF$11)),0)</f>
        <v>0</v>
      </c>
      <c r="AJ51" s="542">
        <f ca="1">IF(AND($D51="Serviço",AJ$12&lt;&gt;0,$H51&gt;0,OR(AUTOEVENTO&lt;&gt;"manual",$M51&lt;&gt;1)),
IF(Import.TipoArredondamento&lt;&gt;"TransfereGOV",
ROUND(OFFSET($P51,0,AJ$13),15-13*ORÇAMENTO!$AF$7)/$H51*OFFSET(ORÇAMENTO!$X$15,ROW(AJ51)-ROW(AJ$15),0),
ROUND(ROUND(OFFSET($P51,0,AJ$13),15-13*ORÇAMENTO!$AF$7)*OFFSET(ORÇAMENTO!$W$15,ROW(AJ51)-ROW(AJ$15),0),15-13*ORÇAMENTO!$AF$11)),0)</f>
        <v>0</v>
      </c>
      <c r="AK51" s="543">
        <f ca="1">IF(AND($D51="Serviço",AK$12&lt;&gt;0,$H51&gt;0,OR(AUTOEVENTO&lt;&gt;"manual",$M51&lt;&gt;1)),
IF(Import.TipoArredondamento&lt;&gt;"TransfereGOV",
ROUND(OFFSET($P51,0,AK$13),15-13*ORÇAMENTO!$AF$7)/$H51*OFFSET(ORÇAMENTO!$X$15,ROW(AK51)-ROW(AK$15),0),
ROUND(ROUND(OFFSET($P51,0,AK$13),15-13*ORÇAMENTO!$AF$7)*OFFSET(ORÇAMENTO!$W$15,ROW(AK51)-ROW(AK$15),0),15-13*ORÇAMENTO!$AF$11)),0)</f>
        <v>0</v>
      </c>
      <c r="AM51" s="178">
        <f ca="1">IF($D51&lt;&gt;"Serviço",0,IF(AND(AUTOEVENTO="Manual",$M51=1),0,IF(OFFSET(CRONOPLE!$F$14,$M51,AM$13)="",10^12,OFFSET(CRONOPLE!$F$14,$M51,AM$13))))</f>
        <v>1000000000000</v>
      </c>
      <c r="AN51" s="178">
        <f ca="1">IF($D51&lt;&gt;"Serviço",0,IF(AND(AUTOEVENTO="Manual",$M51=1),0,IF(OFFSET(CRONOPLE!$F$14,$M51,AN$13)="",10^12,OFFSET(CRONOPLE!$F$14,$M51,AN$13))))</f>
        <v>1000000000000</v>
      </c>
      <c r="AO51" s="178">
        <f ca="1">IF($D51&lt;&gt;"Serviço",0,IF(AND(AUTOEVENTO="Manual",$M51=1),0,IF(OFFSET(CRONOPLE!$F$14,$M51,AO$13)="",10^12,OFFSET(CRONOPLE!$F$14,$M51,AO$13))))</f>
        <v>1000000000000</v>
      </c>
      <c r="AP51" s="178">
        <f ca="1">IF($D51&lt;&gt;"Serviço",0,IF(AND(AUTOEVENTO="Manual",$M51=1),0,IF(OFFSET(CRONOPLE!$F$14,$M51,AP$13)="",10^12,OFFSET(CRONOPLE!$F$14,$M51,AP$13))))</f>
        <v>1000000000000</v>
      </c>
      <c r="AQ51" s="178">
        <f ca="1">IF($D51&lt;&gt;"Serviço",0,IF(AND(AUTOEVENTO="Manual",$M51=1),0,IF(OFFSET(CRONOPLE!$F$14,$M51,AQ$13)="",10^12,OFFSET(CRONOPLE!$F$14,$M51,AQ$13))))</f>
        <v>1000000000000</v>
      </c>
      <c r="AR51" s="178">
        <f ca="1">IF($D51&lt;&gt;"Serviço",0,IF(AND(AUTOEVENTO="Manual",$M51=1),0,IF(OFFSET(CRONOPLE!$F$14,$M51,AR$13)="",10^12,OFFSET(CRONOPLE!$F$14,$M51,AR$13))))</f>
        <v>1000000000000</v>
      </c>
      <c r="AS51" s="178">
        <f ca="1">IF($D51&lt;&gt;"Serviço",0,IF(AND(AUTOEVENTO="Manual",$M51=1),0,IF(OFFSET(CRONOPLE!$F$14,$M51,AS$13)="",10^12,OFFSET(CRONOPLE!$F$14,$M51,AS$13))))</f>
        <v>1000000000000</v>
      </c>
      <c r="AT51" s="178">
        <f ca="1">IF($D51&lt;&gt;"Serviço",0,IF(AND(AUTOEVENTO="Manual",$M51=1),0,IF(OFFSET(CRONOPLE!$F$14,$M51,AT$13)="",10^12,OFFSET(CRONOPLE!$F$14,$M51,AT$13))))</f>
        <v>1000000000000</v>
      </c>
      <c r="AU51" s="178">
        <f ca="1">IF($D51&lt;&gt;"Serviço",0,IF(AND(AUTOEVENTO="Manual",$M51=1),0,IF(OFFSET(CRONOPLE!$F$14,$M51,AU$13)="",10^12,OFFSET(CRONOPLE!$F$14,$M51,AU$13))))</f>
        <v>1000000000000</v>
      </c>
      <c r="AV51" s="178">
        <f ca="1">IF($D51&lt;&gt;"Serviço",0,IF(AND(AUTOEVENTO="Manual",$M51=1),0,IF(OFFSET(CRONOPLE!$F$14,$M51,AV$13)="",10^12,OFFSET(CRONOPLE!$F$14,$M51,AV$13))))</f>
        <v>1000000000000</v>
      </c>
      <c r="AX51" s="179">
        <f ca="1">IF($D51&lt;&gt;"Serviço",0,IF(OR(AND(AUTOEVENTO="Manual",$M51=1),$M51&gt;(ROW(PLE.lastrow)-ROW(PLE.firstrow))),0,IF(OFFSET(PLE!$G$14,$M51,AX$13)="",10^12,OFFSET(PLE!$G$14,$M51,AX$13))))</f>
        <v>1000000000000</v>
      </c>
      <c r="AY51" s="179">
        <f ca="1">IF($D51&lt;&gt;"Serviço",0,IF(OR(AND(AUTOEVENTO="Manual",$M51=1),$M51&gt;(ROW(PLE.lastrow)-ROW(PLE.firstrow))),0,IF(OFFSET(PLE!$G$14,$M51,AY$13)="",10^12,OFFSET(PLE!$G$14,$M51,AY$13))))</f>
        <v>1000000000000</v>
      </c>
      <c r="AZ51" s="179">
        <f ca="1">IF($D51&lt;&gt;"Serviço",0,IF(OR(AND(AUTOEVENTO="Manual",$M51=1),$M51&gt;(ROW(PLE.lastrow)-ROW(PLE.firstrow))),0,IF(OFFSET(PLE!$G$14,$M51,AZ$13)="",10^12,OFFSET(PLE!$G$14,$M51,AZ$13))))</f>
        <v>1000000000000</v>
      </c>
      <c r="BA51" s="179">
        <f ca="1">IF($D51&lt;&gt;"Serviço",0,IF(OR(AND(AUTOEVENTO="Manual",$M51=1),$M51&gt;(ROW(PLE.lastrow)-ROW(PLE.firstrow))),0,IF(OFFSET(PLE!$G$14,$M51,BA$13)="",10^12,OFFSET(PLE!$G$14,$M51,BA$13))))</f>
        <v>1000000000000</v>
      </c>
      <c r="BB51" s="179">
        <f ca="1">IF($D51&lt;&gt;"Serviço",0,IF(OR(AND(AUTOEVENTO="Manual",$M51=1),$M51&gt;(ROW(PLE.lastrow)-ROW(PLE.firstrow))),0,IF(OFFSET(PLE!$G$14,$M51,BB$13)="",10^12,OFFSET(PLE!$G$14,$M51,BB$13))))</f>
        <v>1000000000000</v>
      </c>
      <c r="BC51" s="179">
        <f ca="1">IF($D51&lt;&gt;"Serviço",0,IF(OR(AND(AUTOEVENTO="Manual",$M51=1),$M51&gt;(ROW(PLE.lastrow)-ROW(PLE.firstrow))),0,IF(OFFSET(PLE!$G$14,$M51,BC$13)="",10^12,OFFSET(PLE!$G$14,$M51,BC$13))))</f>
        <v>1000000000000</v>
      </c>
      <c r="BD51" s="179">
        <f ca="1">IF($D51&lt;&gt;"Serviço",0,IF(OR(AND(AUTOEVENTO="Manual",$M51=1),$M51&gt;(ROW(PLE.lastrow)-ROW(PLE.firstrow))),0,IF(OFFSET(PLE!$G$14,$M51,BD$13)="",10^12,OFFSET(PLE!$G$14,$M51,BD$13))))</f>
        <v>1000000000000</v>
      </c>
      <c r="BE51" s="179">
        <f ca="1">IF($D51&lt;&gt;"Serviço",0,IF(OR(AND(AUTOEVENTO="Manual",$M51=1),$M51&gt;(ROW(PLE.lastrow)-ROW(PLE.firstrow))),0,IF(OFFSET(PLE!$G$14,$M51,BE$13)="",10^12,OFFSET(PLE!$G$14,$M51,BE$13))))</f>
        <v>1000000000000</v>
      </c>
      <c r="BF51" s="179">
        <f ca="1">IF($D51&lt;&gt;"Serviço",0,IF(OR(AND(AUTOEVENTO="Manual",$M51=1),$M51&gt;(ROW(PLE.lastrow)-ROW(PLE.firstrow))),0,IF(OFFSET(PLE!$G$14,$M51,BF$13)="",10^12,OFFSET(PLE!$G$14,$M51,BF$13))))</f>
        <v>1000000000000</v>
      </c>
      <c r="BG51" s="179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38.25" x14ac:dyDescent="0.2">
      <c r="A52" s="7" t="str">
        <f t="shared" ca="1" si="8"/>
        <v>35</v>
      </c>
      <c r="B52" s="7" t="str">
        <f ca="1">OFFSET(ORÇAMENTO!C$15,ROW(B52)-ROW(B$15),0)</f>
        <v>S</v>
      </c>
      <c r="C52" s="7" t="str">
        <f ca="1">OFFSET(ORÇAMENTO!L$15,ROW(C52)-ROW(C$15),0)</f>
        <v/>
      </c>
      <c r="D52" s="115" t="str">
        <f ca="1">OFFSET(ORÇAMENTO!N$15,ROW(D52)-ROW(D$15),0)</f>
        <v>Serviço</v>
      </c>
      <c r="E52" s="116" t="str">
        <f ca="1">OFFSET(ORÇAMENTO!O$15,ROW(E52)-ROW(E$15),0)</f>
        <v>-</v>
      </c>
      <c r="F52" s="169" t="str">
        <f ca="1">OFFSET(ORÇAMENTO!R$15,ROW(F52)-ROW(F$15),0)</f>
        <v>(abra o arquivo 'Referência 10-2024.xlsm)</v>
      </c>
      <c r="G52" s="170" t="str">
        <f ca="1">IF($D52&lt;&gt;"Serviço","",OFFSET(ORÇAMENTO!S$15,ROW(G52)-ROW(G$15),0))</f>
        <v>-</v>
      </c>
      <c r="H52" s="121">
        <f ca="1">IF($D52&lt;&gt;"Serviço",0,IF(ACOMPANHAMENTO="BM",ROUND(OFFSET(ORÇAMENTO!AJ$15,ROW(H52)-ROW(H$15),0),15-13*ORÇAMENTO!$AF$7),SUMPRODUCT(($Q$12:$AA$12&lt;&gt;"")*ROUND($Q52:$AA52,15-13*ORÇAMENTO!$AF$7))))</f>
        <v>12.96</v>
      </c>
      <c r="I52" s="558" t="s">
        <v>561</v>
      </c>
      <c r="K52" s="171"/>
      <c r="L52" s="172" t="s">
        <v>255</v>
      </c>
      <c r="M52" s="173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174" t="str">
        <f ca="1">IF($D52&lt;&gt;"Serviço","",IF(AUTOEVENTO="Manual",IF($A52=0,"&lt;-- defina o número do agrupador",OFFSET(EVENTOS!$D$14,$A52,0)),OFFSET($F$15,$A52,0)))</f>
        <v>PAREDES E DIVISÓRIAS</v>
      </c>
      <c r="O52" s="175"/>
      <c r="Q52" s="175"/>
      <c r="R52" s="176"/>
      <c r="S52" s="176"/>
      <c r="T52" s="176"/>
      <c r="U52" s="176"/>
      <c r="V52" s="176"/>
      <c r="W52" s="176"/>
      <c r="X52" s="176"/>
      <c r="Y52" s="176"/>
      <c r="Z52" s="177"/>
      <c r="AB52" s="541">
        <f ca="1">IF(AND($D52="Serviço",AB$12&lt;&gt;0,$H52&gt;0,OR(AUTOEVENTO&lt;&gt;"manual",$M52&lt;&gt;1)),
IF(Import.TipoArredondamento&lt;&gt;"TransfereGOV",
ROUND(OFFSET($P52,0,AB$13),15-13*ORÇAMENTO!$AF$7)/$H52*OFFSET(ORÇAMENTO!$X$15,ROW(AB52)-ROW(AB$15),0),
ROUND(ROUND(OFFSET($P52,0,AB$13),15-13*ORÇAMENTO!$AF$7)*OFFSET(ORÇAMENTO!$W$15,ROW(AB52)-ROW(AB$15),0),15-13*ORÇAMENTO!$AF$11)),0)</f>
        <v>0</v>
      </c>
      <c r="AC52" s="542">
        <f ca="1">IF(AND($D52="Serviço",AC$12&lt;&gt;0,$H52&gt;0,OR(AUTOEVENTO&lt;&gt;"manual",$M52&lt;&gt;1)),
IF(Import.TipoArredondamento&lt;&gt;"TransfereGOV",
ROUND(OFFSET($P52,0,AC$13),15-13*ORÇAMENTO!$AF$7)/$H52*OFFSET(ORÇAMENTO!$X$15,ROW(AC52)-ROW(AC$15),0),
ROUND(ROUND(OFFSET($P52,0,AC$13),15-13*ORÇAMENTO!$AF$7)*OFFSET(ORÇAMENTO!$W$15,ROW(AC52)-ROW(AC$15),0),15-13*ORÇAMENTO!$AF$11)),0)</f>
        <v>0</v>
      </c>
      <c r="AD52" s="542">
        <f ca="1">IF(AND($D52="Serviço",AD$12&lt;&gt;0,$H52&gt;0,OR(AUTOEVENTO&lt;&gt;"manual",$M52&lt;&gt;1)),
IF(Import.TipoArredondamento&lt;&gt;"TransfereGOV",
ROUND(OFFSET($P52,0,AD$13),15-13*ORÇAMENTO!$AF$7)/$H52*OFFSET(ORÇAMENTO!$X$15,ROW(AD52)-ROW(AD$15),0),
ROUND(ROUND(OFFSET($P52,0,AD$13),15-13*ORÇAMENTO!$AF$7)*OFFSET(ORÇAMENTO!$W$15,ROW(AD52)-ROW(AD$15),0),15-13*ORÇAMENTO!$AF$11)),0)</f>
        <v>0</v>
      </c>
      <c r="AE52" s="542">
        <f ca="1">IF(AND($D52="Serviço",AE$12&lt;&gt;0,$H52&gt;0,OR(AUTOEVENTO&lt;&gt;"manual",$M52&lt;&gt;1)),
IF(Import.TipoArredondamento&lt;&gt;"TransfereGOV",
ROUND(OFFSET($P52,0,AE$13),15-13*ORÇAMENTO!$AF$7)/$H52*OFFSET(ORÇAMENTO!$X$15,ROW(AE52)-ROW(AE$15),0),
ROUND(ROUND(OFFSET($P52,0,AE$13),15-13*ORÇAMENTO!$AF$7)*OFFSET(ORÇAMENTO!$W$15,ROW(AE52)-ROW(AE$15),0),15-13*ORÇAMENTO!$AF$11)),0)</f>
        <v>0</v>
      </c>
      <c r="AF52" s="542">
        <f ca="1">IF(AND($D52="Serviço",AF$12&lt;&gt;0,$H52&gt;0,OR(AUTOEVENTO&lt;&gt;"manual",$M52&lt;&gt;1)),
IF(Import.TipoArredondamento&lt;&gt;"TransfereGOV",
ROUND(OFFSET($P52,0,AF$13),15-13*ORÇAMENTO!$AF$7)/$H52*OFFSET(ORÇAMENTO!$X$15,ROW(AF52)-ROW(AF$15),0),
ROUND(ROUND(OFFSET($P52,0,AF$13),15-13*ORÇAMENTO!$AF$7)*OFFSET(ORÇAMENTO!$W$15,ROW(AF52)-ROW(AF$15),0),15-13*ORÇAMENTO!$AF$11)),0)</f>
        <v>0</v>
      </c>
      <c r="AG52" s="542">
        <f ca="1">IF(AND($D52="Serviço",AG$12&lt;&gt;0,$H52&gt;0,OR(AUTOEVENTO&lt;&gt;"manual",$M52&lt;&gt;1)),
IF(Import.TipoArredondamento&lt;&gt;"TransfereGOV",
ROUND(OFFSET($P52,0,AG$13),15-13*ORÇAMENTO!$AF$7)/$H52*OFFSET(ORÇAMENTO!$X$15,ROW(AG52)-ROW(AG$15),0),
ROUND(ROUND(OFFSET($P52,0,AG$13),15-13*ORÇAMENTO!$AF$7)*OFFSET(ORÇAMENTO!$W$15,ROW(AG52)-ROW(AG$15),0),15-13*ORÇAMENTO!$AF$11)),0)</f>
        <v>0</v>
      </c>
      <c r="AH52" s="542">
        <f ca="1">IF(AND($D52="Serviço",AH$12&lt;&gt;0,$H52&gt;0,OR(AUTOEVENTO&lt;&gt;"manual",$M52&lt;&gt;1)),
IF(Import.TipoArredondamento&lt;&gt;"TransfereGOV",
ROUND(OFFSET($P52,0,AH$13),15-13*ORÇAMENTO!$AF$7)/$H52*OFFSET(ORÇAMENTO!$X$15,ROW(AH52)-ROW(AH$15),0),
ROUND(ROUND(OFFSET($P52,0,AH$13),15-13*ORÇAMENTO!$AF$7)*OFFSET(ORÇAMENTO!$W$15,ROW(AH52)-ROW(AH$15),0),15-13*ORÇAMENTO!$AF$11)),0)</f>
        <v>0</v>
      </c>
      <c r="AI52" s="542">
        <f ca="1">IF(AND($D52="Serviço",AI$12&lt;&gt;0,$H52&gt;0,OR(AUTOEVENTO&lt;&gt;"manual",$M52&lt;&gt;1)),
IF(Import.TipoArredondamento&lt;&gt;"TransfereGOV",
ROUND(OFFSET($P52,0,AI$13),15-13*ORÇAMENTO!$AF$7)/$H52*OFFSET(ORÇAMENTO!$X$15,ROW(AI52)-ROW(AI$15),0),
ROUND(ROUND(OFFSET($P52,0,AI$13),15-13*ORÇAMENTO!$AF$7)*OFFSET(ORÇAMENTO!$W$15,ROW(AI52)-ROW(AI$15),0),15-13*ORÇAMENTO!$AF$11)),0)</f>
        <v>0</v>
      </c>
      <c r="AJ52" s="542">
        <f ca="1">IF(AND($D52="Serviço",AJ$12&lt;&gt;0,$H52&gt;0,OR(AUTOEVENTO&lt;&gt;"manual",$M52&lt;&gt;1)),
IF(Import.TipoArredondamento&lt;&gt;"TransfereGOV",
ROUND(OFFSET($P52,0,AJ$13),15-13*ORÇAMENTO!$AF$7)/$H52*OFFSET(ORÇAMENTO!$X$15,ROW(AJ52)-ROW(AJ$15),0),
ROUND(ROUND(OFFSET($P52,0,AJ$13),15-13*ORÇAMENTO!$AF$7)*OFFSET(ORÇAMENTO!$W$15,ROW(AJ52)-ROW(AJ$15),0),15-13*ORÇAMENTO!$AF$11)),0)</f>
        <v>0</v>
      </c>
      <c r="AK52" s="543">
        <f ca="1">IF(AND($D52="Serviço",AK$12&lt;&gt;0,$H52&gt;0,OR(AUTOEVENTO&lt;&gt;"manual",$M52&lt;&gt;1)),
IF(Import.TipoArredondamento&lt;&gt;"TransfereGOV",
ROUND(OFFSET($P52,0,AK$13),15-13*ORÇAMENTO!$AF$7)/$H52*OFFSET(ORÇAMENTO!$X$15,ROW(AK52)-ROW(AK$15),0),
ROUND(ROUND(OFFSET($P52,0,AK$13),15-13*ORÇAMENTO!$AF$7)*OFFSET(ORÇAMENTO!$W$15,ROW(AK52)-ROW(AK$15),0),15-13*ORÇAMENTO!$AF$11)),0)</f>
        <v>0</v>
      </c>
      <c r="AM52" s="178">
        <f ca="1">IF($D52&lt;&gt;"Serviço",0,IF(AND(AUTOEVENTO="Manual",$M52=1),0,IF(OFFSET(CRONOPLE!$F$14,$M52,AM$13)="",10^12,OFFSET(CRONOPLE!$F$14,$M52,AM$13))))</f>
        <v>1000000000000</v>
      </c>
      <c r="AN52" s="178">
        <f ca="1">IF($D52&lt;&gt;"Serviço",0,IF(AND(AUTOEVENTO="Manual",$M52=1),0,IF(OFFSET(CRONOPLE!$F$14,$M52,AN$13)="",10^12,OFFSET(CRONOPLE!$F$14,$M52,AN$13))))</f>
        <v>1000000000000</v>
      </c>
      <c r="AO52" s="178">
        <f ca="1">IF($D52&lt;&gt;"Serviço",0,IF(AND(AUTOEVENTO="Manual",$M52=1),0,IF(OFFSET(CRONOPLE!$F$14,$M52,AO$13)="",10^12,OFFSET(CRONOPLE!$F$14,$M52,AO$13))))</f>
        <v>1000000000000</v>
      </c>
      <c r="AP52" s="178">
        <f ca="1">IF($D52&lt;&gt;"Serviço",0,IF(AND(AUTOEVENTO="Manual",$M52=1),0,IF(OFFSET(CRONOPLE!$F$14,$M52,AP$13)="",10^12,OFFSET(CRONOPLE!$F$14,$M52,AP$13))))</f>
        <v>1000000000000</v>
      </c>
      <c r="AQ52" s="178">
        <f ca="1">IF($D52&lt;&gt;"Serviço",0,IF(AND(AUTOEVENTO="Manual",$M52=1),0,IF(OFFSET(CRONOPLE!$F$14,$M52,AQ$13)="",10^12,OFFSET(CRONOPLE!$F$14,$M52,AQ$13))))</f>
        <v>1000000000000</v>
      </c>
      <c r="AR52" s="178">
        <f ca="1">IF($D52&lt;&gt;"Serviço",0,IF(AND(AUTOEVENTO="Manual",$M52=1),0,IF(OFFSET(CRONOPLE!$F$14,$M52,AR$13)="",10^12,OFFSET(CRONOPLE!$F$14,$M52,AR$13))))</f>
        <v>1000000000000</v>
      </c>
      <c r="AS52" s="178">
        <f ca="1">IF($D52&lt;&gt;"Serviço",0,IF(AND(AUTOEVENTO="Manual",$M52=1),0,IF(OFFSET(CRONOPLE!$F$14,$M52,AS$13)="",10^12,OFFSET(CRONOPLE!$F$14,$M52,AS$13))))</f>
        <v>1000000000000</v>
      </c>
      <c r="AT52" s="178">
        <f ca="1">IF($D52&lt;&gt;"Serviço",0,IF(AND(AUTOEVENTO="Manual",$M52=1),0,IF(OFFSET(CRONOPLE!$F$14,$M52,AT$13)="",10^12,OFFSET(CRONOPLE!$F$14,$M52,AT$13))))</f>
        <v>1000000000000</v>
      </c>
      <c r="AU52" s="178">
        <f ca="1">IF($D52&lt;&gt;"Serviço",0,IF(AND(AUTOEVENTO="Manual",$M52=1),0,IF(OFFSET(CRONOPLE!$F$14,$M52,AU$13)="",10^12,OFFSET(CRONOPLE!$F$14,$M52,AU$13))))</f>
        <v>1000000000000</v>
      </c>
      <c r="AV52" s="178">
        <f ca="1">IF($D52&lt;&gt;"Serviço",0,IF(AND(AUTOEVENTO="Manual",$M52=1),0,IF(OFFSET(CRONOPLE!$F$14,$M52,AV$13)="",10^12,OFFSET(CRONOPLE!$F$14,$M52,AV$13))))</f>
        <v>1000000000000</v>
      </c>
      <c r="AX52" s="179">
        <f ca="1">IF($D52&lt;&gt;"Serviço",0,IF(OR(AND(AUTOEVENTO="Manual",$M52=1),$M52&gt;(ROW(PLE.lastrow)-ROW(PLE.firstrow))),0,IF(OFFSET(PLE!$G$14,$M52,AX$13)="",10^12,OFFSET(PLE!$G$14,$M52,AX$13))))</f>
        <v>1000000000000</v>
      </c>
      <c r="AY52" s="179">
        <f ca="1">IF($D52&lt;&gt;"Serviço",0,IF(OR(AND(AUTOEVENTO="Manual",$M52=1),$M52&gt;(ROW(PLE.lastrow)-ROW(PLE.firstrow))),0,IF(OFFSET(PLE!$G$14,$M52,AY$13)="",10^12,OFFSET(PLE!$G$14,$M52,AY$13))))</f>
        <v>1000000000000</v>
      </c>
      <c r="AZ52" s="179">
        <f ca="1">IF($D52&lt;&gt;"Serviço",0,IF(OR(AND(AUTOEVENTO="Manual",$M52=1),$M52&gt;(ROW(PLE.lastrow)-ROW(PLE.firstrow))),0,IF(OFFSET(PLE!$G$14,$M52,AZ$13)="",10^12,OFFSET(PLE!$G$14,$M52,AZ$13))))</f>
        <v>1000000000000</v>
      </c>
      <c r="BA52" s="179">
        <f ca="1">IF($D52&lt;&gt;"Serviço",0,IF(OR(AND(AUTOEVENTO="Manual",$M52=1),$M52&gt;(ROW(PLE.lastrow)-ROW(PLE.firstrow))),0,IF(OFFSET(PLE!$G$14,$M52,BA$13)="",10^12,OFFSET(PLE!$G$14,$M52,BA$13))))</f>
        <v>1000000000000</v>
      </c>
      <c r="BB52" s="179">
        <f ca="1">IF($D52&lt;&gt;"Serviço",0,IF(OR(AND(AUTOEVENTO="Manual",$M52=1),$M52&gt;(ROW(PLE.lastrow)-ROW(PLE.firstrow))),0,IF(OFFSET(PLE!$G$14,$M52,BB$13)="",10^12,OFFSET(PLE!$G$14,$M52,BB$13))))</f>
        <v>1000000000000</v>
      </c>
      <c r="BC52" s="179">
        <f ca="1">IF($D52&lt;&gt;"Serviço",0,IF(OR(AND(AUTOEVENTO="Manual",$M52=1),$M52&gt;(ROW(PLE.lastrow)-ROW(PLE.firstrow))),0,IF(OFFSET(PLE!$G$14,$M52,BC$13)="",10^12,OFFSET(PLE!$G$14,$M52,BC$13))))</f>
        <v>1000000000000</v>
      </c>
      <c r="BD52" s="179">
        <f ca="1">IF($D52&lt;&gt;"Serviço",0,IF(OR(AND(AUTOEVENTO="Manual",$M52=1),$M52&gt;(ROW(PLE.lastrow)-ROW(PLE.firstrow))),0,IF(OFFSET(PLE!$G$14,$M52,BD$13)="",10^12,OFFSET(PLE!$G$14,$M52,BD$13))))</f>
        <v>1000000000000</v>
      </c>
      <c r="BE52" s="179">
        <f ca="1">IF($D52&lt;&gt;"Serviço",0,IF(OR(AND(AUTOEVENTO="Manual",$M52=1),$M52&gt;(ROW(PLE.lastrow)-ROW(PLE.firstrow))),0,IF(OFFSET(PLE!$G$14,$M52,BE$13)="",10^12,OFFSET(PLE!$G$14,$M52,BE$13))))</f>
        <v>1000000000000</v>
      </c>
      <c r="BF52" s="179">
        <f ca="1">IF($D52&lt;&gt;"Serviço",0,IF(OR(AND(AUTOEVENTO="Manual",$M52=1),$M52&gt;(ROW(PLE.lastrow)-ROW(PLE.firstrow))),0,IF(OFFSET(PLE!$G$14,$M52,BF$13)="",10^12,OFFSET(PLE!$G$14,$M52,BF$13))))</f>
        <v>1000000000000</v>
      </c>
      <c r="BG52" s="179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7" t="str">
        <f t="shared" ca="1" si="8"/>
        <v>38.</v>
      </c>
      <c r="B53" s="7">
        <f ca="1">OFFSET(ORÇAMENTO!C$15,ROW(B53)-ROW(B$15),0)</f>
        <v>2</v>
      </c>
      <c r="C53" s="7" t="str">
        <f ca="1">OFFSET(ORÇAMENTO!L$15,ROW(C53)-ROW(C$15),0)</f>
        <v>F</v>
      </c>
      <c r="D53" s="115" t="str">
        <f ca="1">OFFSET(ORÇAMENTO!N$15,ROW(D53)-ROW(D$15),0)</f>
        <v>Nível 2</v>
      </c>
      <c r="E53" s="116" t="str">
        <f ca="1">OFFSET(ORÇAMENTO!O$15,ROW(E53)-ROW(E$15),0)</f>
        <v>1.6.</v>
      </c>
      <c r="F53" s="169" t="str">
        <f ca="1">OFFSET(ORÇAMENTO!R$15,ROW(F53)-ROW(F$15),0)</f>
        <v>COBERTURA</v>
      </c>
      <c r="G53" s="170" t="str">
        <f ca="1">IF($D53&lt;&gt;"Serviço","",OFFSET(ORÇAMENTO!S$15,ROW(G53)-ROW(G$15),0))</f>
        <v/>
      </c>
      <c r="H53" s="121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558"/>
      <c r="K53" s="171"/>
      <c r="L53" s="172" t="s">
        <v>255</v>
      </c>
      <c r="M53" s="173" t="str">
        <f ca="1">IF($D53&lt;&gt;"Serviço","",IF(AUTOEVENTO="manual",$A53,IF(ISERROR(MATCH($A53,$A$15:OFFSET($A53,-1,0),0)),MAX($M$15:OFFSET(M53,-1,0))+1,INDEX($M$15:OFFSET(M53,-1,0),MATCH($A53,$A$15:OFFSET($A53,-1,0),0)))))</f>
        <v/>
      </c>
      <c r="N53" s="174" t="str">
        <f ca="1">IF($D53&lt;&gt;"Serviço","",IF(AUTOEVENTO="Manual",IF($A53=0,"&lt;-- defina o número do agrupador",OFFSET(EVENTOS!$D$14,$A53,0)),OFFSET($F$15,$A53,0)))</f>
        <v/>
      </c>
      <c r="O53" s="175"/>
      <c r="Q53" s="175"/>
      <c r="R53" s="176"/>
      <c r="S53" s="176"/>
      <c r="T53" s="176"/>
      <c r="U53" s="176"/>
      <c r="V53" s="176"/>
      <c r="W53" s="176"/>
      <c r="X53" s="176"/>
      <c r="Y53" s="176"/>
      <c r="Z53" s="177"/>
      <c r="AB53" s="541">
        <f ca="1">IF(AND($D53="Serviço",AB$12&lt;&gt;0,$H53&gt;0,OR(AUTOEVENTO&lt;&gt;"manual",$M53&lt;&gt;1)),
IF(Import.TipoArredondamento&lt;&gt;"TransfereGOV",
ROUND(OFFSET($P53,0,AB$13),15-13*ORÇAMENTO!$AF$7)/$H53*OFFSET(ORÇAMENTO!$X$15,ROW(AB53)-ROW(AB$15),0),
ROUND(ROUND(OFFSET($P53,0,AB$13),15-13*ORÇAMENTO!$AF$7)*OFFSET(ORÇAMENTO!$W$15,ROW(AB53)-ROW(AB$15),0),15-13*ORÇAMENTO!$AF$11)),0)</f>
        <v>0</v>
      </c>
      <c r="AC53" s="542">
        <f ca="1">IF(AND($D53="Serviço",AC$12&lt;&gt;0,$H53&gt;0,OR(AUTOEVENTO&lt;&gt;"manual",$M53&lt;&gt;1)),
IF(Import.TipoArredondamento&lt;&gt;"TransfereGOV",
ROUND(OFFSET($P53,0,AC$13),15-13*ORÇAMENTO!$AF$7)/$H53*OFFSET(ORÇAMENTO!$X$15,ROW(AC53)-ROW(AC$15),0),
ROUND(ROUND(OFFSET($P53,0,AC$13),15-13*ORÇAMENTO!$AF$7)*OFFSET(ORÇAMENTO!$W$15,ROW(AC53)-ROW(AC$15),0),15-13*ORÇAMENTO!$AF$11)),0)</f>
        <v>0</v>
      </c>
      <c r="AD53" s="542">
        <f ca="1">IF(AND($D53="Serviço",AD$12&lt;&gt;0,$H53&gt;0,OR(AUTOEVENTO&lt;&gt;"manual",$M53&lt;&gt;1)),
IF(Import.TipoArredondamento&lt;&gt;"TransfereGOV",
ROUND(OFFSET($P53,0,AD$13),15-13*ORÇAMENTO!$AF$7)/$H53*OFFSET(ORÇAMENTO!$X$15,ROW(AD53)-ROW(AD$15),0),
ROUND(ROUND(OFFSET($P53,0,AD$13),15-13*ORÇAMENTO!$AF$7)*OFFSET(ORÇAMENTO!$W$15,ROW(AD53)-ROW(AD$15),0),15-13*ORÇAMENTO!$AF$11)),0)</f>
        <v>0</v>
      </c>
      <c r="AE53" s="542">
        <f ca="1">IF(AND($D53="Serviço",AE$12&lt;&gt;0,$H53&gt;0,OR(AUTOEVENTO&lt;&gt;"manual",$M53&lt;&gt;1)),
IF(Import.TipoArredondamento&lt;&gt;"TransfereGOV",
ROUND(OFFSET($P53,0,AE$13),15-13*ORÇAMENTO!$AF$7)/$H53*OFFSET(ORÇAMENTO!$X$15,ROW(AE53)-ROW(AE$15),0),
ROUND(ROUND(OFFSET($P53,0,AE$13),15-13*ORÇAMENTO!$AF$7)*OFFSET(ORÇAMENTO!$W$15,ROW(AE53)-ROW(AE$15),0),15-13*ORÇAMENTO!$AF$11)),0)</f>
        <v>0</v>
      </c>
      <c r="AF53" s="542">
        <f ca="1">IF(AND($D53="Serviço",AF$12&lt;&gt;0,$H53&gt;0,OR(AUTOEVENTO&lt;&gt;"manual",$M53&lt;&gt;1)),
IF(Import.TipoArredondamento&lt;&gt;"TransfereGOV",
ROUND(OFFSET($P53,0,AF$13),15-13*ORÇAMENTO!$AF$7)/$H53*OFFSET(ORÇAMENTO!$X$15,ROW(AF53)-ROW(AF$15),0),
ROUND(ROUND(OFFSET($P53,0,AF$13),15-13*ORÇAMENTO!$AF$7)*OFFSET(ORÇAMENTO!$W$15,ROW(AF53)-ROW(AF$15),0),15-13*ORÇAMENTO!$AF$11)),0)</f>
        <v>0</v>
      </c>
      <c r="AG53" s="542">
        <f ca="1">IF(AND($D53="Serviço",AG$12&lt;&gt;0,$H53&gt;0,OR(AUTOEVENTO&lt;&gt;"manual",$M53&lt;&gt;1)),
IF(Import.TipoArredondamento&lt;&gt;"TransfereGOV",
ROUND(OFFSET($P53,0,AG$13),15-13*ORÇAMENTO!$AF$7)/$H53*OFFSET(ORÇAMENTO!$X$15,ROW(AG53)-ROW(AG$15),0),
ROUND(ROUND(OFFSET($P53,0,AG$13),15-13*ORÇAMENTO!$AF$7)*OFFSET(ORÇAMENTO!$W$15,ROW(AG53)-ROW(AG$15),0),15-13*ORÇAMENTO!$AF$11)),0)</f>
        <v>0</v>
      </c>
      <c r="AH53" s="542">
        <f ca="1">IF(AND($D53="Serviço",AH$12&lt;&gt;0,$H53&gt;0,OR(AUTOEVENTO&lt;&gt;"manual",$M53&lt;&gt;1)),
IF(Import.TipoArredondamento&lt;&gt;"TransfereGOV",
ROUND(OFFSET($P53,0,AH$13),15-13*ORÇAMENTO!$AF$7)/$H53*OFFSET(ORÇAMENTO!$X$15,ROW(AH53)-ROW(AH$15),0),
ROUND(ROUND(OFFSET($P53,0,AH$13),15-13*ORÇAMENTO!$AF$7)*OFFSET(ORÇAMENTO!$W$15,ROW(AH53)-ROW(AH$15),0),15-13*ORÇAMENTO!$AF$11)),0)</f>
        <v>0</v>
      </c>
      <c r="AI53" s="542">
        <f ca="1">IF(AND($D53="Serviço",AI$12&lt;&gt;0,$H53&gt;0,OR(AUTOEVENTO&lt;&gt;"manual",$M53&lt;&gt;1)),
IF(Import.TipoArredondamento&lt;&gt;"TransfereGOV",
ROUND(OFFSET($P53,0,AI$13),15-13*ORÇAMENTO!$AF$7)/$H53*OFFSET(ORÇAMENTO!$X$15,ROW(AI53)-ROW(AI$15),0),
ROUND(ROUND(OFFSET($P53,0,AI$13),15-13*ORÇAMENTO!$AF$7)*OFFSET(ORÇAMENTO!$W$15,ROW(AI53)-ROW(AI$15),0),15-13*ORÇAMENTO!$AF$11)),0)</f>
        <v>0</v>
      </c>
      <c r="AJ53" s="542">
        <f ca="1">IF(AND($D53="Serviço",AJ$12&lt;&gt;0,$H53&gt;0,OR(AUTOEVENTO&lt;&gt;"manual",$M53&lt;&gt;1)),
IF(Import.TipoArredondamento&lt;&gt;"TransfereGOV",
ROUND(OFFSET($P53,0,AJ$13),15-13*ORÇAMENTO!$AF$7)/$H53*OFFSET(ORÇAMENTO!$X$15,ROW(AJ53)-ROW(AJ$15),0),
ROUND(ROUND(OFFSET($P53,0,AJ$13),15-13*ORÇAMENTO!$AF$7)*OFFSET(ORÇAMENTO!$W$15,ROW(AJ53)-ROW(AJ$15),0),15-13*ORÇAMENTO!$AF$11)),0)</f>
        <v>0</v>
      </c>
      <c r="AK53" s="543">
        <f ca="1">IF(AND($D53="Serviço",AK$12&lt;&gt;0,$H53&gt;0,OR(AUTOEVENTO&lt;&gt;"manual",$M53&lt;&gt;1)),
IF(Import.TipoArredondamento&lt;&gt;"TransfereGOV",
ROUND(OFFSET($P53,0,AK$13),15-13*ORÇAMENTO!$AF$7)/$H53*OFFSET(ORÇAMENTO!$X$15,ROW(AK53)-ROW(AK$15),0),
ROUND(ROUND(OFFSET($P53,0,AK$13),15-13*ORÇAMENTO!$AF$7)*OFFSET(ORÇAMENTO!$W$15,ROW(AK53)-ROW(AK$15),0),15-13*ORÇAMENTO!$AF$11)),0)</f>
        <v>0</v>
      </c>
      <c r="AM53" s="178">
        <f ca="1">IF($D53&lt;&gt;"Serviço",0,IF(AND(AUTOEVENTO="Manual",$M53=1),0,IF(OFFSET(CRONOPLE!$F$14,$M53,AM$13)="",10^12,OFFSET(CRONOPLE!$F$14,$M53,AM$13))))</f>
        <v>0</v>
      </c>
      <c r="AN53" s="178">
        <f ca="1">IF($D53&lt;&gt;"Serviço",0,IF(AND(AUTOEVENTO="Manual",$M53=1),0,IF(OFFSET(CRONOPLE!$F$14,$M53,AN$13)="",10^12,OFFSET(CRONOPLE!$F$14,$M53,AN$13))))</f>
        <v>0</v>
      </c>
      <c r="AO53" s="178">
        <f ca="1">IF($D53&lt;&gt;"Serviço",0,IF(AND(AUTOEVENTO="Manual",$M53=1),0,IF(OFFSET(CRONOPLE!$F$14,$M53,AO$13)="",10^12,OFFSET(CRONOPLE!$F$14,$M53,AO$13))))</f>
        <v>0</v>
      </c>
      <c r="AP53" s="178">
        <f ca="1">IF($D53&lt;&gt;"Serviço",0,IF(AND(AUTOEVENTO="Manual",$M53=1),0,IF(OFFSET(CRONOPLE!$F$14,$M53,AP$13)="",10^12,OFFSET(CRONOPLE!$F$14,$M53,AP$13))))</f>
        <v>0</v>
      </c>
      <c r="AQ53" s="178">
        <f ca="1">IF($D53&lt;&gt;"Serviço",0,IF(AND(AUTOEVENTO="Manual",$M53=1),0,IF(OFFSET(CRONOPLE!$F$14,$M53,AQ$13)="",10^12,OFFSET(CRONOPLE!$F$14,$M53,AQ$13))))</f>
        <v>0</v>
      </c>
      <c r="AR53" s="178">
        <f ca="1">IF($D53&lt;&gt;"Serviço",0,IF(AND(AUTOEVENTO="Manual",$M53=1),0,IF(OFFSET(CRONOPLE!$F$14,$M53,AR$13)="",10^12,OFFSET(CRONOPLE!$F$14,$M53,AR$13))))</f>
        <v>0</v>
      </c>
      <c r="AS53" s="178">
        <f ca="1">IF($D53&lt;&gt;"Serviço",0,IF(AND(AUTOEVENTO="Manual",$M53=1),0,IF(OFFSET(CRONOPLE!$F$14,$M53,AS$13)="",10^12,OFFSET(CRONOPLE!$F$14,$M53,AS$13))))</f>
        <v>0</v>
      </c>
      <c r="AT53" s="178">
        <f ca="1">IF($D53&lt;&gt;"Serviço",0,IF(AND(AUTOEVENTO="Manual",$M53=1),0,IF(OFFSET(CRONOPLE!$F$14,$M53,AT$13)="",10^12,OFFSET(CRONOPLE!$F$14,$M53,AT$13))))</f>
        <v>0</v>
      </c>
      <c r="AU53" s="178">
        <f ca="1">IF($D53&lt;&gt;"Serviço",0,IF(AND(AUTOEVENTO="Manual",$M53=1),0,IF(OFFSET(CRONOPLE!$F$14,$M53,AU$13)="",10^12,OFFSET(CRONOPLE!$F$14,$M53,AU$13))))</f>
        <v>0</v>
      </c>
      <c r="AV53" s="178">
        <f ca="1">IF($D53&lt;&gt;"Serviço",0,IF(AND(AUTOEVENTO="Manual",$M53=1),0,IF(OFFSET(CRONOPLE!$F$14,$M53,AV$13)="",10^12,OFFSET(CRONOPLE!$F$14,$M53,AV$13))))</f>
        <v>0</v>
      </c>
      <c r="AX53" s="179">
        <f ca="1">IF($D53&lt;&gt;"Serviço",0,IF(OR(AND(AUTOEVENTO="Manual",$M53=1),$M53&gt;(ROW(PLE.lastrow)-ROW(PLE.firstrow))),0,IF(OFFSET(PLE!$G$14,$M53,AX$13)="",10^12,OFFSET(PLE!$G$14,$M53,AX$13))))</f>
        <v>0</v>
      </c>
      <c r="AY53" s="179">
        <f ca="1">IF($D53&lt;&gt;"Serviço",0,IF(OR(AND(AUTOEVENTO="Manual",$M53=1),$M53&gt;(ROW(PLE.lastrow)-ROW(PLE.firstrow))),0,IF(OFFSET(PLE!$G$14,$M53,AY$13)="",10^12,OFFSET(PLE!$G$14,$M53,AY$13))))</f>
        <v>0</v>
      </c>
      <c r="AZ53" s="179">
        <f ca="1">IF($D53&lt;&gt;"Serviço",0,IF(OR(AND(AUTOEVENTO="Manual",$M53=1),$M53&gt;(ROW(PLE.lastrow)-ROW(PLE.firstrow))),0,IF(OFFSET(PLE!$G$14,$M53,AZ$13)="",10^12,OFFSET(PLE!$G$14,$M53,AZ$13))))</f>
        <v>0</v>
      </c>
      <c r="BA53" s="179">
        <f ca="1">IF($D53&lt;&gt;"Serviço",0,IF(OR(AND(AUTOEVENTO="Manual",$M53=1),$M53&gt;(ROW(PLE.lastrow)-ROW(PLE.firstrow))),0,IF(OFFSET(PLE!$G$14,$M53,BA$13)="",10^12,OFFSET(PLE!$G$14,$M53,BA$13))))</f>
        <v>0</v>
      </c>
      <c r="BB53" s="179">
        <f ca="1">IF($D53&lt;&gt;"Serviço",0,IF(OR(AND(AUTOEVENTO="Manual",$M53=1),$M53&gt;(ROW(PLE.lastrow)-ROW(PLE.firstrow))),0,IF(OFFSET(PLE!$G$14,$M53,BB$13)="",10^12,OFFSET(PLE!$G$14,$M53,BB$13))))</f>
        <v>0</v>
      </c>
      <c r="BC53" s="179">
        <f ca="1">IF($D53&lt;&gt;"Serviço",0,IF(OR(AND(AUTOEVENTO="Manual",$M53=1),$M53&gt;(ROW(PLE.lastrow)-ROW(PLE.firstrow))),0,IF(OFFSET(PLE!$G$14,$M53,BC$13)="",10^12,OFFSET(PLE!$G$14,$M53,BC$13))))</f>
        <v>0</v>
      </c>
      <c r="BD53" s="179">
        <f ca="1">IF($D53&lt;&gt;"Serviço",0,IF(OR(AND(AUTOEVENTO="Manual",$M53=1),$M53&gt;(ROW(PLE.lastrow)-ROW(PLE.firstrow))),0,IF(OFFSET(PLE!$G$14,$M53,BD$13)="",10^12,OFFSET(PLE!$G$14,$M53,BD$13))))</f>
        <v>0</v>
      </c>
      <c r="BE53" s="179">
        <f ca="1">IF($D53&lt;&gt;"Serviço",0,IF(OR(AND(AUTOEVENTO="Manual",$M53=1),$M53&gt;(ROW(PLE.lastrow)-ROW(PLE.firstrow))),0,IF(OFFSET(PLE!$G$14,$M53,BE$13)="",10^12,OFFSET(PLE!$G$14,$M53,BE$13))))</f>
        <v>0</v>
      </c>
      <c r="BF53" s="179">
        <f ca="1">IF($D53&lt;&gt;"Serviço",0,IF(OR(AND(AUTOEVENTO="Manual",$M53=1),$M53&gt;(ROW(PLE.lastrow)-ROW(PLE.firstrow))),0,IF(OFFSET(PLE!$G$14,$M53,BF$13)="",10^12,OFFSET(PLE!$G$14,$M53,BF$13))))</f>
        <v>0</v>
      </c>
      <c r="BG53" s="179">
        <f ca="1">IF($D53&lt;&gt;"Serviço",0,IF(OR(AND(AUTOEVENTO="Manual",$M53=1),$M53&gt;(ROW(PLE.lastrow)-ROW(PLE.firstrow))),0,IF(OFFSET(PLE!$G$14,$M53,BG$13)="",10^12,OFFSET(PLE!$G$14,$M53,BG$13))))</f>
        <v>0</v>
      </c>
    </row>
    <row r="54" spans="1:59" ht="38.25" x14ac:dyDescent="0.2">
      <c r="A54" s="7" t="str">
        <f t="shared" ca="1" si="8"/>
        <v>38</v>
      </c>
      <c r="B54" s="7" t="str">
        <f ca="1">OFFSET(ORÇAMENTO!C$15,ROW(B54)-ROW(B$15),0)</f>
        <v>S</v>
      </c>
      <c r="C54" s="7" t="str">
        <f ca="1">OFFSET(ORÇAMENTO!L$15,ROW(C54)-ROW(C$15),0)</f>
        <v/>
      </c>
      <c r="D54" s="115" t="str">
        <f ca="1">OFFSET(ORÇAMENTO!N$15,ROW(D54)-ROW(D$15),0)</f>
        <v>Serviço</v>
      </c>
      <c r="E54" s="116" t="str">
        <f ca="1">OFFSET(ORÇAMENTO!O$15,ROW(E54)-ROW(E$15),0)</f>
        <v>-</v>
      </c>
      <c r="F54" s="169" t="str">
        <f ca="1">OFFSET(ORÇAMENTO!R$15,ROW(F54)-ROW(F$15),0)</f>
        <v>(abra o arquivo 'Referência 10-2024.xlsm)</v>
      </c>
      <c r="G54" s="170" t="str">
        <f ca="1">IF($D54&lt;&gt;"Serviço","",OFFSET(ORÇAMENTO!S$15,ROW(G54)-ROW(G$15),0))</f>
        <v>-</v>
      </c>
      <c r="H54" s="121">
        <f ca="1">IF($D54&lt;&gt;"Serviço",0,IF(ACOMPANHAMENTO="BM",ROUND(OFFSET(ORÇAMENTO!AJ$15,ROW(H54)-ROW(H$15),0),15-13*ORÇAMENTO!$AF$7),SUMPRODUCT(($Q$12:$AA$12&lt;&gt;"")*ROUND($Q54:$AA54,15-13*ORÇAMENTO!$AF$7))))</f>
        <v>12</v>
      </c>
      <c r="I54" s="558" t="s">
        <v>562</v>
      </c>
      <c r="K54" s="171"/>
      <c r="L54" s="172" t="s">
        <v>255</v>
      </c>
      <c r="M54" s="173">
        <f ca="1">IF($D54&lt;&gt;"Serviço","",IF(AUTOEVENTO="manual",$A54,IF(ISERROR(MATCH($A54,$A$15:OFFSET($A54,-1,0),0)),MAX($M$15:OFFSET(M54,-1,0))+1,INDEX($M$15:OFFSET(M54,-1,0),MATCH($A54,$A$15:OFFSET($A54,-1,0),0)))))</f>
        <v>7</v>
      </c>
      <c r="N54" s="174" t="str">
        <f ca="1">IF($D54&lt;&gt;"Serviço","",IF(AUTOEVENTO="Manual",IF($A54=0,"&lt;-- defina o número do agrupador",OFFSET(EVENTOS!$D$14,$A54,0)),OFFSET($F$15,$A54,0)))</f>
        <v>COBERTURA</v>
      </c>
      <c r="O54" s="175"/>
      <c r="Q54" s="175"/>
      <c r="R54" s="176"/>
      <c r="S54" s="176"/>
      <c r="T54" s="176"/>
      <c r="U54" s="176"/>
      <c r="V54" s="176"/>
      <c r="W54" s="176"/>
      <c r="X54" s="176"/>
      <c r="Y54" s="176"/>
      <c r="Z54" s="177"/>
      <c r="AB54" s="541">
        <f ca="1">IF(AND($D54="Serviço",AB$12&lt;&gt;0,$H54&gt;0,OR(AUTOEVENTO&lt;&gt;"manual",$M54&lt;&gt;1)),
IF(Import.TipoArredondamento&lt;&gt;"TransfereGOV",
ROUND(OFFSET($P54,0,AB$13),15-13*ORÇAMENTO!$AF$7)/$H54*OFFSET(ORÇAMENTO!$X$15,ROW(AB54)-ROW(AB$15),0),
ROUND(ROUND(OFFSET($P54,0,AB$13),15-13*ORÇAMENTO!$AF$7)*OFFSET(ORÇAMENTO!$W$15,ROW(AB54)-ROW(AB$15),0),15-13*ORÇAMENTO!$AF$11)),0)</f>
        <v>0</v>
      </c>
      <c r="AC54" s="542">
        <f ca="1">IF(AND($D54="Serviço",AC$12&lt;&gt;0,$H54&gt;0,OR(AUTOEVENTO&lt;&gt;"manual",$M54&lt;&gt;1)),
IF(Import.TipoArredondamento&lt;&gt;"TransfereGOV",
ROUND(OFFSET($P54,0,AC$13),15-13*ORÇAMENTO!$AF$7)/$H54*OFFSET(ORÇAMENTO!$X$15,ROW(AC54)-ROW(AC$15),0),
ROUND(ROUND(OFFSET($P54,0,AC$13),15-13*ORÇAMENTO!$AF$7)*OFFSET(ORÇAMENTO!$W$15,ROW(AC54)-ROW(AC$15),0),15-13*ORÇAMENTO!$AF$11)),0)</f>
        <v>0</v>
      </c>
      <c r="AD54" s="542">
        <f ca="1">IF(AND($D54="Serviço",AD$12&lt;&gt;0,$H54&gt;0,OR(AUTOEVENTO&lt;&gt;"manual",$M54&lt;&gt;1)),
IF(Import.TipoArredondamento&lt;&gt;"TransfereGOV",
ROUND(OFFSET($P54,0,AD$13),15-13*ORÇAMENTO!$AF$7)/$H54*OFFSET(ORÇAMENTO!$X$15,ROW(AD54)-ROW(AD$15),0),
ROUND(ROUND(OFFSET($P54,0,AD$13),15-13*ORÇAMENTO!$AF$7)*OFFSET(ORÇAMENTO!$W$15,ROW(AD54)-ROW(AD$15),0),15-13*ORÇAMENTO!$AF$11)),0)</f>
        <v>0</v>
      </c>
      <c r="AE54" s="542">
        <f ca="1">IF(AND($D54="Serviço",AE$12&lt;&gt;0,$H54&gt;0,OR(AUTOEVENTO&lt;&gt;"manual",$M54&lt;&gt;1)),
IF(Import.TipoArredondamento&lt;&gt;"TransfereGOV",
ROUND(OFFSET($P54,0,AE$13),15-13*ORÇAMENTO!$AF$7)/$H54*OFFSET(ORÇAMENTO!$X$15,ROW(AE54)-ROW(AE$15),0),
ROUND(ROUND(OFFSET($P54,0,AE$13),15-13*ORÇAMENTO!$AF$7)*OFFSET(ORÇAMENTO!$W$15,ROW(AE54)-ROW(AE$15),0),15-13*ORÇAMENTO!$AF$11)),0)</f>
        <v>0</v>
      </c>
      <c r="AF54" s="542">
        <f ca="1">IF(AND($D54="Serviço",AF$12&lt;&gt;0,$H54&gt;0,OR(AUTOEVENTO&lt;&gt;"manual",$M54&lt;&gt;1)),
IF(Import.TipoArredondamento&lt;&gt;"TransfereGOV",
ROUND(OFFSET($P54,0,AF$13),15-13*ORÇAMENTO!$AF$7)/$H54*OFFSET(ORÇAMENTO!$X$15,ROW(AF54)-ROW(AF$15),0),
ROUND(ROUND(OFFSET($P54,0,AF$13),15-13*ORÇAMENTO!$AF$7)*OFFSET(ORÇAMENTO!$W$15,ROW(AF54)-ROW(AF$15),0),15-13*ORÇAMENTO!$AF$11)),0)</f>
        <v>0</v>
      </c>
      <c r="AG54" s="542">
        <f ca="1">IF(AND($D54="Serviço",AG$12&lt;&gt;0,$H54&gt;0,OR(AUTOEVENTO&lt;&gt;"manual",$M54&lt;&gt;1)),
IF(Import.TipoArredondamento&lt;&gt;"TransfereGOV",
ROUND(OFFSET($P54,0,AG$13),15-13*ORÇAMENTO!$AF$7)/$H54*OFFSET(ORÇAMENTO!$X$15,ROW(AG54)-ROW(AG$15),0),
ROUND(ROUND(OFFSET($P54,0,AG$13),15-13*ORÇAMENTO!$AF$7)*OFFSET(ORÇAMENTO!$W$15,ROW(AG54)-ROW(AG$15),0),15-13*ORÇAMENTO!$AF$11)),0)</f>
        <v>0</v>
      </c>
      <c r="AH54" s="542">
        <f ca="1">IF(AND($D54="Serviço",AH$12&lt;&gt;0,$H54&gt;0,OR(AUTOEVENTO&lt;&gt;"manual",$M54&lt;&gt;1)),
IF(Import.TipoArredondamento&lt;&gt;"TransfereGOV",
ROUND(OFFSET($P54,0,AH$13),15-13*ORÇAMENTO!$AF$7)/$H54*OFFSET(ORÇAMENTO!$X$15,ROW(AH54)-ROW(AH$15),0),
ROUND(ROUND(OFFSET($P54,0,AH$13),15-13*ORÇAMENTO!$AF$7)*OFFSET(ORÇAMENTO!$W$15,ROW(AH54)-ROW(AH$15),0),15-13*ORÇAMENTO!$AF$11)),0)</f>
        <v>0</v>
      </c>
      <c r="AI54" s="542">
        <f ca="1">IF(AND($D54="Serviço",AI$12&lt;&gt;0,$H54&gt;0,OR(AUTOEVENTO&lt;&gt;"manual",$M54&lt;&gt;1)),
IF(Import.TipoArredondamento&lt;&gt;"TransfereGOV",
ROUND(OFFSET($P54,0,AI$13),15-13*ORÇAMENTO!$AF$7)/$H54*OFFSET(ORÇAMENTO!$X$15,ROW(AI54)-ROW(AI$15),0),
ROUND(ROUND(OFFSET($P54,0,AI$13),15-13*ORÇAMENTO!$AF$7)*OFFSET(ORÇAMENTO!$W$15,ROW(AI54)-ROW(AI$15),0),15-13*ORÇAMENTO!$AF$11)),0)</f>
        <v>0</v>
      </c>
      <c r="AJ54" s="542">
        <f ca="1">IF(AND($D54="Serviço",AJ$12&lt;&gt;0,$H54&gt;0,OR(AUTOEVENTO&lt;&gt;"manual",$M54&lt;&gt;1)),
IF(Import.TipoArredondamento&lt;&gt;"TransfereGOV",
ROUND(OFFSET($P54,0,AJ$13),15-13*ORÇAMENTO!$AF$7)/$H54*OFFSET(ORÇAMENTO!$X$15,ROW(AJ54)-ROW(AJ$15),0),
ROUND(ROUND(OFFSET($P54,0,AJ$13),15-13*ORÇAMENTO!$AF$7)*OFFSET(ORÇAMENTO!$W$15,ROW(AJ54)-ROW(AJ$15),0),15-13*ORÇAMENTO!$AF$11)),0)</f>
        <v>0</v>
      </c>
      <c r="AK54" s="543">
        <f ca="1">IF(AND($D54="Serviço",AK$12&lt;&gt;0,$H54&gt;0,OR(AUTOEVENTO&lt;&gt;"manual",$M54&lt;&gt;1)),
IF(Import.TipoArredondamento&lt;&gt;"TransfereGOV",
ROUND(OFFSET($P54,0,AK$13),15-13*ORÇAMENTO!$AF$7)/$H54*OFFSET(ORÇAMENTO!$X$15,ROW(AK54)-ROW(AK$15),0),
ROUND(ROUND(OFFSET($P54,0,AK$13),15-13*ORÇAMENTO!$AF$7)*OFFSET(ORÇAMENTO!$W$15,ROW(AK54)-ROW(AK$15),0),15-13*ORÇAMENTO!$AF$11)),0)</f>
        <v>0</v>
      </c>
      <c r="AM54" s="178">
        <f ca="1">IF($D54&lt;&gt;"Serviço",0,IF(AND(AUTOEVENTO="Manual",$M54=1),0,IF(OFFSET(CRONOPLE!$F$14,$M54,AM$13)="",10^12,OFFSET(CRONOPLE!$F$14,$M54,AM$13))))</f>
        <v>1000000000000</v>
      </c>
      <c r="AN54" s="178">
        <f ca="1">IF($D54&lt;&gt;"Serviço",0,IF(AND(AUTOEVENTO="Manual",$M54=1),0,IF(OFFSET(CRONOPLE!$F$14,$M54,AN$13)="",10^12,OFFSET(CRONOPLE!$F$14,$M54,AN$13))))</f>
        <v>1000000000000</v>
      </c>
      <c r="AO54" s="178">
        <f ca="1">IF($D54&lt;&gt;"Serviço",0,IF(AND(AUTOEVENTO="Manual",$M54=1),0,IF(OFFSET(CRONOPLE!$F$14,$M54,AO$13)="",10^12,OFFSET(CRONOPLE!$F$14,$M54,AO$13))))</f>
        <v>1000000000000</v>
      </c>
      <c r="AP54" s="178">
        <f ca="1">IF($D54&lt;&gt;"Serviço",0,IF(AND(AUTOEVENTO="Manual",$M54=1),0,IF(OFFSET(CRONOPLE!$F$14,$M54,AP$13)="",10^12,OFFSET(CRONOPLE!$F$14,$M54,AP$13))))</f>
        <v>1000000000000</v>
      </c>
      <c r="AQ54" s="178">
        <f ca="1">IF($D54&lt;&gt;"Serviço",0,IF(AND(AUTOEVENTO="Manual",$M54=1),0,IF(OFFSET(CRONOPLE!$F$14,$M54,AQ$13)="",10^12,OFFSET(CRONOPLE!$F$14,$M54,AQ$13))))</f>
        <v>1000000000000</v>
      </c>
      <c r="AR54" s="178">
        <f ca="1">IF($D54&lt;&gt;"Serviço",0,IF(AND(AUTOEVENTO="Manual",$M54=1),0,IF(OFFSET(CRONOPLE!$F$14,$M54,AR$13)="",10^12,OFFSET(CRONOPLE!$F$14,$M54,AR$13))))</f>
        <v>1000000000000</v>
      </c>
      <c r="AS54" s="178">
        <f ca="1">IF($D54&lt;&gt;"Serviço",0,IF(AND(AUTOEVENTO="Manual",$M54=1),0,IF(OFFSET(CRONOPLE!$F$14,$M54,AS$13)="",10^12,OFFSET(CRONOPLE!$F$14,$M54,AS$13))))</f>
        <v>1000000000000</v>
      </c>
      <c r="AT54" s="178">
        <f ca="1">IF($D54&lt;&gt;"Serviço",0,IF(AND(AUTOEVENTO="Manual",$M54=1),0,IF(OFFSET(CRONOPLE!$F$14,$M54,AT$13)="",10^12,OFFSET(CRONOPLE!$F$14,$M54,AT$13))))</f>
        <v>1000000000000</v>
      </c>
      <c r="AU54" s="178">
        <f ca="1">IF($D54&lt;&gt;"Serviço",0,IF(AND(AUTOEVENTO="Manual",$M54=1),0,IF(OFFSET(CRONOPLE!$F$14,$M54,AU$13)="",10^12,OFFSET(CRONOPLE!$F$14,$M54,AU$13))))</f>
        <v>1000000000000</v>
      </c>
      <c r="AV54" s="178">
        <f ca="1">IF($D54&lt;&gt;"Serviço",0,IF(AND(AUTOEVENTO="Manual",$M54=1),0,IF(OFFSET(CRONOPLE!$F$14,$M54,AV$13)="",10^12,OFFSET(CRONOPLE!$F$14,$M54,AV$13))))</f>
        <v>1000000000000</v>
      </c>
      <c r="AX54" s="179">
        <f ca="1">IF($D54&lt;&gt;"Serviço",0,IF(OR(AND(AUTOEVENTO="Manual",$M54=1),$M54&gt;(ROW(PLE.lastrow)-ROW(PLE.firstrow))),0,IF(OFFSET(PLE!$G$14,$M54,AX$13)="",10^12,OFFSET(PLE!$G$14,$M54,AX$13))))</f>
        <v>1000000000000</v>
      </c>
      <c r="AY54" s="179">
        <f ca="1">IF($D54&lt;&gt;"Serviço",0,IF(OR(AND(AUTOEVENTO="Manual",$M54=1),$M54&gt;(ROW(PLE.lastrow)-ROW(PLE.firstrow))),0,IF(OFFSET(PLE!$G$14,$M54,AY$13)="",10^12,OFFSET(PLE!$G$14,$M54,AY$13))))</f>
        <v>1000000000000</v>
      </c>
      <c r="AZ54" s="179">
        <f ca="1">IF($D54&lt;&gt;"Serviço",0,IF(OR(AND(AUTOEVENTO="Manual",$M54=1),$M54&gt;(ROW(PLE.lastrow)-ROW(PLE.firstrow))),0,IF(OFFSET(PLE!$G$14,$M54,AZ$13)="",10^12,OFFSET(PLE!$G$14,$M54,AZ$13))))</f>
        <v>1000000000000</v>
      </c>
      <c r="BA54" s="179">
        <f ca="1">IF($D54&lt;&gt;"Serviço",0,IF(OR(AND(AUTOEVENTO="Manual",$M54=1),$M54&gt;(ROW(PLE.lastrow)-ROW(PLE.firstrow))),0,IF(OFFSET(PLE!$G$14,$M54,BA$13)="",10^12,OFFSET(PLE!$G$14,$M54,BA$13))))</f>
        <v>1000000000000</v>
      </c>
      <c r="BB54" s="179">
        <f ca="1">IF($D54&lt;&gt;"Serviço",0,IF(OR(AND(AUTOEVENTO="Manual",$M54=1),$M54&gt;(ROW(PLE.lastrow)-ROW(PLE.firstrow))),0,IF(OFFSET(PLE!$G$14,$M54,BB$13)="",10^12,OFFSET(PLE!$G$14,$M54,BB$13))))</f>
        <v>1000000000000</v>
      </c>
      <c r="BC54" s="179">
        <f ca="1">IF($D54&lt;&gt;"Serviço",0,IF(OR(AND(AUTOEVENTO="Manual",$M54=1),$M54&gt;(ROW(PLE.lastrow)-ROW(PLE.firstrow))),0,IF(OFFSET(PLE!$G$14,$M54,BC$13)="",10^12,OFFSET(PLE!$G$14,$M54,BC$13))))</f>
        <v>1000000000000</v>
      </c>
      <c r="BD54" s="179">
        <f ca="1">IF($D54&lt;&gt;"Serviço",0,IF(OR(AND(AUTOEVENTO="Manual",$M54=1),$M54&gt;(ROW(PLE.lastrow)-ROW(PLE.firstrow))),0,IF(OFFSET(PLE!$G$14,$M54,BD$13)="",10^12,OFFSET(PLE!$G$14,$M54,BD$13))))</f>
        <v>1000000000000</v>
      </c>
      <c r="BE54" s="179">
        <f ca="1">IF($D54&lt;&gt;"Serviço",0,IF(OR(AND(AUTOEVENTO="Manual",$M54=1),$M54&gt;(ROW(PLE.lastrow)-ROW(PLE.firstrow))),0,IF(OFFSET(PLE!$G$14,$M54,BE$13)="",10^12,OFFSET(PLE!$G$14,$M54,BE$13))))</f>
        <v>1000000000000</v>
      </c>
      <c r="BF54" s="179">
        <f ca="1">IF($D54&lt;&gt;"Serviço",0,IF(OR(AND(AUTOEVENTO="Manual",$M54=1),$M54&gt;(ROW(PLE.lastrow)-ROW(PLE.firstrow))),0,IF(OFFSET(PLE!$G$14,$M54,BF$13)="",10^12,OFFSET(PLE!$G$14,$M54,BF$13))))</f>
        <v>1000000000000</v>
      </c>
      <c r="BG54" s="179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51" x14ac:dyDescent="0.2">
      <c r="A55" s="7" t="str">
        <f t="shared" ca="1" si="8"/>
        <v>38</v>
      </c>
      <c r="B55" s="7" t="str">
        <f ca="1">OFFSET(ORÇAMENTO!C$15,ROW(B55)-ROW(B$15),0)</f>
        <v>S</v>
      </c>
      <c r="C55" s="7" t="str">
        <f ca="1">OFFSET(ORÇAMENTO!L$15,ROW(C55)-ROW(C$15),0)</f>
        <v/>
      </c>
      <c r="D55" s="115" t="str">
        <f ca="1">OFFSET(ORÇAMENTO!N$15,ROW(D55)-ROW(D$15),0)</f>
        <v>Serviço</v>
      </c>
      <c r="E55" s="116" t="str">
        <f ca="1">OFFSET(ORÇAMENTO!O$15,ROW(E55)-ROW(E$15),0)</f>
        <v>-</v>
      </c>
      <c r="F55" s="169" t="str">
        <f ca="1">OFFSET(ORÇAMENTO!R$15,ROW(F55)-ROW(F$15),0)</f>
        <v>(abra o arquivo 'Referência 10-2024.xlsm)</v>
      </c>
      <c r="G55" s="170" t="str">
        <f ca="1">IF($D55&lt;&gt;"Serviço","",OFFSET(ORÇAMENTO!S$15,ROW(G55)-ROW(G$15),0))</f>
        <v>-</v>
      </c>
      <c r="H55" s="121">
        <f ca="1">IF($D55&lt;&gt;"Serviço",0,IF(ACOMPANHAMENTO="BM",ROUND(OFFSET(ORÇAMENTO!AJ$15,ROW(H55)-ROW(H$15),0),15-13*ORÇAMENTO!$AF$7),SUMPRODUCT(($Q$12:$AA$12&lt;&gt;"")*ROUND($Q55:$AA55,15-13*ORÇAMENTO!$AF$7))))</f>
        <v>35</v>
      </c>
      <c r="I55" s="558" t="s">
        <v>563</v>
      </c>
      <c r="K55" s="171"/>
      <c r="L55" s="172" t="s">
        <v>255</v>
      </c>
      <c r="M55" s="173">
        <f ca="1">IF($D55&lt;&gt;"Serviço","",IF(AUTOEVENTO="manual",$A55,IF(ISERROR(MATCH($A55,$A$15:OFFSET($A55,-1,0),0)),MAX($M$15:OFFSET(M55,-1,0))+1,INDEX($M$15:OFFSET(M55,-1,0),MATCH($A55,$A$15:OFFSET($A55,-1,0),0)))))</f>
        <v>7</v>
      </c>
      <c r="N55" s="174" t="str">
        <f ca="1">IF($D55&lt;&gt;"Serviço","",IF(AUTOEVENTO="Manual",IF($A55=0,"&lt;-- defina o número do agrupador",OFFSET(EVENTOS!$D$14,$A55,0)),OFFSET($F$15,$A55,0)))</f>
        <v>COBERTURA</v>
      </c>
      <c r="O55" s="175"/>
      <c r="Q55" s="175"/>
      <c r="R55" s="176"/>
      <c r="S55" s="176"/>
      <c r="T55" s="176"/>
      <c r="U55" s="176"/>
      <c r="V55" s="176"/>
      <c r="W55" s="176"/>
      <c r="X55" s="176"/>
      <c r="Y55" s="176"/>
      <c r="Z55" s="177"/>
      <c r="AB55" s="541">
        <f ca="1">IF(AND($D55="Serviço",AB$12&lt;&gt;0,$H55&gt;0,OR(AUTOEVENTO&lt;&gt;"manual",$M55&lt;&gt;1)),
IF(Import.TipoArredondamento&lt;&gt;"TransfereGOV",
ROUND(OFFSET($P55,0,AB$13),15-13*ORÇAMENTO!$AF$7)/$H55*OFFSET(ORÇAMENTO!$X$15,ROW(AB55)-ROW(AB$15),0),
ROUND(ROUND(OFFSET($P55,0,AB$13),15-13*ORÇAMENTO!$AF$7)*OFFSET(ORÇAMENTO!$W$15,ROW(AB55)-ROW(AB$15),0),15-13*ORÇAMENTO!$AF$11)),0)</f>
        <v>0</v>
      </c>
      <c r="AC55" s="542">
        <f ca="1">IF(AND($D55="Serviço",AC$12&lt;&gt;0,$H55&gt;0,OR(AUTOEVENTO&lt;&gt;"manual",$M55&lt;&gt;1)),
IF(Import.TipoArredondamento&lt;&gt;"TransfereGOV",
ROUND(OFFSET($P55,0,AC$13),15-13*ORÇAMENTO!$AF$7)/$H55*OFFSET(ORÇAMENTO!$X$15,ROW(AC55)-ROW(AC$15),0),
ROUND(ROUND(OFFSET($P55,0,AC$13),15-13*ORÇAMENTO!$AF$7)*OFFSET(ORÇAMENTO!$W$15,ROW(AC55)-ROW(AC$15),0),15-13*ORÇAMENTO!$AF$11)),0)</f>
        <v>0</v>
      </c>
      <c r="AD55" s="542">
        <f ca="1">IF(AND($D55="Serviço",AD$12&lt;&gt;0,$H55&gt;0,OR(AUTOEVENTO&lt;&gt;"manual",$M55&lt;&gt;1)),
IF(Import.TipoArredondamento&lt;&gt;"TransfereGOV",
ROUND(OFFSET($P55,0,AD$13),15-13*ORÇAMENTO!$AF$7)/$H55*OFFSET(ORÇAMENTO!$X$15,ROW(AD55)-ROW(AD$15),0),
ROUND(ROUND(OFFSET($P55,0,AD$13),15-13*ORÇAMENTO!$AF$7)*OFFSET(ORÇAMENTO!$W$15,ROW(AD55)-ROW(AD$15),0),15-13*ORÇAMENTO!$AF$11)),0)</f>
        <v>0</v>
      </c>
      <c r="AE55" s="542">
        <f ca="1">IF(AND($D55="Serviço",AE$12&lt;&gt;0,$H55&gt;0,OR(AUTOEVENTO&lt;&gt;"manual",$M55&lt;&gt;1)),
IF(Import.TipoArredondamento&lt;&gt;"TransfereGOV",
ROUND(OFFSET($P55,0,AE$13),15-13*ORÇAMENTO!$AF$7)/$H55*OFFSET(ORÇAMENTO!$X$15,ROW(AE55)-ROW(AE$15),0),
ROUND(ROUND(OFFSET($P55,0,AE$13),15-13*ORÇAMENTO!$AF$7)*OFFSET(ORÇAMENTO!$W$15,ROW(AE55)-ROW(AE$15),0),15-13*ORÇAMENTO!$AF$11)),0)</f>
        <v>0</v>
      </c>
      <c r="AF55" s="542">
        <f ca="1">IF(AND($D55="Serviço",AF$12&lt;&gt;0,$H55&gt;0,OR(AUTOEVENTO&lt;&gt;"manual",$M55&lt;&gt;1)),
IF(Import.TipoArredondamento&lt;&gt;"TransfereGOV",
ROUND(OFFSET($P55,0,AF$13),15-13*ORÇAMENTO!$AF$7)/$H55*OFFSET(ORÇAMENTO!$X$15,ROW(AF55)-ROW(AF$15),0),
ROUND(ROUND(OFFSET($P55,0,AF$13),15-13*ORÇAMENTO!$AF$7)*OFFSET(ORÇAMENTO!$W$15,ROW(AF55)-ROW(AF$15),0),15-13*ORÇAMENTO!$AF$11)),0)</f>
        <v>0</v>
      </c>
      <c r="AG55" s="542">
        <f ca="1">IF(AND($D55="Serviço",AG$12&lt;&gt;0,$H55&gt;0,OR(AUTOEVENTO&lt;&gt;"manual",$M55&lt;&gt;1)),
IF(Import.TipoArredondamento&lt;&gt;"TransfereGOV",
ROUND(OFFSET($P55,0,AG$13),15-13*ORÇAMENTO!$AF$7)/$H55*OFFSET(ORÇAMENTO!$X$15,ROW(AG55)-ROW(AG$15),0),
ROUND(ROUND(OFFSET($P55,0,AG$13),15-13*ORÇAMENTO!$AF$7)*OFFSET(ORÇAMENTO!$W$15,ROW(AG55)-ROW(AG$15),0),15-13*ORÇAMENTO!$AF$11)),0)</f>
        <v>0</v>
      </c>
      <c r="AH55" s="542">
        <f ca="1">IF(AND($D55="Serviço",AH$12&lt;&gt;0,$H55&gt;0,OR(AUTOEVENTO&lt;&gt;"manual",$M55&lt;&gt;1)),
IF(Import.TipoArredondamento&lt;&gt;"TransfereGOV",
ROUND(OFFSET($P55,0,AH$13),15-13*ORÇAMENTO!$AF$7)/$H55*OFFSET(ORÇAMENTO!$X$15,ROW(AH55)-ROW(AH$15),0),
ROUND(ROUND(OFFSET($P55,0,AH$13),15-13*ORÇAMENTO!$AF$7)*OFFSET(ORÇAMENTO!$W$15,ROW(AH55)-ROW(AH$15),0),15-13*ORÇAMENTO!$AF$11)),0)</f>
        <v>0</v>
      </c>
      <c r="AI55" s="542">
        <f ca="1">IF(AND($D55="Serviço",AI$12&lt;&gt;0,$H55&gt;0,OR(AUTOEVENTO&lt;&gt;"manual",$M55&lt;&gt;1)),
IF(Import.TipoArredondamento&lt;&gt;"TransfereGOV",
ROUND(OFFSET($P55,0,AI$13),15-13*ORÇAMENTO!$AF$7)/$H55*OFFSET(ORÇAMENTO!$X$15,ROW(AI55)-ROW(AI$15),0),
ROUND(ROUND(OFFSET($P55,0,AI$13),15-13*ORÇAMENTO!$AF$7)*OFFSET(ORÇAMENTO!$W$15,ROW(AI55)-ROW(AI$15),0),15-13*ORÇAMENTO!$AF$11)),0)</f>
        <v>0</v>
      </c>
      <c r="AJ55" s="542">
        <f ca="1">IF(AND($D55="Serviço",AJ$12&lt;&gt;0,$H55&gt;0,OR(AUTOEVENTO&lt;&gt;"manual",$M55&lt;&gt;1)),
IF(Import.TipoArredondamento&lt;&gt;"TransfereGOV",
ROUND(OFFSET($P55,0,AJ$13),15-13*ORÇAMENTO!$AF$7)/$H55*OFFSET(ORÇAMENTO!$X$15,ROW(AJ55)-ROW(AJ$15),0),
ROUND(ROUND(OFFSET($P55,0,AJ$13),15-13*ORÇAMENTO!$AF$7)*OFFSET(ORÇAMENTO!$W$15,ROW(AJ55)-ROW(AJ$15),0),15-13*ORÇAMENTO!$AF$11)),0)</f>
        <v>0</v>
      </c>
      <c r="AK55" s="543">
        <f ca="1">IF(AND($D55="Serviço",AK$12&lt;&gt;0,$H55&gt;0,OR(AUTOEVENTO&lt;&gt;"manual",$M55&lt;&gt;1)),
IF(Import.TipoArredondamento&lt;&gt;"TransfereGOV",
ROUND(OFFSET($P55,0,AK$13),15-13*ORÇAMENTO!$AF$7)/$H55*OFFSET(ORÇAMENTO!$X$15,ROW(AK55)-ROW(AK$15),0),
ROUND(ROUND(OFFSET($P55,0,AK$13),15-13*ORÇAMENTO!$AF$7)*OFFSET(ORÇAMENTO!$W$15,ROW(AK55)-ROW(AK$15),0),15-13*ORÇAMENTO!$AF$11)),0)</f>
        <v>0</v>
      </c>
      <c r="AM55" s="178">
        <f ca="1">IF($D55&lt;&gt;"Serviço",0,IF(AND(AUTOEVENTO="Manual",$M55=1),0,IF(OFFSET(CRONOPLE!$F$14,$M55,AM$13)="",10^12,OFFSET(CRONOPLE!$F$14,$M55,AM$13))))</f>
        <v>1000000000000</v>
      </c>
      <c r="AN55" s="178">
        <f ca="1">IF($D55&lt;&gt;"Serviço",0,IF(AND(AUTOEVENTO="Manual",$M55=1),0,IF(OFFSET(CRONOPLE!$F$14,$M55,AN$13)="",10^12,OFFSET(CRONOPLE!$F$14,$M55,AN$13))))</f>
        <v>1000000000000</v>
      </c>
      <c r="AO55" s="178">
        <f ca="1">IF($D55&lt;&gt;"Serviço",0,IF(AND(AUTOEVENTO="Manual",$M55=1),0,IF(OFFSET(CRONOPLE!$F$14,$M55,AO$13)="",10^12,OFFSET(CRONOPLE!$F$14,$M55,AO$13))))</f>
        <v>1000000000000</v>
      </c>
      <c r="AP55" s="178">
        <f ca="1">IF($D55&lt;&gt;"Serviço",0,IF(AND(AUTOEVENTO="Manual",$M55=1),0,IF(OFFSET(CRONOPLE!$F$14,$M55,AP$13)="",10^12,OFFSET(CRONOPLE!$F$14,$M55,AP$13))))</f>
        <v>1000000000000</v>
      </c>
      <c r="AQ55" s="178">
        <f ca="1">IF($D55&lt;&gt;"Serviço",0,IF(AND(AUTOEVENTO="Manual",$M55=1),0,IF(OFFSET(CRONOPLE!$F$14,$M55,AQ$13)="",10^12,OFFSET(CRONOPLE!$F$14,$M55,AQ$13))))</f>
        <v>1000000000000</v>
      </c>
      <c r="AR55" s="178">
        <f ca="1">IF($D55&lt;&gt;"Serviço",0,IF(AND(AUTOEVENTO="Manual",$M55=1),0,IF(OFFSET(CRONOPLE!$F$14,$M55,AR$13)="",10^12,OFFSET(CRONOPLE!$F$14,$M55,AR$13))))</f>
        <v>1000000000000</v>
      </c>
      <c r="AS55" s="178">
        <f ca="1">IF($D55&lt;&gt;"Serviço",0,IF(AND(AUTOEVENTO="Manual",$M55=1),0,IF(OFFSET(CRONOPLE!$F$14,$M55,AS$13)="",10^12,OFFSET(CRONOPLE!$F$14,$M55,AS$13))))</f>
        <v>1000000000000</v>
      </c>
      <c r="AT55" s="178">
        <f ca="1">IF($D55&lt;&gt;"Serviço",0,IF(AND(AUTOEVENTO="Manual",$M55=1),0,IF(OFFSET(CRONOPLE!$F$14,$M55,AT$13)="",10^12,OFFSET(CRONOPLE!$F$14,$M55,AT$13))))</f>
        <v>1000000000000</v>
      </c>
      <c r="AU55" s="178">
        <f ca="1">IF($D55&lt;&gt;"Serviço",0,IF(AND(AUTOEVENTO="Manual",$M55=1),0,IF(OFFSET(CRONOPLE!$F$14,$M55,AU$13)="",10^12,OFFSET(CRONOPLE!$F$14,$M55,AU$13))))</f>
        <v>1000000000000</v>
      </c>
      <c r="AV55" s="178">
        <f ca="1">IF($D55&lt;&gt;"Serviço",0,IF(AND(AUTOEVENTO="Manual",$M55=1),0,IF(OFFSET(CRONOPLE!$F$14,$M55,AV$13)="",10^12,OFFSET(CRONOPLE!$F$14,$M55,AV$13))))</f>
        <v>1000000000000</v>
      </c>
      <c r="AX55" s="179">
        <f ca="1">IF($D55&lt;&gt;"Serviço",0,IF(OR(AND(AUTOEVENTO="Manual",$M55=1),$M55&gt;(ROW(PLE.lastrow)-ROW(PLE.firstrow))),0,IF(OFFSET(PLE!$G$14,$M55,AX$13)="",10^12,OFFSET(PLE!$G$14,$M55,AX$13))))</f>
        <v>1000000000000</v>
      </c>
      <c r="AY55" s="179">
        <f ca="1">IF($D55&lt;&gt;"Serviço",0,IF(OR(AND(AUTOEVENTO="Manual",$M55=1),$M55&gt;(ROW(PLE.lastrow)-ROW(PLE.firstrow))),0,IF(OFFSET(PLE!$G$14,$M55,AY$13)="",10^12,OFFSET(PLE!$G$14,$M55,AY$13))))</f>
        <v>1000000000000</v>
      </c>
      <c r="AZ55" s="179">
        <f ca="1">IF($D55&lt;&gt;"Serviço",0,IF(OR(AND(AUTOEVENTO="Manual",$M55=1),$M55&gt;(ROW(PLE.lastrow)-ROW(PLE.firstrow))),0,IF(OFFSET(PLE!$G$14,$M55,AZ$13)="",10^12,OFFSET(PLE!$G$14,$M55,AZ$13))))</f>
        <v>1000000000000</v>
      </c>
      <c r="BA55" s="179">
        <f ca="1">IF($D55&lt;&gt;"Serviço",0,IF(OR(AND(AUTOEVENTO="Manual",$M55=1),$M55&gt;(ROW(PLE.lastrow)-ROW(PLE.firstrow))),0,IF(OFFSET(PLE!$G$14,$M55,BA$13)="",10^12,OFFSET(PLE!$G$14,$M55,BA$13))))</f>
        <v>1000000000000</v>
      </c>
      <c r="BB55" s="179">
        <f ca="1">IF($D55&lt;&gt;"Serviço",0,IF(OR(AND(AUTOEVENTO="Manual",$M55=1),$M55&gt;(ROW(PLE.lastrow)-ROW(PLE.firstrow))),0,IF(OFFSET(PLE!$G$14,$M55,BB$13)="",10^12,OFFSET(PLE!$G$14,$M55,BB$13))))</f>
        <v>1000000000000</v>
      </c>
      <c r="BC55" s="179">
        <f ca="1">IF($D55&lt;&gt;"Serviço",0,IF(OR(AND(AUTOEVENTO="Manual",$M55=1),$M55&gt;(ROW(PLE.lastrow)-ROW(PLE.firstrow))),0,IF(OFFSET(PLE!$G$14,$M55,BC$13)="",10^12,OFFSET(PLE!$G$14,$M55,BC$13))))</f>
        <v>1000000000000</v>
      </c>
      <c r="BD55" s="179">
        <f ca="1">IF($D55&lt;&gt;"Serviço",0,IF(OR(AND(AUTOEVENTO="Manual",$M55=1),$M55&gt;(ROW(PLE.lastrow)-ROW(PLE.firstrow))),0,IF(OFFSET(PLE!$G$14,$M55,BD$13)="",10^12,OFFSET(PLE!$G$14,$M55,BD$13))))</f>
        <v>1000000000000</v>
      </c>
      <c r="BE55" s="179">
        <f ca="1">IF($D55&lt;&gt;"Serviço",0,IF(OR(AND(AUTOEVENTO="Manual",$M55=1),$M55&gt;(ROW(PLE.lastrow)-ROW(PLE.firstrow))),0,IF(OFFSET(PLE!$G$14,$M55,BE$13)="",10^12,OFFSET(PLE!$G$14,$M55,BE$13))))</f>
        <v>1000000000000</v>
      </c>
      <c r="BF55" s="179">
        <f ca="1">IF($D55&lt;&gt;"Serviço",0,IF(OR(AND(AUTOEVENTO="Manual",$M55=1),$M55&gt;(ROW(PLE.lastrow)-ROW(PLE.firstrow))),0,IF(OFFSET(PLE!$G$14,$M55,BF$13)="",10^12,OFFSET(PLE!$G$14,$M55,BF$13))))</f>
        <v>1000000000000</v>
      </c>
      <c r="BG55" s="179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51" x14ac:dyDescent="0.2">
      <c r="A56" s="7" t="str">
        <f t="shared" ca="1" si="8"/>
        <v>38</v>
      </c>
      <c r="B56" s="7" t="str">
        <f ca="1">OFFSET(ORÇAMENTO!C$15,ROW(B56)-ROW(B$15),0)</f>
        <v>S</v>
      </c>
      <c r="C56" s="7" t="str">
        <f ca="1">OFFSET(ORÇAMENTO!L$15,ROW(C56)-ROW(C$15),0)</f>
        <v/>
      </c>
      <c r="D56" s="115" t="str">
        <f ca="1">OFFSET(ORÇAMENTO!N$15,ROW(D56)-ROW(D$15),0)</f>
        <v>Serviço</v>
      </c>
      <c r="E56" s="116" t="str">
        <f ca="1">OFFSET(ORÇAMENTO!O$15,ROW(E56)-ROW(E$15),0)</f>
        <v>-</v>
      </c>
      <c r="F56" s="169" t="str">
        <f ca="1">OFFSET(ORÇAMENTO!R$15,ROW(F56)-ROW(F$15),0)</f>
        <v>(abra o arquivo 'Referência 10-2024.xlsm)</v>
      </c>
      <c r="G56" s="170" t="str">
        <f ca="1">IF($D56&lt;&gt;"Serviço","",OFFSET(ORÇAMENTO!S$15,ROW(G56)-ROW(G$15),0))</f>
        <v>-</v>
      </c>
      <c r="H56" s="121">
        <f ca="1">IF($D56&lt;&gt;"Serviço",0,IF(ACOMPANHAMENTO="BM",ROUND(OFFSET(ORÇAMENTO!AJ$15,ROW(H56)-ROW(H$15),0),15-13*ORÇAMENTO!$AF$7),SUMPRODUCT(($Q$12:$AA$12&lt;&gt;"")*ROUND($Q56:$AA56,15-13*ORÇAMENTO!$AF$7))))</f>
        <v>35</v>
      </c>
      <c r="I56" s="558" t="s">
        <v>563</v>
      </c>
      <c r="K56" s="171"/>
      <c r="L56" s="172" t="s">
        <v>255</v>
      </c>
      <c r="M56" s="173">
        <f ca="1">IF($D56&lt;&gt;"Serviço","",IF(AUTOEVENTO="manual",$A56,IF(ISERROR(MATCH($A56,$A$15:OFFSET($A56,-1,0),0)),MAX($M$15:OFFSET(M56,-1,0))+1,INDEX($M$15:OFFSET(M56,-1,0),MATCH($A56,$A$15:OFFSET($A56,-1,0),0)))))</f>
        <v>7</v>
      </c>
      <c r="N56" s="174" t="str">
        <f ca="1">IF($D56&lt;&gt;"Serviço","",IF(AUTOEVENTO="Manual",IF($A56=0,"&lt;-- defina o número do agrupador",OFFSET(EVENTOS!$D$14,$A56,0)),OFFSET($F$15,$A56,0)))</f>
        <v>COBERTURA</v>
      </c>
      <c r="O56" s="175"/>
      <c r="Q56" s="175"/>
      <c r="R56" s="176"/>
      <c r="S56" s="176"/>
      <c r="T56" s="176"/>
      <c r="U56" s="176"/>
      <c r="V56" s="176"/>
      <c r="W56" s="176"/>
      <c r="X56" s="176"/>
      <c r="Y56" s="176"/>
      <c r="Z56" s="177"/>
      <c r="AB56" s="541">
        <f ca="1">IF(AND($D56="Serviço",AB$12&lt;&gt;0,$H56&gt;0,OR(AUTOEVENTO&lt;&gt;"manual",$M56&lt;&gt;1)),
IF(Import.TipoArredondamento&lt;&gt;"TransfereGOV",
ROUND(OFFSET($P56,0,AB$13),15-13*ORÇAMENTO!$AF$7)/$H56*OFFSET(ORÇAMENTO!$X$15,ROW(AB56)-ROW(AB$15),0),
ROUND(ROUND(OFFSET($P56,0,AB$13),15-13*ORÇAMENTO!$AF$7)*OFFSET(ORÇAMENTO!$W$15,ROW(AB56)-ROW(AB$15),0),15-13*ORÇAMENTO!$AF$11)),0)</f>
        <v>0</v>
      </c>
      <c r="AC56" s="542">
        <f ca="1">IF(AND($D56="Serviço",AC$12&lt;&gt;0,$H56&gt;0,OR(AUTOEVENTO&lt;&gt;"manual",$M56&lt;&gt;1)),
IF(Import.TipoArredondamento&lt;&gt;"TransfereGOV",
ROUND(OFFSET($P56,0,AC$13),15-13*ORÇAMENTO!$AF$7)/$H56*OFFSET(ORÇAMENTO!$X$15,ROW(AC56)-ROW(AC$15),0),
ROUND(ROUND(OFFSET($P56,0,AC$13),15-13*ORÇAMENTO!$AF$7)*OFFSET(ORÇAMENTO!$W$15,ROW(AC56)-ROW(AC$15),0),15-13*ORÇAMENTO!$AF$11)),0)</f>
        <v>0</v>
      </c>
      <c r="AD56" s="542">
        <f ca="1">IF(AND($D56="Serviço",AD$12&lt;&gt;0,$H56&gt;0,OR(AUTOEVENTO&lt;&gt;"manual",$M56&lt;&gt;1)),
IF(Import.TipoArredondamento&lt;&gt;"TransfereGOV",
ROUND(OFFSET($P56,0,AD$13),15-13*ORÇAMENTO!$AF$7)/$H56*OFFSET(ORÇAMENTO!$X$15,ROW(AD56)-ROW(AD$15),0),
ROUND(ROUND(OFFSET($P56,0,AD$13),15-13*ORÇAMENTO!$AF$7)*OFFSET(ORÇAMENTO!$W$15,ROW(AD56)-ROW(AD$15),0),15-13*ORÇAMENTO!$AF$11)),0)</f>
        <v>0</v>
      </c>
      <c r="AE56" s="542">
        <f ca="1">IF(AND($D56="Serviço",AE$12&lt;&gt;0,$H56&gt;0,OR(AUTOEVENTO&lt;&gt;"manual",$M56&lt;&gt;1)),
IF(Import.TipoArredondamento&lt;&gt;"TransfereGOV",
ROUND(OFFSET($P56,0,AE$13),15-13*ORÇAMENTO!$AF$7)/$H56*OFFSET(ORÇAMENTO!$X$15,ROW(AE56)-ROW(AE$15),0),
ROUND(ROUND(OFFSET($P56,0,AE$13),15-13*ORÇAMENTO!$AF$7)*OFFSET(ORÇAMENTO!$W$15,ROW(AE56)-ROW(AE$15),0),15-13*ORÇAMENTO!$AF$11)),0)</f>
        <v>0</v>
      </c>
      <c r="AF56" s="542">
        <f ca="1">IF(AND($D56="Serviço",AF$12&lt;&gt;0,$H56&gt;0,OR(AUTOEVENTO&lt;&gt;"manual",$M56&lt;&gt;1)),
IF(Import.TipoArredondamento&lt;&gt;"TransfereGOV",
ROUND(OFFSET($P56,0,AF$13),15-13*ORÇAMENTO!$AF$7)/$H56*OFFSET(ORÇAMENTO!$X$15,ROW(AF56)-ROW(AF$15),0),
ROUND(ROUND(OFFSET($P56,0,AF$13),15-13*ORÇAMENTO!$AF$7)*OFFSET(ORÇAMENTO!$W$15,ROW(AF56)-ROW(AF$15),0),15-13*ORÇAMENTO!$AF$11)),0)</f>
        <v>0</v>
      </c>
      <c r="AG56" s="542">
        <f ca="1">IF(AND($D56="Serviço",AG$12&lt;&gt;0,$H56&gt;0,OR(AUTOEVENTO&lt;&gt;"manual",$M56&lt;&gt;1)),
IF(Import.TipoArredondamento&lt;&gt;"TransfereGOV",
ROUND(OFFSET($P56,0,AG$13),15-13*ORÇAMENTO!$AF$7)/$H56*OFFSET(ORÇAMENTO!$X$15,ROW(AG56)-ROW(AG$15),0),
ROUND(ROUND(OFFSET($P56,0,AG$13),15-13*ORÇAMENTO!$AF$7)*OFFSET(ORÇAMENTO!$W$15,ROW(AG56)-ROW(AG$15),0),15-13*ORÇAMENTO!$AF$11)),0)</f>
        <v>0</v>
      </c>
      <c r="AH56" s="542">
        <f ca="1">IF(AND($D56="Serviço",AH$12&lt;&gt;0,$H56&gt;0,OR(AUTOEVENTO&lt;&gt;"manual",$M56&lt;&gt;1)),
IF(Import.TipoArredondamento&lt;&gt;"TransfereGOV",
ROUND(OFFSET($P56,0,AH$13),15-13*ORÇAMENTO!$AF$7)/$H56*OFFSET(ORÇAMENTO!$X$15,ROW(AH56)-ROW(AH$15),0),
ROUND(ROUND(OFFSET($P56,0,AH$13),15-13*ORÇAMENTO!$AF$7)*OFFSET(ORÇAMENTO!$W$15,ROW(AH56)-ROW(AH$15),0),15-13*ORÇAMENTO!$AF$11)),0)</f>
        <v>0</v>
      </c>
      <c r="AI56" s="542">
        <f ca="1">IF(AND($D56="Serviço",AI$12&lt;&gt;0,$H56&gt;0,OR(AUTOEVENTO&lt;&gt;"manual",$M56&lt;&gt;1)),
IF(Import.TipoArredondamento&lt;&gt;"TransfereGOV",
ROUND(OFFSET($P56,0,AI$13),15-13*ORÇAMENTO!$AF$7)/$H56*OFFSET(ORÇAMENTO!$X$15,ROW(AI56)-ROW(AI$15),0),
ROUND(ROUND(OFFSET($P56,0,AI$13),15-13*ORÇAMENTO!$AF$7)*OFFSET(ORÇAMENTO!$W$15,ROW(AI56)-ROW(AI$15),0),15-13*ORÇAMENTO!$AF$11)),0)</f>
        <v>0</v>
      </c>
      <c r="AJ56" s="542">
        <f ca="1">IF(AND($D56="Serviço",AJ$12&lt;&gt;0,$H56&gt;0,OR(AUTOEVENTO&lt;&gt;"manual",$M56&lt;&gt;1)),
IF(Import.TipoArredondamento&lt;&gt;"TransfereGOV",
ROUND(OFFSET($P56,0,AJ$13),15-13*ORÇAMENTO!$AF$7)/$H56*OFFSET(ORÇAMENTO!$X$15,ROW(AJ56)-ROW(AJ$15),0),
ROUND(ROUND(OFFSET($P56,0,AJ$13),15-13*ORÇAMENTO!$AF$7)*OFFSET(ORÇAMENTO!$W$15,ROW(AJ56)-ROW(AJ$15),0),15-13*ORÇAMENTO!$AF$11)),0)</f>
        <v>0</v>
      </c>
      <c r="AK56" s="543">
        <f ca="1">IF(AND($D56="Serviço",AK$12&lt;&gt;0,$H56&gt;0,OR(AUTOEVENTO&lt;&gt;"manual",$M56&lt;&gt;1)),
IF(Import.TipoArredondamento&lt;&gt;"TransfereGOV",
ROUND(OFFSET($P56,0,AK$13),15-13*ORÇAMENTO!$AF$7)/$H56*OFFSET(ORÇAMENTO!$X$15,ROW(AK56)-ROW(AK$15),0),
ROUND(ROUND(OFFSET($P56,0,AK$13),15-13*ORÇAMENTO!$AF$7)*OFFSET(ORÇAMENTO!$W$15,ROW(AK56)-ROW(AK$15),0),15-13*ORÇAMENTO!$AF$11)),0)</f>
        <v>0</v>
      </c>
      <c r="AM56" s="178">
        <f ca="1">IF($D56&lt;&gt;"Serviço",0,IF(AND(AUTOEVENTO="Manual",$M56=1),0,IF(OFFSET(CRONOPLE!$F$14,$M56,AM$13)="",10^12,OFFSET(CRONOPLE!$F$14,$M56,AM$13))))</f>
        <v>1000000000000</v>
      </c>
      <c r="AN56" s="178">
        <f ca="1">IF($D56&lt;&gt;"Serviço",0,IF(AND(AUTOEVENTO="Manual",$M56=1),0,IF(OFFSET(CRONOPLE!$F$14,$M56,AN$13)="",10^12,OFFSET(CRONOPLE!$F$14,$M56,AN$13))))</f>
        <v>1000000000000</v>
      </c>
      <c r="AO56" s="178">
        <f ca="1">IF($D56&lt;&gt;"Serviço",0,IF(AND(AUTOEVENTO="Manual",$M56=1),0,IF(OFFSET(CRONOPLE!$F$14,$M56,AO$13)="",10^12,OFFSET(CRONOPLE!$F$14,$M56,AO$13))))</f>
        <v>1000000000000</v>
      </c>
      <c r="AP56" s="178">
        <f ca="1">IF($D56&lt;&gt;"Serviço",0,IF(AND(AUTOEVENTO="Manual",$M56=1),0,IF(OFFSET(CRONOPLE!$F$14,$M56,AP$13)="",10^12,OFFSET(CRONOPLE!$F$14,$M56,AP$13))))</f>
        <v>1000000000000</v>
      </c>
      <c r="AQ56" s="178">
        <f ca="1">IF($D56&lt;&gt;"Serviço",0,IF(AND(AUTOEVENTO="Manual",$M56=1),0,IF(OFFSET(CRONOPLE!$F$14,$M56,AQ$13)="",10^12,OFFSET(CRONOPLE!$F$14,$M56,AQ$13))))</f>
        <v>1000000000000</v>
      </c>
      <c r="AR56" s="178">
        <f ca="1">IF($D56&lt;&gt;"Serviço",0,IF(AND(AUTOEVENTO="Manual",$M56=1),0,IF(OFFSET(CRONOPLE!$F$14,$M56,AR$13)="",10^12,OFFSET(CRONOPLE!$F$14,$M56,AR$13))))</f>
        <v>1000000000000</v>
      </c>
      <c r="AS56" s="178">
        <f ca="1">IF($D56&lt;&gt;"Serviço",0,IF(AND(AUTOEVENTO="Manual",$M56=1),0,IF(OFFSET(CRONOPLE!$F$14,$M56,AS$13)="",10^12,OFFSET(CRONOPLE!$F$14,$M56,AS$13))))</f>
        <v>1000000000000</v>
      </c>
      <c r="AT56" s="178">
        <f ca="1">IF($D56&lt;&gt;"Serviço",0,IF(AND(AUTOEVENTO="Manual",$M56=1),0,IF(OFFSET(CRONOPLE!$F$14,$M56,AT$13)="",10^12,OFFSET(CRONOPLE!$F$14,$M56,AT$13))))</f>
        <v>1000000000000</v>
      </c>
      <c r="AU56" s="178">
        <f ca="1">IF($D56&lt;&gt;"Serviço",0,IF(AND(AUTOEVENTO="Manual",$M56=1),0,IF(OFFSET(CRONOPLE!$F$14,$M56,AU$13)="",10^12,OFFSET(CRONOPLE!$F$14,$M56,AU$13))))</f>
        <v>1000000000000</v>
      </c>
      <c r="AV56" s="178">
        <f ca="1">IF($D56&lt;&gt;"Serviço",0,IF(AND(AUTOEVENTO="Manual",$M56=1),0,IF(OFFSET(CRONOPLE!$F$14,$M56,AV$13)="",10^12,OFFSET(CRONOPLE!$F$14,$M56,AV$13))))</f>
        <v>1000000000000</v>
      </c>
      <c r="AX56" s="179">
        <f ca="1">IF($D56&lt;&gt;"Serviço",0,IF(OR(AND(AUTOEVENTO="Manual",$M56=1),$M56&gt;(ROW(PLE.lastrow)-ROW(PLE.firstrow))),0,IF(OFFSET(PLE!$G$14,$M56,AX$13)="",10^12,OFFSET(PLE!$G$14,$M56,AX$13))))</f>
        <v>1000000000000</v>
      </c>
      <c r="AY56" s="179">
        <f ca="1">IF($D56&lt;&gt;"Serviço",0,IF(OR(AND(AUTOEVENTO="Manual",$M56=1),$M56&gt;(ROW(PLE.lastrow)-ROW(PLE.firstrow))),0,IF(OFFSET(PLE!$G$14,$M56,AY$13)="",10^12,OFFSET(PLE!$G$14,$M56,AY$13))))</f>
        <v>1000000000000</v>
      </c>
      <c r="AZ56" s="179">
        <f ca="1">IF($D56&lt;&gt;"Serviço",0,IF(OR(AND(AUTOEVENTO="Manual",$M56=1),$M56&gt;(ROW(PLE.lastrow)-ROW(PLE.firstrow))),0,IF(OFFSET(PLE!$G$14,$M56,AZ$13)="",10^12,OFFSET(PLE!$G$14,$M56,AZ$13))))</f>
        <v>1000000000000</v>
      </c>
      <c r="BA56" s="179">
        <f ca="1">IF($D56&lt;&gt;"Serviço",0,IF(OR(AND(AUTOEVENTO="Manual",$M56=1),$M56&gt;(ROW(PLE.lastrow)-ROW(PLE.firstrow))),0,IF(OFFSET(PLE!$G$14,$M56,BA$13)="",10^12,OFFSET(PLE!$G$14,$M56,BA$13))))</f>
        <v>1000000000000</v>
      </c>
      <c r="BB56" s="179">
        <f ca="1">IF($D56&lt;&gt;"Serviço",0,IF(OR(AND(AUTOEVENTO="Manual",$M56=1),$M56&gt;(ROW(PLE.lastrow)-ROW(PLE.firstrow))),0,IF(OFFSET(PLE!$G$14,$M56,BB$13)="",10^12,OFFSET(PLE!$G$14,$M56,BB$13))))</f>
        <v>1000000000000</v>
      </c>
      <c r="BC56" s="179">
        <f ca="1">IF($D56&lt;&gt;"Serviço",0,IF(OR(AND(AUTOEVENTO="Manual",$M56=1),$M56&gt;(ROW(PLE.lastrow)-ROW(PLE.firstrow))),0,IF(OFFSET(PLE!$G$14,$M56,BC$13)="",10^12,OFFSET(PLE!$G$14,$M56,BC$13))))</f>
        <v>1000000000000</v>
      </c>
      <c r="BD56" s="179">
        <f ca="1">IF($D56&lt;&gt;"Serviço",0,IF(OR(AND(AUTOEVENTO="Manual",$M56=1),$M56&gt;(ROW(PLE.lastrow)-ROW(PLE.firstrow))),0,IF(OFFSET(PLE!$G$14,$M56,BD$13)="",10^12,OFFSET(PLE!$G$14,$M56,BD$13))))</f>
        <v>1000000000000</v>
      </c>
      <c r="BE56" s="179">
        <f ca="1">IF($D56&lt;&gt;"Serviço",0,IF(OR(AND(AUTOEVENTO="Manual",$M56=1),$M56&gt;(ROW(PLE.lastrow)-ROW(PLE.firstrow))),0,IF(OFFSET(PLE!$G$14,$M56,BE$13)="",10^12,OFFSET(PLE!$G$14,$M56,BE$13))))</f>
        <v>1000000000000</v>
      </c>
      <c r="BF56" s="179">
        <f ca="1">IF($D56&lt;&gt;"Serviço",0,IF(OR(AND(AUTOEVENTO="Manual",$M56=1),$M56&gt;(ROW(PLE.lastrow)-ROW(PLE.firstrow))),0,IF(OFFSET(PLE!$G$14,$M56,BF$13)="",10^12,OFFSET(PLE!$G$14,$M56,BF$13))))</f>
        <v>1000000000000</v>
      </c>
      <c r="BG56" s="179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7" t="str">
        <f t="shared" ca="1" si="8"/>
        <v>42.</v>
      </c>
      <c r="B57" s="7">
        <f ca="1">OFFSET(ORÇAMENTO!C$15,ROW(B57)-ROW(B$15),0)</f>
        <v>2</v>
      </c>
      <c r="C57" s="7" t="str">
        <f ca="1">OFFSET(ORÇAMENTO!L$15,ROW(C57)-ROW(C$15),0)</f>
        <v>F</v>
      </c>
      <c r="D57" s="115" t="str">
        <f ca="1">OFFSET(ORÇAMENTO!N$15,ROW(D57)-ROW(D$15),0)</f>
        <v>Nível 2</v>
      </c>
      <c r="E57" s="116" t="str">
        <f ca="1">OFFSET(ORÇAMENTO!O$15,ROW(E57)-ROW(E$15),0)</f>
        <v>1.7.</v>
      </c>
      <c r="F57" s="169" t="str">
        <f ca="1">OFFSET(ORÇAMENTO!R$15,ROW(F57)-ROW(F$15),0)</f>
        <v>REVESTIMENTOS DE FACHADA</v>
      </c>
      <c r="G57" s="170" t="str">
        <f ca="1">IF($D57&lt;&gt;"Serviço","",OFFSET(ORÇAMENTO!S$15,ROW(G57)-ROW(G$15),0))</f>
        <v/>
      </c>
      <c r="H57" s="121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558"/>
      <c r="K57" s="171"/>
      <c r="L57" s="172" t="s">
        <v>255</v>
      </c>
      <c r="M57" s="173" t="str">
        <f ca="1">IF($D57&lt;&gt;"Serviço","",IF(AUTOEVENTO="manual",$A57,IF(ISERROR(MATCH($A57,$A$15:OFFSET($A57,-1,0),0)),MAX($M$15:OFFSET(M57,-1,0))+1,INDEX($M$15:OFFSET(M57,-1,0),MATCH($A57,$A$15:OFFSET($A57,-1,0),0)))))</f>
        <v/>
      </c>
      <c r="N57" s="174" t="str">
        <f ca="1">IF($D57&lt;&gt;"Serviço","",IF(AUTOEVENTO="Manual",IF($A57=0,"&lt;-- defina o número do agrupador",OFFSET(EVENTOS!$D$14,$A57,0)),OFFSET($F$15,$A57,0)))</f>
        <v/>
      </c>
      <c r="O57" s="175"/>
      <c r="Q57" s="175"/>
      <c r="R57" s="176"/>
      <c r="S57" s="176"/>
      <c r="T57" s="176"/>
      <c r="U57" s="176"/>
      <c r="V57" s="176"/>
      <c r="W57" s="176"/>
      <c r="X57" s="176"/>
      <c r="Y57" s="176"/>
      <c r="Z57" s="177"/>
      <c r="AB57" s="541">
        <f ca="1">IF(AND($D57="Serviço",AB$12&lt;&gt;0,$H57&gt;0,OR(AUTOEVENTO&lt;&gt;"manual",$M57&lt;&gt;1)),
IF(Import.TipoArredondamento&lt;&gt;"TransfereGOV",
ROUND(OFFSET($P57,0,AB$13),15-13*ORÇAMENTO!$AF$7)/$H57*OFFSET(ORÇAMENTO!$X$15,ROW(AB57)-ROW(AB$15),0),
ROUND(ROUND(OFFSET($P57,0,AB$13),15-13*ORÇAMENTO!$AF$7)*OFFSET(ORÇAMENTO!$W$15,ROW(AB57)-ROW(AB$15),0),15-13*ORÇAMENTO!$AF$11)),0)</f>
        <v>0</v>
      </c>
      <c r="AC57" s="542">
        <f ca="1">IF(AND($D57="Serviço",AC$12&lt;&gt;0,$H57&gt;0,OR(AUTOEVENTO&lt;&gt;"manual",$M57&lt;&gt;1)),
IF(Import.TipoArredondamento&lt;&gt;"TransfereGOV",
ROUND(OFFSET($P57,0,AC$13),15-13*ORÇAMENTO!$AF$7)/$H57*OFFSET(ORÇAMENTO!$X$15,ROW(AC57)-ROW(AC$15),0),
ROUND(ROUND(OFFSET($P57,0,AC$13),15-13*ORÇAMENTO!$AF$7)*OFFSET(ORÇAMENTO!$W$15,ROW(AC57)-ROW(AC$15),0),15-13*ORÇAMENTO!$AF$11)),0)</f>
        <v>0</v>
      </c>
      <c r="AD57" s="542">
        <f ca="1">IF(AND($D57="Serviço",AD$12&lt;&gt;0,$H57&gt;0,OR(AUTOEVENTO&lt;&gt;"manual",$M57&lt;&gt;1)),
IF(Import.TipoArredondamento&lt;&gt;"TransfereGOV",
ROUND(OFFSET($P57,0,AD$13),15-13*ORÇAMENTO!$AF$7)/$H57*OFFSET(ORÇAMENTO!$X$15,ROW(AD57)-ROW(AD$15),0),
ROUND(ROUND(OFFSET($P57,0,AD$13),15-13*ORÇAMENTO!$AF$7)*OFFSET(ORÇAMENTO!$W$15,ROW(AD57)-ROW(AD$15),0),15-13*ORÇAMENTO!$AF$11)),0)</f>
        <v>0</v>
      </c>
      <c r="AE57" s="542">
        <f ca="1">IF(AND($D57="Serviço",AE$12&lt;&gt;0,$H57&gt;0,OR(AUTOEVENTO&lt;&gt;"manual",$M57&lt;&gt;1)),
IF(Import.TipoArredondamento&lt;&gt;"TransfereGOV",
ROUND(OFFSET($P57,0,AE$13),15-13*ORÇAMENTO!$AF$7)/$H57*OFFSET(ORÇAMENTO!$X$15,ROW(AE57)-ROW(AE$15),0),
ROUND(ROUND(OFFSET($P57,0,AE$13),15-13*ORÇAMENTO!$AF$7)*OFFSET(ORÇAMENTO!$W$15,ROW(AE57)-ROW(AE$15),0),15-13*ORÇAMENTO!$AF$11)),0)</f>
        <v>0</v>
      </c>
      <c r="AF57" s="542">
        <f ca="1">IF(AND($D57="Serviço",AF$12&lt;&gt;0,$H57&gt;0,OR(AUTOEVENTO&lt;&gt;"manual",$M57&lt;&gt;1)),
IF(Import.TipoArredondamento&lt;&gt;"TransfereGOV",
ROUND(OFFSET($P57,0,AF$13),15-13*ORÇAMENTO!$AF$7)/$H57*OFFSET(ORÇAMENTO!$X$15,ROW(AF57)-ROW(AF$15),0),
ROUND(ROUND(OFFSET($P57,0,AF$13),15-13*ORÇAMENTO!$AF$7)*OFFSET(ORÇAMENTO!$W$15,ROW(AF57)-ROW(AF$15),0),15-13*ORÇAMENTO!$AF$11)),0)</f>
        <v>0</v>
      </c>
      <c r="AG57" s="542">
        <f ca="1">IF(AND($D57="Serviço",AG$12&lt;&gt;0,$H57&gt;0,OR(AUTOEVENTO&lt;&gt;"manual",$M57&lt;&gt;1)),
IF(Import.TipoArredondamento&lt;&gt;"TransfereGOV",
ROUND(OFFSET($P57,0,AG$13),15-13*ORÇAMENTO!$AF$7)/$H57*OFFSET(ORÇAMENTO!$X$15,ROW(AG57)-ROW(AG$15),0),
ROUND(ROUND(OFFSET($P57,0,AG$13),15-13*ORÇAMENTO!$AF$7)*OFFSET(ORÇAMENTO!$W$15,ROW(AG57)-ROW(AG$15),0),15-13*ORÇAMENTO!$AF$11)),0)</f>
        <v>0</v>
      </c>
      <c r="AH57" s="542">
        <f ca="1">IF(AND($D57="Serviço",AH$12&lt;&gt;0,$H57&gt;0,OR(AUTOEVENTO&lt;&gt;"manual",$M57&lt;&gt;1)),
IF(Import.TipoArredondamento&lt;&gt;"TransfereGOV",
ROUND(OFFSET($P57,0,AH$13),15-13*ORÇAMENTO!$AF$7)/$H57*OFFSET(ORÇAMENTO!$X$15,ROW(AH57)-ROW(AH$15),0),
ROUND(ROUND(OFFSET($P57,0,AH$13),15-13*ORÇAMENTO!$AF$7)*OFFSET(ORÇAMENTO!$W$15,ROW(AH57)-ROW(AH$15),0),15-13*ORÇAMENTO!$AF$11)),0)</f>
        <v>0</v>
      </c>
      <c r="AI57" s="542">
        <f ca="1">IF(AND($D57="Serviço",AI$12&lt;&gt;0,$H57&gt;0,OR(AUTOEVENTO&lt;&gt;"manual",$M57&lt;&gt;1)),
IF(Import.TipoArredondamento&lt;&gt;"TransfereGOV",
ROUND(OFFSET($P57,0,AI$13),15-13*ORÇAMENTO!$AF$7)/$H57*OFFSET(ORÇAMENTO!$X$15,ROW(AI57)-ROW(AI$15),0),
ROUND(ROUND(OFFSET($P57,0,AI$13),15-13*ORÇAMENTO!$AF$7)*OFFSET(ORÇAMENTO!$W$15,ROW(AI57)-ROW(AI$15),0),15-13*ORÇAMENTO!$AF$11)),0)</f>
        <v>0</v>
      </c>
      <c r="AJ57" s="542">
        <f ca="1">IF(AND($D57="Serviço",AJ$12&lt;&gt;0,$H57&gt;0,OR(AUTOEVENTO&lt;&gt;"manual",$M57&lt;&gt;1)),
IF(Import.TipoArredondamento&lt;&gt;"TransfereGOV",
ROUND(OFFSET($P57,0,AJ$13),15-13*ORÇAMENTO!$AF$7)/$H57*OFFSET(ORÇAMENTO!$X$15,ROW(AJ57)-ROW(AJ$15),0),
ROUND(ROUND(OFFSET($P57,0,AJ$13),15-13*ORÇAMENTO!$AF$7)*OFFSET(ORÇAMENTO!$W$15,ROW(AJ57)-ROW(AJ$15),0),15-13*ORÇAMENTO!$AF$11)),0)</f>
        <v>0</v>
      </c>
      <c r="AK57" s="543">
        <f ca="1">IF(AND($D57="Serviço",AK$12&lt;&gt;0,$H57&gt;0,OR(AUTOEVENTO&lt;&gt;"manual",$M57&lt;&gt;1)),
IF(Import.TipoArredondamento&lt;&gt;"TransfereGOV",
ROUND(OFFSET($P57,0,AK$13),15-13*ORÇAMENTO!$AF$7)/$H57*OFFSET(ORÇAMENTO!$X$15,ROW(AK57)-ROW(AK$15),0),
ROUND(ROUND(OFFSET($P57,0,AK$13),15-13*ORÇAMENTO!$AF$7)*OFFSET(ORÇAMENTO!$W$15,ROW(AK57)-ROW(AK$15),0),15-13*ORÇAMENTO!$AF$11)),0)</f>
        <v>0</v>
      </c>
      <c r="AM57" s="178">
        <f ca="1">IF($D57&lt;&gt;"Serviço",0,IF(AND(AUTOEVENTO="Manual",$M57=1),0,IF(OFFSET(CRONOPLE!$F$14,$M57,AM$13)="",10^12,OFFSET(CRONOPLE!$F$14,$M57,AM$13))))</f>
        <v>0</v>
      </c>
      <c r="AN57" s="178">
        <f ca="1">IF($D57&lt;&gt;"Serviço",0,IF(AND(AUTOEVENTO="Manual",$M57=1),0,IF(OFFSET(CRONOPLE!$F$14,$M57,AN$13)="",10^12,OFFSET(CRONOPLE!$F$14,$M57,AN$13))))</f>
        <v>0</v>
      </c>
      <c r="AO57" s="178">
        <f ca="1">IF($D57&lt;&gt;"Serviço",0,IF(AND(AUTOEVENTO="Manual",$M57=1),0,IF(OFFSET(CRONOPLE!$F$14,$M57,AO$13)="",10^12,OFFSET(CRONOPLE!$F$14,$M57,AO$13))))</f>
        <v>0</v>
      </c>
      <c r="AP57" s="178">
        <f ca="1">IF($D57&lt;&gt;"Serviço",0,IF(AND(AUTOEVENTO="Manual",$M57=1),0,IF(OFFSET(CRONOPLE!$F$14,$M57,AP$13)="",10^12,OFFSET(CRONOPLE!$F$14,$M57,AP$13))))</f>
        <v>0</v>
      </c>
      <c r="AQ57" s="178">
        <f ca="1">IF($D57&lt;&gt;"Serviço",0,IF(AND(AUTOEVENTO="Manual",$M57=1),0,IF(OFFSET(CRONOPLE!$F$14,$M57,AQ$13)="",10^12,OFFSET(CRONOPLE!$F$14,$M57,AQ$13))))</f>
        <v>0</v>
      </c>
      <c r="AR57" s="178">
        <f ca="1">IF($D57&lt;&gt;"Serviço",0,IF(AND(AUTOEVENTO="Manual",$M57=1),0,IF(OFFSET(CRONOPLE!$F$14,$M57,AR$13)="",10^12,OFFSET(CRONOPLE!$F$14,$M57,AR$13))))</f>
        <v>0</v>
      </c>
      <c r="AS57" s="178">
        <f ca="1">IF($D57&lt;&gt;"Serviço",0,IF(AND(AUTOEVENTO="Manual",$M57=1),0,IF(OFFSET(CRONOPLE!$F$14,$M57,AS$13)="",10^12,OFFSET(CRONOPLE!$F$14,$M57,AS$13))))</f>
        <v>0</v>
      </c>
      <c r="AT57" s="178">
        <f ca="1">IF($D57&lt;&gt;"Serviço",0,IF(AND(AUTOEVENTO="Manual",$M57=1),0,IF(OFFSET(CRONOPLE!$F$14,$M57,AT$13)="",10^12,OFFSET(CRONOPLE!$F$14,$M57,AT$13))))</f>
        <v>0</v>
      </c>
      <c r="AU57" s="178">
        <f ca="1">IF($D57&lt;&gt;"Serviço",0,IF(AND(AUTOEVENTO="Manual",$M57=1),0,IF(OFFSET(CRONOPLE!$F$14,$M57,AU$13)="",10^12,OFFSET(CRONOPLE!$F$14,$M57,AU$13))))</f>
        <v>0</v>
      </c>
      <c r="AV57" s="178">
        <f ca="1">IF($D57&lt;&gt;"Serviço",0,IF(AND(AUTOEVENTO="Manual",$M57=1),0,IF(OFFSET(CRONOPLE!$F$14,$M57,AV$13)="",10^12,OFFSET(CRONOPLE!$F$14,$M57,AV$13))))</f>
        <v>0</v>
      </c>
      <c r="AX57" s="179">
        <f ca="1">IF($D57&lt;&gt;"Serviço",0,IF(OR(AND(AUTOEVENTO="Manual",$M57=1),$M57&gt;(ROW(PLE.lastrow)-ROW(PLE.firstrow))),0,IF(OFFSET(PLE!$G$14,$M57,AX$13)="",10^12,OFFSET(PLE!$G$14,$M57,AX$13))))</f>
        <v>0</v>
      </c>
      <c r="AY57" s="179">
        <f ca="1">IF($D57&lt;&gt;"Serviço",0,IF(OR(AND(AUTOEVENTO="Manual",$M57=1),$M57&gt;(ROW(PLE.lastrow)-ROW(PLE.firstrow))),0,IF(OFFSET(PLE!$G$14,$M57,AY$13)="",10^12,OFFSET(PLE!$G$14,$M57,AY$13))))</f>
        <v>0</v>
      </c>
      <c r="AZ57" s="179">
        <f ca="1">IF($D57&lt;&gt;"Serviço",0,IF(OR(AND(AUTOEVENTO="Manual",$M57=1),$M57&gt;(ROW(PLE.lastrow)-ROW(PLE.firstrow))),0,IF(OFFSET(PLE!$G$14,$M57,AZ$13)="",10^12,OFFSET(PLE!$G$14,$M57,AZ$13))))</f>
        <v>0</v>
      </c>
      <c r="BA57" s="179">
        <f ca="1">IF($D57&lt;&gt;"Serviço",0,IF(OR(AND(AUTOEVENTO="Manual",$M57=1),$M57&gt;(ROW(PLE.lastrow)-ROW(PLE.firstrow))),0,IF(OFFSET(PLE!$G$14,$M57,BA$13)="",10^12,OFFSET(PLE!$G$14,$M57,BA$13))))</f>
        <v>0</v>
      </c>
      <c r="BB57" s="179">
        <f ca="1">IF($D57&lt;&gt;"Serviço",0,IF(OR(AND(AUTOEVENTO="Manual",$M57=1),$M57&gt;(ROW(PLE.lastrow)-ROW(PLE.firstrow))),0,IF(OFFSET(PLE!$G$14,$M57,BB$13)="",10^12,OFFSET(PLE!$G$14,$M57,BB$13))))</f>
        <v>0</v>
      </c>
      <c r="BC57" s="179">
        <f ca="1">IF($D57&lt;&gt;"Serviço",0,IF(OR(AND(AUTOEVENTO="Manual",$M57=1),$M57&gt;(ROW(PLE.lastrow)-ROW(PLE.firstrow))),0,IF(OFFSET(PLE!$G$14,$M57,BC$13)="",10^12,OFFSET(PLE!$G$14,$M57,BC$13))))</f>
        <v>0</v>
      </c>
      <c r="BD57" s="179">
        <f ca="1">IF($D57&lt;&gt;"Serviço",0,IF(OR(AND(AUTOEVENTO="Manual",$M57=1),$M57&gt;(ROW(PLE.lastrow)-ROW(PLE.firstrow))),0,IF(OFFSET(PLE!$G$14,$M57,BD$13)="",10^12,OFFSET(PLE!$G$14,$M57,BD$13))))</f>
        <v>0</v>
      </c>
      <c r="BE57" s="179">
        <f ca="1">IF($D57&lt;&gt;"Serviço",0,IF(OR(AND(AUTOEVENTO="Manual",$M57=1),$M57&gt;(ROW(PLE.lastrow)-ROW(PLE.firstrow))),0,IF(OFFSET(PLE!$G$14,$M57,BE$13)="",10^12,OFFSET(PLE!$G$14,$M57,BE$13))))</f>
        <v>0</v>
      </c>
      <c r="BF57" s="179">
        <f ca="1">IF($D57&lt;&gt;"Serviço",0,IF(OR(AND(AUTOEVENTO="Manual",$M57=1),$M57&gt;(ROW(PLE.lastrow)-ROW(PLE.firstrow))),0,IF(OFFSET(PLE!$G$14,$M57,BF$13)="",10^12,OFFSET(PLE!$G$14,$M57,BF$13))))</f>
        <v>0</v>
      </c>
      <c r="BG57" s="179">
        <f ca="1">IF($D57&lt;&gt;"Serviço",0,IF(OR(AND(AUTOEVENTO="Manual",$M57=1),$M57&gt;(ROW(PLE.lastrow)-ROW(PLE.firstrow))),0,IF(OFFSET(PLE!$G$14,$M57,BG$13)="",10^12,OFFSET(PLE!$G$14,$M57,BG$13))))</f>
        <v>0</v>
      </c>
    </row>
    <row r="58" spans="1:59" ht="51" x14ac:dyDescent="0.2">
      <c r="A58" s="7" t="str">
        <f t="shared" ca="1" si="8"/>
        <v>42</v>
      </c>
      <c r="B58" s="7" t="str">
        <f ca="1">OFFSET(ORÇAMENTO!C$15,ROW(B58)-ROW(B$15),0)</f>
        <v>S</v>
      </c>
      <c r="C58" s="7" t="str">
        <f ca="1">OFFSET(ORÇAMENTO!L$15,ROW(C58)-ROW(C$15),0)</f>
        <v/>
      </c>
      <c r="D58" s="115" t="str">
        <f ca="1">OFFSET(ORÇAMENTO!N$15,ROW(D58)-ROW(D$15),0)</f>
        <v>Serviço</v>
      </c>
      <c r="E58" s="116" t="str">
        <f ca="1">OFFSET(ORÇAMENTO!O$15,ROW(E58)-ROW(E$15),0)</f>
        <v>-</v>
      </c>
      <c r="F58" s="169" t="str">
        <f ca="1">OFFSET(ORÇAMENTO!R$15,ROW(F58)-ROW(F$15),0)</f>
        <v>(abra o arquivo 'Referência 10-2024.xlsm)</v>
      </c>
      <c r="G58" s="170" t="str">
        <f ca="1">IF($D58&lt;&gt;"Serviço","",OFFSET(ORÇAMENTO!S$15,ROW(G58)-ROW(G$15),0))</f>
        <v>-</v>
      </c>
      <c r="H58" s="121">
        <f ca="1">IF($D58&lt;&gt;"Serviço",0,IF(ACOMPANHAMENTO="BM",ROUND(OFFSET(ORÇAMENTO!AJ$15,ROW(H58)-ROW(H$15),0),15-13*ORÇAMENTO!$AF$7),SUMPRODUCT(($Q$12:$AA$12&lt;&gt;"")*ROUND($Q58:$AA58,15-13*ORÇAMENTO!$AF$7))))</f>
        <v>118.44</v>
      </c>
      <c r="I58" s="558" t="s">
        <v>561</v>
      </c>
      <c r="K58" s="171"/>
      <c r="L58" s="172" t="s">
        <v>255</v>
      </c>
      <c r="M58" s="173">
        <f ca="1">IF($D58&lt;&gt;"Serviço","",IF(AUTOEVENTO="manual",$A58,IF(ISERROR(MATCH($A58,$A$15:OFFSET($A58,-1,0),0)),MAX($M$15:OFFSET(M58,-1,0))+1,INDEX($M$15:OFFSET(M58,-1,0),MATCH($A58,$A$15:OFFSET($A58,-1,0),0)))))</f>
        <v>8</v>
      </c>
      <c r="N58" s="174" t="str">
        <f ca="1">IF($D58&lt;&gt;"Serviço","",IF(AUTOEVENTO="Manual",IF($A58=0,"&lt;-- defina o número do agrupador",OFFSET(EVENTOS!$D$14,$A58,0)),OFFSET($F$15,$A58,0)))</f>
        <v>REVESTIMENTOS DE FACHADA</v>
      </c>
      <c r="O58" s="175"/>
      <c r="Q58" s="175"/>
      <c r="R58" s="176"/>
      <c r="S58" s="176"/>
      <c r="T58" s="176"/>
      <c r="U58" s="176"/>
      <c r="V58" s="176"/>
      <c r="W58" s="176"/>
      <c r="X58" s="176"/>
      <c r="Y58" s="176"/>
      <c r="Z58" s="177"/>
      <c r="AB58" s="541">
        <f ca="1">IF(AND($D58="Serviço",AB$12&lt;&gt;0,$H58&gt;0,OR(AUTOEVENTO&lt;&gt;"manual",$M58&lt;&gt;1)),
IF(Import.TipoArredondamento&lt;&gt;"TransfereGOV",
ROUND(OFFSET($P58,0,AB$13),15-13*ORÇAMENTO!$AF$7)/$H58*OFFSET(ORÇAMENTO!$X$15,ROW(AB58)-ROW(AB$15),0),
ROUND(ROUND(OFFSET($P58,0,AB$13),15-13*ORÇAMENTO!$AF$7)*OFFSET(ORÇAMENTO!$W$15,ROW(AB58)-ROW(AB$15),0),15-13*ORÇAMENTO!$AF$11)),0)</f>
        <v>0</v>
      </c>
      <c r="AC58" s="542">
        <f ca="1">IF(AND($D58="Serviço",AC$12&lt;&gt;0,$H58&gt;0,OR(AUTOEVENTO&lt;&gt;"manual",$M58&lt;&gt;1)),
IF(Import.TipoArredondamento&lt;&gt;"TransfereGOV",
ROUND(OFFSET($P58,0,AC$13),15-13*ORÇAMENTO!$AF$7)/$H58*OFFSET(ORÇAMENTO!$X$15,ROW(AC58)-ROW(AC$15),0),
ROUND(ROUND(OFFSET($P58,0,AC$13),15-13*ORÇAMENTO!$AF$7)*OFFSET(ORÇAMENTO!$W$15,ROW(AC58)-ROW(AC$15),0),15-13*ORÇAMENTO!$AF$11)),0)</f>
        <v>0</v>
      </c>
      <c r="AD58" s="542">
        <f ca="1">IF(AND($D58="Serviço",AD$12&lt;&gt;0,$H58&gt;0,OR(AUTOEVENTO&lt;&gt;"manual",$M58&lt;&gt;1)),
IF(Import.TipoArredondamento&lt;&gt;"TransfereGOV",
ROUND(OFFSET($P58,0,AD$13),15-13*ORÇAMENTO!$AF$7)/$H58*OFFSET(ORÇAMENTO!$X$15,ROW(AD58)-ROW(AD$15),0),
ROUND(ROUND(OFFSET($P58,0,AD$13),15-13*ORÇAMENTO!$AF$7)*OFFSET(ORÇAMENTO!$W$15,ROW(AD58)-ROW(AD$15),0),15-13*ORÇAMENTO!$AF$11)),0)</f>
        <v>0</v>
      </c>
      <c r="AE58" s="542">
        <f ca="1">IF(AND($D58="Serviço",AE$12&lt;&gt;0,$H58&gt;0,OR(AUTOEVENTO&lt;&gt;"manual",$M58&lt;&gt;1)),
IF(Import.TipoArredondamento&lt;&gt;"TransfereGOV",
ROUND(OFFSET($P58,0,AE$13),15-13*ORÇAMENTO!$AF$7)/$H58*OFFSET(ORÇAMENTO!$X$15,ROW(AE58)-ROW(AE$15),0),
ROUND(ROUND(OFFSET($P58,0,AE$13),15-13*ORÇAMENTO!$AF$7)*OFFSET(ORÇAMENTO!$W$15,ROW(AE58)-ROW(AE$15),0),15-13*ORÇAMENTO!$AF$11)),0)</f>
        <v>0</v>
      </c>
      <c r="AF58" s="542">
        <f ca="1">IF(AND($D58="Serviço",AF$12&lt;&gt;0,$H58&gt;0,OR(AUTOEVENTO&lt;&gt;"manual",$M58&lt;&gt;1)),
IF(Import.TipoArredondamento&lt;&gt;"TransfereGOV",
ROUND(OFFSET($P58,0,AF$13),15-13*ORÇAMENTO!$AF$7)/$H58*OFFSET(ORÇAMENTO!$X$15,ROW(AF58)-ROW(AF$15),0),
ROUND(ROUND(OFFSET($P58,0,AF$13),15-13*ORÇAMENTO!$AF$7)*OFFSET(ORÇAMENTO!$W$15,ROW(AF58)-ROW(AF$15),0),15-13*ORÇAMENTO!$AF$11)),0)</f>
        <v>0</v>
      </c>
      <c r="AG58" s="542">
        <f ca="1">IF(AND($D58="Serviço",AG$12&lt;&gt;0,$H58&gt;0,OR(AUTOEVENTO&lt;&gt;"manual",$M58&lt;&gt;1)),
IF(Import.TipoArredondamento&lt;&gt;"TransfereGOV",
ROUND(OFFSET($P58,0,AG$13),15-13*ORÇAMENTO!$AF$7)/$H58*OFFSET(ORÇAMENTO!$X$15,ROW(AG58)-ROW(AG$15),0),
ROUND(ROUND(OFFSET($P58,0,AG$13),15-13*ORÇAMENTO!$AF$7)*OFFSET(ORÇAMENTO!$W$15,ROW(AG58)-ROW(AG$15),0),15-13*ORÇAMENTO!$AF$11)),0)</f>
        <v>0</v>
      </c>
      <c r="AH58" s="542">
        <f ca="1">IF(AND($D58="Serviço",AH$12&lt;&gt;0,$H58&gt;0,OR(AUTOEVENTO&lt;&gt;"manual",$M58&lt;&gt;1)),
IF(Import.TipoArredondamento&lt;&gt;"TransfereGOV",
ROUND(OFFSET($P58,0,AH$13),15-13*ORÇAMENTO!$AF$7)/$H58*OFFSET(ORÇAMENTO!$X$15,ROW(AH58)-ROW(AH$15),0),
ROUND(ROUND(OFFSET($P58,0,AH$13),15-13*ORÇAMENTO!$AF$7)*OFFSET(ORÇAMENTO!$W$15,ROW(AH58)-ROW(AH$15),0),15-13*ORÇAMENTO!$AF$11)),0)</f>
        <v>0</v>
      </c>
      <c r="AI58" s="542">
        <f ca="1">IF(AND($D58="Serviço",AI$12&lt;&gt;0,$H58&gt;0,OR(AUTOEVENTO&lt;&gt;"manual",$M58&lt;&gt;1)),
IF(Import.TipoArredondamento&lt;&gt;"TransfereGOV",
ROUND(OFFSET($P58,0,AI$13),15-13*ORÇAMENTO!$AF$7)/$H58*OFFSET(ORÇAMENTO!$X$15,ROW(AI58)-ROW(AI$15),0),
ROUND(ROUND(OFFSET($P58,0,AI$13),15-13*ORÇAMENTO!$AF$7)*OFFSET(ORÇAMENTO!$W$15,ROW(AI58)-ROW(AI$15),0),15-13*ORÇAMENTO!$AF$11)),0)</f>
        <v>0</v>
      </c>
      <c r="AJ58" s="542">
        <f ca="1">IF(AND($D58="Serviço",AJ$12&lt;&gt;0,$H58&gt;0,OR(AUTOEVENTO&lt;&gt;"manual",$M58&lt;&gt;1)),
IF(Import.TipoArredondamento&lt;&gt;"TransfereGOV",
ROUND(OFFSET($P58,0,AJ$13),15-13*ORÇAMENTO!$AF$7)/$H58*OFFSET(ORÇAMENTO!$X$15,ROW(AJ58)-ROW(AJ$15),0),
ROUND(ROUND(OFFSET($P58,0,AJ$13),15-13*ORÇAMENTO!$AF$7)*OFFSET(ORÇAMENTO!$W$15,ROW(AJ58)-ROW(AJ$15),0),15-13*ORÇAMENTO!$AF$11)),0)</f>
        <v>0</v>
      </c>
      <c r="AK58" s="543">
        <f ca="1">IF(AND($D58="Serviço",AK$12&lt;&gt;0,$H58&gt;0,OR(AUTOEVENTO&lt;&gt;"manual",$M58&lt;&gt;1)),
IF(Import.TipoArredondamento&lt;&gt;"TransfereGOV",
ROUND(OFFSET($P58,0,AK$13),15-13*ORÇAMENTO!$AF$7)/$H58*OFFSET(ORÇAMENTO!$X$15,ROW(AK58)-ROW(AK$15),0),
ROUND(ROUND(OFFSET($P58,0,AK$13),15-13*ORÇAMENTO!$AF$7)*OFFSET(ORÇAMENTO!$W$15,ROW(AK58)-ROW(AK$15),0),15-13*ORÇAMENTO!$AF$11)),0)</f>
        <v>0</v>
      </c>
      <c r="AM58" s="178">
        <f ca="1">IF($D58&lt;&gt;"Serviço",0,IF(AND(AUTOEVENTO="Manual",$M58=1),0,IF(OFFSET(CRONOPLE!$F$14,$M58,AM$13)="",10^12,OFFSET(CRONOPLE!$F$14,$M58,AM$13))))</f>
        <v>1000000000000</v>
      </c>
      <c r="AN58" s="178">
        <f ca="1">IF($D58&lt;&gt;"Serviço",0,IF(AND(AUTOEVENTO="Manual",$M58=1),0,IF(OFFSET(CRONOPLE!$F$14,$M58,AN$13)="",10^12,OFFSET(CRONOPLE!$F$14,$M58,AN$13))))</f>
        <v>1000000000000</v>
      </c>
      <c r="AO58" s="178">
        <f ca="1">IF($D58&lt;&gt;"Serviço",0,IF(AND(AUTOEVENTO="Manual",$M58=1),0,IF(OFFSET(CRONOPLE!$F$14,$M58,AO$13)="",10^12,OFFSET(CRONOPLE!$F$14,$M58,AO$13))))</f>
        <v>1000000000000</v>
      </c>
      <c r="AP58" s="178">
        <f ca="1">IF($D58&lt;&gt;"Serviço",0,IF(AND(AUTOEVENTO="Manual",$M58=1),0,IF(OFFSET(CRONOPLE!$F$14,$M58,AP$13)="",10^12,OFFSET(CRONOPLE!$F$14,$M58,AP$13))))</f>
        <v>1000000000000</v>
      </c>
      <c r="AQ58" s="178">
        <f ca="1">IF($D58&lt;&gt;"Serviço",0,IF(AND(AUTOEVENTO="Manual",$M58=1),0,IF(OFFSET(CRONOPLE!$F$14,$M58,AQ$13)="",10^12,OFFSET(CRONOPLE!$F$14,$M58,AQ$13))))</f>
        <v>1000000000000</v>
      </c>
      <c r="AR58" s="178">
        <f ca="1">IF($D58&lt;&gt;"Serviço",0,IF(AND(AUTOEVENTO="Manual",$M58=1),0,IF(OFFSET(CRONOPLE!$F$14,$M58,AR$13)="",10^12,OFFSET(CRONOPLE!$F$14,$M58,AR$13))))</f>
        <v>1000000000000</v>
      </c>
      <c r="AS58" s="178">
        <f ca="1">IF($D58&lt;&gt;"Serviço",0,IF(AND(AUTOEVENTO="Manual",$M58=1),0,IF(OFFSET(CRONOPLE!$F$14,$M58,AS$13)="",10^12,OFFSET(CRONOPLE!$F$14,$M58,AS$13))))</f>
        <v>1000000000000</v>
      </c>
      <c r="AT58" s="178">
        <f ca="1">IF($D58&lt;&gt;"Serviço",0,IF(AND(AUTOEVENTO="Manual",$M58=1),0,IF(OFFSET(CRONOPLE!$F$14,$M58,AT$13)="",10^12,OFFSET(CRONOPLE!$F$14,$M58,AT$13))))</f>
        <v>1000000000000</v>
      </c>
      <c r="AU58" s="178">
        <f ca="1">IF($D58&lt;&gt;"Serviço",0,IF(AND(AUTOEVENTO="Manual",$M58=1),0,IF(OFFSET(CRONOPLE!$F$14,$M58,AU$13)="",10^12,OFFSET(CRONOPLE!$F$14,$M58,AU$13))))</f>
        <v>1000000000000</v>
      </c>
      <c r="AV58" s="178">
        <f ca="1">IF($D58&lt;&gt;"Serviço",0,IF(AND(AUTOEVENTO="Manual",$M58=1),0,IF(OFFSET(CRONOPLE!$F$14,$M58,AV$13)="",10^12,OFFSET(CRONOPLE!$F$14,$M58,AV$13))))</f>
        <v>1000000000000</v>
      </c>
      <c r="AX58" s="179">
        <f ca="1">IF($D58&lt;&gt;"Serviço",0,IF(OR(AND(AUTOEVENTO="Manual",$M58=1),$M58&gt;(ROW(PLE.lastrow)-ROW(PLE.firstrow))),0,IF(OFFSET(PLE!$G$14,$M58,AX$13)="",10^12,OFFSET(PLE!$G$14,$M58,AX$13))))</f>
        <v>1000000000000</v>
      </c>
      <c r="AY58" s="179">
        <f ca="1">IF($D58&lt;&gt;"Serviço",0,IF(OR(AND(AUTOEVENTO="Manual",$M58=1),$M58&gt;(ROW(PLE.lastrow)-ROW(PLE.firstrow))),0,IF(OFFSET(PLE!$G$14,$M58,AY$13)="",10^12,OFFSET(PLE!$G$14,$M58,AY$13))))</f>
        <v>1000000000000</v>
      </c>
      <c r="AZ58" s="179">
        <f ca="1">IF($D58&lt;&gt;"Serviço",0,IF(OR(AND(AUTOEVENTO="Manual",$M58=1),$M58&gt;(ROW(PLE.lastrow)-ROW(PLE.firstrow))),0,IF(OFFSET(PLE!$G$14,$M58,AZ$13)="",10^12,OFFSET(PLE!$G$14,$M58,AZ$13))))</f>
        <v>1000000000000</v>
      </c>
      <c r="BA58" s="179">
        <f ca="1">IF($D58&lt;&gt;"Serviço",0,IF(OR(AND(AUTOEVENTO="Manual",$M58=1),$M58&gt;(ROW(PLE.lastrow)-ROW(PLE.firstrow))),0,IF(OFFSET(PLE!$G$14,$M58,BA$13)="",10^12,OFFSET(PLE!$G$14,$M58,BA$13))))</f>
        <v>1000000000000</v>
      </c>
      <c r="BB58" s="179">
        <f ca="1">IF($D58&lt;&gt;"Serviço",0,IF(OR(AND(AUTOEVENTO="Manual",$M58=1),$M58&gt;(ROW(PLE.lastrow)-ROW(PLE.firstrow))),0,IF(OFFSET(PLE!$G$14,$M58,BB$13)="",10^12,OFFSET(PLE!$G$14,$M58,BB$13))))</f>
        <v>1000000000000</v>
      </c>
      <c r="BC58" s="179">
        <f ca="1">IF($D58&lt;&gt;"Serviço",0,IF(OR(AND(AUTOEVENTO="Manual",$M58=1),$M58&gt;(ROW(PLE.lastrow)-ROW(PLE.firstrow))),0,IF(OFFSET(PLE!$G$14,$M58,BC$13)="",10^12,OFFSET(PLE!$G$14,$M58,BC$13))))</f>
        <v>1000000000000</v>
      </c>
      <c r="BD58" s="179">
        <f ca="1">IF($D58&lt;&gt;"Serviço",0,IF(OR(AND(AUTOEVENTO="Manual",$M58=1),$M58&gt;(ROW(PLE.lastrow)-ROW(PLE.firstrow))),0,IF(OFFSET(PLE!$G$14,$M58,BD$13)="",10^12,OFFSET(PLE!$G$14,$M58,BD$13))))</f>
        <v>1000000000000</v>
      </c>
      <c r="BE58" s="179">
        <f ca="1">IF($D58&lt;&gt;"Serviço",0,IF(OR(AND(AUTOEVENTO="Manual",$M58=1),$M58&gt;(ROW(PLE.lastrow)-ROW(PLE.firstrow))),0,IF(OFFSET(PLE!$G$14,$M58,BE$13)="",10^12,OFFSET(PLE!$G$14,$M58,BE$13))))</f>
        <v>1000000000000</v>
      </c>
      <c r="BF58" s="179">
        <f ca="1">IF($D58&lt;&gt;"Serviço",0,IF(OR(AND(AUTOEVENTO="Manual",$M58=1),$M58&gt;(ROW(PLE.lastrow)-ROW(PLE.firstrow))),0,IF(OFFSET(PLE!$G$14,$M58,BF$13)="",10^12,OFFSET(PLE!$G$14,$M58,BF$13))))</f>
        <v>1000000000000</v>
      </c>
      <c r="BG58" s="179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51" x14ac:dyDescent="0.2">
      <c r="A59" s="7" t="str">
        <f t="shared" ca="1" si="8"/>
        <v>42</v>
      </c>
      <c r="B59" s="7" t="str">
        <f ca="1">OFFSET(ORÇAMENTO!C$15,ROW(B59)-ROW(B$15),0)</f>
        <v>S</v>
      </c>
      <c r="C59" s="7" t="str">
        <f ca="1">OFFSET(ORÇAMENTO!L$15,ROW(C59)-ROW(C$15),0)</f>
        <v/>
      </c>
      <c r="D59" s="115" t="str">
        <f ca="1">OFFSET(ORÇAMENTO!N$15,ROW(D59)-ROW(D$15),0)</f>
        <v>Serviço</v>
      </c>
      <c r="E59" s="116" t="str">
        <f ca="1">OFFSET(ORÇAMENTO!O$15,ROW(E59)-ROW(E$15),0)</f>
        <v>-</v>
      </c>
      <c r="F59" s="169" t="str">
        <f ca="1">OFFSET(ORÇAMENTO!R$15,ROW(F59)-ROW(F$15),0)</f>
        <v>(abra o arquivo 'Referência 10-2024.xlsm)</v>
      </c>
      <c r="G59" s="170" t="str">
        <f ca="1">IF($D59&lt;&gt;"Serviço","",OFFSET(ORÇAMENTO!S$15,ROW(G59)-ROW(G$15),0))</f>
        <v>-</v>
      </c>
      <c r="H59" s="121">
        <f ca="1">IF($D59&lt;&gt;"Serviço",0,IF(ACOMPANHAMENTO="BM",ROUND(OFFSET(ORÇAMENTO!AJ$15,ROW(H59)-ROW(H$15),0),15-13*ORÇAMENTO!$AF$7),SUMPRODUCT(($Q$12:$AA$12&lt;&gt;"")*ROUND($Q59:$AA59,15-13*ORÇAMENTO!$AF$7))))</f>
        <v>118.44</v>
      </c>
      <c r="I59" s="558" t="s">
        <v>561</v>
      </c>
      <c r="K59" s="171"/>
      <c r="L59" s="172" t="s">
        <v>255</v>
      </c>
      <c r="M59" s="173">
        <f ca="1">IF($D59&lt;&gt;"Serviço","",IF(AUTOEVENTO="manual",$A59,IF(ISERROR(MATCH($A59,$A$15:OFFSET($A59,-1,0),0)),MAX($M$15:OFFSET(M59,-1,0))+1,INDEX($M$15:OFFSET(M59,-1,0),MATCH($A59,$A$15:OFFSET($A59,-1,0),0)))))</f>
        <v>8</v>
      </c>
      <c r="N59" s="174" t="str">
        <f ca="1">IF($D59&lt;&gt;"Serviço","",IF(AUTOEVENTO="Manual",IF($A59=0,"&lt;-- defina o número do agrupador",OFFSET(EVENTOS!$D$14,$A59,0)),OFFSET($F$15,$A59,0)))</f>
        <v>REVESTIMENTOS DE FACHADA</v>
      </c>
      <c r="O59" s="175"/>
      <c r="Q59" s="175"/>
      <c r="R59" s="176"/>
      <c r="S59" s="176"/>
      <c r="T59" s="176"/>
      <c r="U59" s="176"/>
      <c r="V59" s="176"/>
      <c r="W59" s="176"/>
      <c r="X59" s="176"/>
      <c r="Y59" s="176"/>
      <c r="Z59" s="177"/>
      <c r="AB59" s="541">
        <f ca="1">IF(AND($D59="Serviço",AB$12&lt;&gt;0,$H59&gt;0,OR(AUTOEVENTO&lt;&gt;"manual",$M59&lt;&gt;1)),
IF(Import.TipoArredondamento&lt;&gt;"TransfereGOV",
ROUND(OFFSET($P59,0,AB$13),15-13*ORÇAMENTO!$AF$7)/$H59*OFFSET(ORÇAMENTO!$X$15,ROW(AB59)-ROW(AB$15),0),
ROUND(ROUND(OFFSET($P59,0,AB$13),15-13*ORÇAMENTO!$AF$7)*OFFSET(ORÇAMENTO!$W$15,ROW(AB59)-ROW(AB$15),0),15-13*ORÇAMENTO!$AF$11)),0)</f>
        <v>0</v>
      </c>
      <c r="AC59" s="542">
        <f ca="1">IF(AND($D59="Serviço",AC$12&lt;&gt;0,$H59&gt;0,OR(AUTOEVENTO&lt;&gt;"manual",$M59&lt;&gt;1)),
IF(Import.TipoArredondamento&lt;&gt;"TransfereGOV",
ROUND(OFFSET($P59,0,AC$13),15-13*ORÇAMENTO!$AF$7)/$H59*OFFSET(ORÇAMENTO!$X$15,ROW(AC59)-ROW(AC$15),0),
ROUND(ROUND(OFFSET($P59,0,AC$13),15-13*ORÇAMENTO!$AF$7)*OFFSET(ORÇAMENTO!$W$15,ROW(AC59)-ROW(AC$15),0),15-13*ORÇAMENTO!$AF$11)),0)</f>
        <v>0</v>
      </c>
      <c r="AD59" s="542">
        <f ca="1">IF(AND($D59="Serviço",AD$12&lt;&gt;0,$H59&gt;0,OR(AUTOEVENTO&lt;&gt;"manual",$M59&lt;&gt;1)),
IF(Import.TipoArredondamento&lt;&gt;"TransfereGOV",
ROUND(OFFSET($P59,0,AD$13),15-13*ORÇAMENTO!$AF$7)/$H59*OFFSET(ORÇAMENTO!$X$15,ROW(AD59)-ROW(AD$15),0),
ROUND(ROUND(OFFSET($P59,0,AD$13),15-13*ORÇAMENTO!$AF$7)*OFFSET(ORÇAMENTO!$W$15,ROW(AD59)-ROW(AD$15),0),15-13*ORÇAMENTO!$AF$11)),0)</f>
        <v>0</v>
      </c>
      <c r="AE59" s="542">
        <f ca="1">IF(AND($D59="Serviço",AE$12&lt;&gt;0,$H59&gt;0,OR(AUTOEVENTO&lt;&gt;"manual",$M59&lt;&gt;1)),
IF(Import.TipoArredondamento&lt;&gt;"TransfereGOV",
ROUND(OFFSET($P59,0,AE$13),15-13*ORÇAMENTO!$AF$7)/$H59*OFFSET(ORÇAMENTO!$X$15,ROW(AE59)-ROW(AE$15),0),
ROUND(ROUND(OFFSET($P59,0,AE$13),15-13*ORÇAMENTO!$AF$7)*OFFSET(ORÇAMENTO!$W$15,ROW(AE59)-ROW(AE$15),0),15-13*ORÇAMENTO!$AF$11)),0)</f>
        <v>0</v>
      </c>
      <c r="AF59" s="542">
        <f ca="1">IF(AND($D59="Serviço",AF$12&lt;&gt;0,$H59&gt;0,OR(AUTOEVENTO&lt;&gt;"manual",$M59&lt;&gt;1)),
IF(Import.TipoArredondamento&lt;&gt;"TransfereGOV",
ROUND(OFFSET($P59,0,AF$13),15-13*ORÇAMENTO!$AF$7)/$H59*OFFSET(ORÇAMENTO!$X$15,ROW(AF59)-ROW(AF$15),0),
ROUND(ROUND(OFFSET($P59,0,AF$13),15-13*ORÇAMENTO!$AF$7)*OFFSET(ORÇAMENTO!$W$15,ROW(AF59)-ROW(AF$15),0),15-13*ORÇAMENTO!$AF$11)),0)</f>
        <v>0</v>
      </c>
      <c r="AG59" s="542">
        <f ca="1">IF(AND($D59="Serviço",AG$12&lt;&gt;0,$H59&gt;0,OR(AUTOEVENTO&lt;&gt;"manual",$M59&lt;&gt;1)),
IF(Import.TipoArredondamento&lt;&gt;"TransfereGOV",
ROUND(OFFSET($P59,0,AG$13),15-13*ORÇAMENTO!$AF$7)/$H59*OFFSET(ORÇAMENTO!$X$15,ROW(AG59)-ROW(AG$15),0),
ROUND(ROUND(OFFSET($P59,0,AG$13),15-13*ORÇAMENTO!$AF$7)*OFFSET(ORÇAMENTO!$W$15,ROW(AG59)-ROW(AG$15),0),15-13*ORÇAMENTO!$AF$11)),0)</f>
        <v>0</v>
      </c>
      <c r="AH59" s="542">
        <f ca="1">IF(AND($D59="Serviço",AH$12&lt;&gt;0,$H59&gt;0,OR(AUTOEVENTO&lt;&gt;"manual",$M59&lt;&gt;1)),
IF(Import.TipoArredondamento&lt;&gt;"TransfereGOV",
ROUND(OFFSET($P59,0,AH$13),15-13*ORÇAMENTO!$AF$7)/$H59*OFFSET(ORÇAMENTO!$X$15,ROW(AH59)-ROW(AH$15),0),
ROUND(ROUND(OFFSET($P59,0,AH$13),15-13*ORÇAMENTO!$AF$7)*OFFSET(ORÇAMENTO!$W$15,ROW(AH59)-ROW(AH$15),0),15-13*ORÇAMENTO!$AF$11)),0)</f>
        <v>0</v>
      </c>
      <c r="AI59" s="542">
        <f ca="1">IF(AND($D59="Serviço",AI$12&lt;&gt;0,$H59&gt;0,OR(AUTOEVENTO&lt;&gt;"manual",$M59&lt;&gt;1)),
IF(Import.TipoArredondamento&lt;&gt;"TransfereGOV",
ROUND(OFFSET($P59,0,AI$13),15-13*ORÇAMENTO!$AF$7)/$H59*OFFSET(ORÇAMENTO!$X$15,ROW(AI59)-ROW(AI$15),0),
ROUND(ROUND(OFFSET($P59,0,AI$13),15-13*ORÇAMENTO!$AF$7)*OFFSET(ORÇAMENTO!$W$15,ROW(AI59)-ROW(AI$15),0),15-13*ORÇAMENTO!$AF$11)),0)</f>
        <v>0</v>
      </c>
      <c r="AJ59" s="542">
        <f ca="1">IF(AND($D59="Serviço",AJ$12&lt;&gt;0,$H59&gt;0,OR(AUTOEVENTO&lt;&gt;"manual",$M59&lt;&gt;1)),
IF(Import.TipoArredondamento&lt;&gt;"TransfereGOV",
ROUND(OFFSET($P59,0,AJ$13),15-13*ORÇAMENTO!$AF$7)/$H59*OFFSET(ORÇAMENTO!$X$15,ROW(AJ59)-ROW(AJ$15),0),
ROUND(ROUND(OFFSET($P59,0,AJ$13),15-13*ORÇAMENTO!$AF$7)*OFFSET(ORÇAMENTO!$W$15,ROW(AJ59)-ROW(AJ$15),0),15-13*ORÇAMENTO!$AF$11)),0)</f>
        <v>0</v>
      </c>
      <c r="AK59" s="543">
        <f ca="1">IF(AND($D59="Serviço",AK$12&lt;&gt;0,$H59&gt;0,OR(AUTOEVENTO&lt;&gt;"manual",$M59&lt;&gt;1)),
IF(Import.TipoArredondamento&lt;&gt;"TransfereGOV",
ROUND(OFFSET($P59,0,AK$13),15-13*ORÇAMENTO!$AF$7)/$H59*OFFSET(ORÇAMENTO!$X$15,ROW(AK59)-ROW(AK$15),0),
ROUND(ROUND(OFFSET($P59,0,AK$13),15-13*ORÇAMENTO!$AF$7)*OFFSET(ORÇAMENTO!$W$15,ROW(AK59)-ROW(AK$15),0),15-13*ORÇAMENTO!$AF$11)),0)</f>
        <v>0</v>
      </c>
      <c r="AM59" s="178">
        <f ca="1">IF($D59&lt;&gt;"Serviço",0,IF(AND(AUTOEVENTO="Manual",$M59=1),0,IF(OFFSET(CRONOPLE!$F$14,$M59,AM$13)="",10^12,OFFSET(CRONOPLE!$F$14,$M59,AM$13))))</f>
        <v>1000000000000</v>
      </c>
      <c r="AN59" s="178">
        <f ca="1">IF($D59&lt;&gt;"Serviço",0,IF(AND(AUTOEVENTO="Manual",$M59=1),0,IF(OFFSET(CRONOPLE!$F$14,$M59,AN$13)="",10^12,OFFSET(CRONOPLE!$F$14,$M59,AN$13))))</f>
        <v>1000000000000</v>
      </c>
      <c r="AO59" s="178">
        <f ca="1">IF($D59&lt;&gt;"Serviço",0,IF(AND(AUTOEVENTO="Manual",$M59=1),0,IF(OFFSET(CRONOPLE!$F$14,$M59,AO$13)="",10^12,OFFSET(CRONOPLE!$F$14,$M59,AO$13))))</f>
        <v>1000000000000</v>
      </c>
      <c r="AP59" s="178">
        <f ca="1">IF($D59&lt;&gt;"Serviço",0,IF(AND(AUTOEVENTO="Manual",$M59=1),0,IF(OFFSET(CRONOPLE!$F$14,$M59,AP$13)="",10^12,OFFSET(CRONOPLE!$F$14,$M59,AP$13))))</f>
        <v>1000000000000</v>
      </c>
      <c r="AQ59" s="178">
        <f ca="1">IF($D59&lt;&gt;"Serviço",0,IF(AND(AUTOEVENTO="Manual",$M59=1),0,IF(OFFSET(CRONOPLE!$F$14,$M59,AQ$13)="",10^12,OFFSET(CRONOPLE!$F$14,$M59,AQ$13))))</f>
        <v>1000000000000</v>
      </c>
      <c r="AR59" s="178">
        <f ca="1">IF($D59&lt;&gt;"Serviço",0,IF(AND(AUTOEVENTO="Manual",$M59=1),0,IF(OFFSET(CRONOPLE!$F$14,$M59,AR$13)="",10^12,OFFSET(CRONOPLE!$F$14,$M59,AR$13))))</f>
        <v>1000000000000</v>
      </c>
      <c r="AS59" s="178">
        <f ca="1">IF($D59&lt;&gt;"Serviço",0,IF(AND(AUTOEVENTO="Manual",$M59=1),0,IF(OFFSET(CRONOPLE!$F$14,$M59,AS$13)="",10^12,OFFSET(CRONOPLE!$F$14,$M59,AS$13))))</f>
        <v>1000000000000</v>
      </c>
      <c r="AT59" s="178">
        <f ca="1">IF($D59&lt;&gt;"Serviço",0,IF(AND(AUTOEVENTO="Manual",$M59=1),0,IF(OFFSET(CRONOPLE!$F$14,$M59,AT$13)="",10^12,OFFSET(CRONOPLE!$F$14,$M59,AT$13))))</f>
        <v>1000000000000</v>
      </c>
      <c r="AU59" s="178">
        <f ca="1">IF($D59&lt;&gt;"Serviço",0,IF(AND(AUTOEVENTO="Manual",$M59=1),0,IF(OFFSET(CRONOPLE!$F$14,$M59,AU$13)="",10^12,OFFSET(CRONOPLE!$F$14,$M59,AU$13))))</f>
        <v>1000000000000</v>
      </c>
      <c r="AV59" s="178">
        <f ca="1">IF($D59&lt;&gt;"Serviço",0,IF(AND(AUTOEVENTO="Manual",$M59=1),0,IF(OFFSET(CRONOPLE!$F$14,$M59,AV$13)="",10^12,OFFSET(CRONOPLE!$F$14,$M59,AV$13))))</f>
        <v>1000000000000</v>
      </c>
      <c r="AX59" s="179">
        <f ca="1">IF($D59&lt;&gt;"Serviço",0,IF(OR(AND(AUTOEVENTO="Manual",$M59=1),$M59&gt;(ROW(PLE.lastrow)-ROW(PLE.firstrow))),0,IF(OFFSET(PLE!$G$14,$M59,AX$13)="",10^12,OFFSET(PLE!$G$14,$M59,AX$13))))</f>
        <v>1000000000000</v>
      </c>
      <c r="AY59" s="179">
        <f ca="1">IF($D59&lt;&gt;"Serviço",0,IF(OR(AND(AUTOEVENTO="Manual",$M59=1),$M59&gt;(ROW(PLE.lastrow)-ROW(PLE.firstrow))),0,IF(OFFSET(PLE!$G$14,$M59,AY$13)="",10^12,OFFSET(PLE!$G$14,$M59,AY$13))))</f>
        <v>1000000000000</v>
      </c>
      <c r="AZ59" s="179">
        <f ca="1">IF($D59&lt;&gt;"Serviço",0,IF(OR(AND(AUTOEVENTO="Manual",$M59=1),$M59&gt;(ROW(PLE.lastrow)-ROW(PLE.firstrow))),0,IF(OFFSET(PLE!$G$14,$M59,AZ$13)="",10^12,OFFSET(PLE!$G$14,$M59,AZ$13))))</f>
        <v>1000000000000</v>
      </c>
      <c r="BA59" s="179">
        <f ca="1">IF($D59&lt;&gt;"Serviço",0,IF(OR(AND(AUTOEVENTO="Manual",$M59=1),$M59&gt;(ROW(PLE.lastrow)-ROW(PLE.firstrow))),0,IF(OFFSET(PLE!$G$14,$M59,BA$13)="",10^12,OFFSET(PLE!$G$14,$M59,BA$13))))</f>
        <v>1000000000000</v>
      </c>
      <c r="BB59" s="179">
        <f ca="1">IF($D59&lt;&gt;"Serviço",0,IF(OR(AND(AUTOEVENTO="Manual",$M59=1),$M59&gt;(ROW(PLE.lastrow)-ROW(PLE.firstrow))),0,IF(OFFSET(PLE!$G$14,$M59,BB$13)="",10^12,OFFSET(PLE!$G$14,$M59,BB$13))))</f>
        <v>1000000000000</v>
      </c>
      <c r="BC59" s="179">
        <f ca="1">IF($D59&lt;&gt;"Serviço",0,IF(OR(AND(AUTOEVENTO="Manual",$M59=1),$M59&gt;(ROW(PLE.lastrow)-ROW(PLE.firstrow))),0,IF(OFFSET(PLE!$G$14,$M59,BC$13)="",10^12,OFFSET(PLE!$G$14,$M59,BC$13))))</f>
        <v>1000000000000</v>
      </c>
      <c r="BD59" s="179">
        <f ca="1">IF($D59&lt;&gt;"Serviço",0,IF(OR(AND(AUTOEVENTO="Manual",$M59=1),$M59&gt;(ROW(PLE.lastrow)-ROW(PLE.firstrow))),0,IF(OFFSET(PLE!$G$14,$M59,BD$13)="",10^12,OFFSET(PLE!$G$14,$M59,BD$13))))</f>
        <v>1000000000000</v>
      </c>
      <c r="BE59" s="179">
        <f ca="1">IF($D59&lt;&gt;"Serviço",0,IF(OR(AND(AUTOEVENTO="Manual",$M59=1),$M59&gt;(ROW(PLE.lastrow)-ROW(PLE.firstrow))),0,IF(OFFSET(PLE!$G$14,$M59,BE$13)="",10^12,OFFSET(PLE!$G$14,$M59,BE$13))))</f>
        <v>1000000000000</v>
      </c>
      <c r="BF59" s="179">
        <f ca="1">IF($D59&lt;&gt;"Serviço",0,IF(OR(AND(AUTOEVENTO="Manual",$M59=1),$M59&gt;(ROW(PLE.lastrow)-ROW(PLE.firstrow))),0,IF(OFFSET(PLE!$G$14,$M59,BF$13)="",10^12,OFFSET(PLE!$G$14,$M59,BF$13))))</f>
        <v>1000000000000</v>
      </c>
      <c r="BG59" s="179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25.5" x14ac:dyDescent="0.2">
      <c r="A60" s="7" t="str">
        <f t="shared" ca="1" si="8"/>
        <v>42</v>
      </c>
      <c r="B60" s="7" t="str">
        <f ca="1">OFFSET(ORÇAMENTO!C$15,ROW(B60)-ROW(B$15),0)</f>
        <v>S</v>
      </c>
      <c r="C60" s="7" t="str">
        <f ca="1">OFFSET(ORÇAMENTO!L$15,ROW(C60)-ROW(C$15),0)</f>
        <v/>
      </c>
      <c r="D60" s="115" t="str">
        <f ca="1">OFFSET(ORÇAMENTO!N$15,ROW(D60)-ROW(D$15),0)</f>
        <v>Serviço</v>
      </c>
      <c r="E60" s="116" t="str">
        <f ca="1">OFFSET(ORÇAMENTO!O$15,ROW(E60)-ROW(E$15),0)</f>
        <v>-</v>
      </c>
      <c r="F60" s="169" t="str">
        <f ca="1">OFFSET(ORÇAMENTO!R$15,ROW(F60)-ROW(F$15),0)</f>
        <v>(abra o arquivo 'Referência 10-2024.xlsm)</v>
      </c>
      <c r="G60" s="170" t="str">
        <f ca="1">IF($D60&lt;&gt;"Serviço","",OFFSET(ORÇAMENTO!S$15,ROW(G60)-ROW(G$15),0))</f>
        <v>-</v>
      </c>
      <c r="H60" s="121">
        <f ca="1">IF($D60&lt;&gt;"Serviço",0,IF(ACOMPANHAMENTO="BM",ROUND(OFFSET(ORÇAMENTO!AJ$15,ROW(H60)-ROW(H$15),0),15-13*ORÇAMENTO!$AF$7),SUMPRODUCT(($Q$12:$AA$12&lt;&gt;"")*ROUND($Q60:$AA60,15-13*ORÇAMENTO!$AF$7))))</f>
        <v>118.44</v>
      </c>
      <c r="I60" s="558" t="s">
        <v>561</v>
      </c>
      <c r="K60" s="171"/>
      <c r="L60" s="172" t="s">
        <v>255</v>
      </c>
      <c r="M60" s="173">
        <f ca="1">IF($D60&lt;&gt;"Serviço","",IF(AUTOEVENTO="manual",$A60,IF(ISERROR(MATCH($A60,$A$15:OFFSET($A60,-1,0),0)),MAX($M$15:OFFSET(M60,-1,0))+1,INDEX($M$15:OFFSET(M60,-1,0),MATCH($A60,$A$15:OFFSET($A60,-1,0),0)))))</f>
        <v>8</v>
      </c>
      <c r="N60" s="174" t="str">
        <f ca="1">IF($D60&lt;&gt;"Serviço","",IF(AUTOEVENTO="Manual",IF($A60=0,"&lt;-- defina o número do agrupador",OFFSET(EVENTOS!$D$14,$A60,0)),OFFSET($F$15,$A60,0)))</f>
        <v>REVESTIMENTOS DE FACHADA</v>
      </c>
      <c r="O60" s="175"/>
      <c r="Q60" s="175"/>
      <c r="R60" s="176"/>
      <c r="S60" s="176"/>
      <c r="T60" s="176"/>
      <c r="U60" s="176"/>
      <c r="V60" s="176"/>
      <c r="W60" s="176"/>
      <c r="X60" s="176"/>
      <c r="Y60" s="176"/>
      <c r="Z60" s="177"/>
      <c r="AB60" s="541">
        <f ca="1">IF(AND($D60="Serviço",AB$12&lt;&gt;0,$H60&gt;0,OR(AUTOEVENTO&lt;&gt;"manual",$M60&lt;&gt;1)),
IF(Import.TipoArredondamento&lt;&gt;"TransfereGOV",
ROUND(OFFSET($P60,0,AB$13),15-13*ORÇAMENTO!$AF$7)/$H60*OFFSET(ORÇAMENTO!$X$15,ROW(AB60)-ROW(AB$15),0),
ROUND(ROUND(OFFSET($P60,0,AB$13),15-13*ORÇAMENTO!$AF$7)*OFFSET(ORÇAMENTO!$W$15,ROW(AB60)-ROW(AB$15),0),15-13*ORÇAMENTO!$AF$11)),0)</f>
        <v>0</v>
      </c>
      <c r="AC60" s="542">
        <f ca="1">IF(AND($D60="Serviço",AC$12&lt;&gt;0,$H60&gt;0,OR(AUTOEVENTO&lt;&gt;"manual",$M60&lt;&gt;1)),
IF(Import.TipoArredondamento&lt;&gt;"TransfereGOV",
ROUND(OFFSET($P60,0,AC$13),15-13*ORÇAMENTO!$AF$7)/$H60*OFFSET(ORÇAMENTO!$X$15,ROW(AC60)-ROW(AC$15),0),
ROUND(ROUND(OFFSET($P60,0,AC$13),15-13*ORÇAMENTO!$AF$7)*OFFSET(ORÇAMENTO!$W$15,ROW(AC60)-ROW(AC$15),0),15-13*ORÇAMENTO!$AF$11)),0)</f>
        <v>0</v>
      </c>
      <c r="AD60" s="542">
        <f ca="1">IF(AND($D60="Serviço",AD$12&lt;&gt;0,$H60&gt;0,OR(AUTOEVENTO&lt;&gt;"manual",$M60&lt;&gt;1)),
IF(Import.TipoArredondamento&lt;&gt;"TransfereGOV",
ROUND(OFFSET($P60,0,AD$13),15-13*ORÇAMENTO!$AF$7)/$H60*OFFSET(ORÇAMENTO!$X$15,ROW(AD60)-ROW(AD$15),0),
ROUND(ROUND(OFFSET($P60,0,AD$13),15-13*ORÇAMENTO!$AF$7)*OFFSET(ORÇAMENTO!$W$15,ROW(AD60)-ROW(AD$15),0),15-13*ORÇAMENTO!$AF$11)),0)</f>
        <v>0</v>
      </c>
      <c r="AE60" s="542">
        <f ca="1">IF(AND($D60="Serviço",AE$12&lt;&gt;0,$H60&gt;0,OR(AUTOEVENTO&lt;&gt;"manual",$M60&lt;&gt;1)),
IF(Import.TipoArredondamento&lt;&gt;"TransfereGOV",
ROUND(OFFSET($P60,0,AE$13),15-13*ORÇAMENTO!$AF$7)/$H60*OFFSET(ORÇAMENTO!$X$15,ROW(AE60)-ROW(AE$15),0),
ROUND(ROUND(OFFSET($P60,0,AE$13),15-13*ORÇAMENTO!$AF$7)*OFFSET(ORÇAMENTO!$W$15,ROW(AE60)-ROW(AE$15),0),15-13*ORÇAMENTO!$AF$11)),0)</f>
        <v>0</v>
      </c>
      <c r="AF60" s="542">
        <f ca="1">IF(AND($D60="Serviço",AF$12&lt;&gt;0,$H60&gt;0,OR(AUTOEVENTO&lt;&gt;"manual",$M60&lt;&gt;1)),
IF(Import.TipoArredondamento&lt;&gt;"TransfereGOV",
ROUND(OFFSET($P60,0,AF$13),15-13*ORÇAMENTO!$AF$7)/$H60*OFFSET(ORÇAMENTO!$X$15,ROW(AF60)-ROW(AF$15),0),
ROUND(ROUND(OFFSET($P60,0,AF$13),15-13*ORÇAMENTO!$AF$7)*OFFSET(ORÇAMENTO!$W$15,ROW(AF60)-ROW(AF$15),0),15-13*ORÇAMENTO!$AF$11)),0)</f>
        <v>0</v>
      </c>
      <c r="AG60" s="542">
        <f ca="1">IF(AND($D60="Serviço",AG$12&lt;&gt;0,$H60&gt;0,OR(AUTOEVENTO&lt;&gt;"manual",$M60&lt;&gt;1)),
IF(Import.TipoArredondamento&lt;&gt;"TransfereGOV",
ROUND(OFFSET($P60,0,AG$13),15-13*ORÇAMENTO!$AF$7)/$H60*OFFSET(ORÇAMENTO!$X$15,ROW(AG60)-ROW(AG$15),0),
ROUND(ROUND(OFFSET($P60,0,AG$13),15-13*ORÇAMENTO!$AF$7)*OFFSET(ORÇAMENTO!$W$15,ROW(AG60)-ROW(AG$15),0),15-13*ORÇAMENTO!$AF$11)),0)</f>
        <v>0</v>
      </c>
      <c r="AH60" s="542">
        <f ca="1">IF(AND($D60="Serviço",AH$12&lt;&gt;0,$H60&gt;0,OR(AUTOEVENTO&lt;&gt;"manual",$M60&lt;&gt;1)),
IF(Import.TipoArredondamento&lt;&gt;"TransfereGOV",
ROUND(OFFSET($P60,0,AH$13),15-13*ORÇAMENTO!$AF$7)/$H60*OFFSET(ORÇAMENTO!$X$15,ROW(AH60)-ROW(AH$15),0),
ROUND(ROUND(OFFSET($P60,0,AH$13),15-13*ORÇAMENTO!$AF$7)*OFFSET(ORÇAMENTO!$W$15,ROW(AH60)-ROW(AH$15),0),15-13*ORÇAMENTO!$AF$11)),0)</f>
        <v>0</v>
      </c>
      <c r="AI60" s="542">
        <f ca="1">IF(AND($D60="Serviço",AI$12&lt;&gt;0,$H60&gt;0,OR(AUTOEVENTO&lt;&gt;"manual",$M60&lt;&gt;1)),
IF(Import.TipoArredondamento&lt;&gt;"TransfereGOV",
ROUND(OFFSET($P60,0,AI$13),15-13*ORÇAMENTO!$AF$7)/$H60*OFFSET(ORÇAMENTO!$X$15,ROW(AI60)-ROW(AI$15),0),
ROUND(ROUND(OFFSET($P60,0,AI$13),15-13*ORÇAMENTO!$AF$7)*OFFSET(ORÇAMENTO!$W$15,ROW(AI60)-ROW(AI$15),0),15-13*ORÇAMENTO!$AF$11)),0)</f>
        <v>0</v>
      </c>
      <c r="AJ60" s="542">
        <f ca="1">IF(AND($D60="Serviço",AJ$12&lt;&gt;0,$H60&gt;0,OR(AUTOEVENTO&lt;&gt;"manual",$M60&lt;&gt;1)),
IF(Import.TipoArredondamento&lt;&gt;"TransfereGOV",
ROUND(OFFSET($P60,0,AJ$13),15-13*ORÇAMENTO!$AF$7)/$H60*OFFSET(ORÇAMENTO!$X$15,ROW(AJ60)-ROW(AJ$15),0),
ROUND(ROUND(OFFSET($P60,0,AJ$13),15-13*ORÇAMENTO!$AF$7)*OFFSET(ORÇAMENTO!$W$15,ROW(AJ60)-ROW(AJ$15),0),15-13*ORÇAMENTO!$AF$11)),0)</f>
        <v>0</v>
      </c>
      <c r="AK60" s="543">
        <f ca="1">IF(AND($D60="Serviço",AK$12&lt;&gt;0,$H60&gt;0,OR(AUTOEVENTO&lt;&gt;"manual",$M60&lt;&gt;1)),
IF(Import.TipoArredondamento&lt;&gt;"TransfereGOV",
ROUND(OFFSET($P60,0,AK$13),15-13*ORÇAMENTO!$AF$7)/$H60*OFFSET(ORÇAMENTO!$X$15,ROW(AK60)-ROW(AK$15),0),
ROUND(ROUND(OFFSET($P60,0,AK$13),15-13*ORÇAMENTO!$AF$7)*OFFSET(ORÇAMENTO!$W$15,ROW(AK60)-ROW(AK$15),0),15-13*ORÇAMENTO!$AF$11)),0)</f>
        <v>0</v>
      </c>
      <c r="AM60" s="178">
        <f ca="1">IF($D60&lt;&gt;"Serviço",0,IF(AND(AUTOEVENTO="Manual",$M60=1),0,IF(OFFSET(CRONOPLE!$F$14,$M60,AM$13)="",10^12,OFFSET(CRONOPLE!$F$14,$M60,AM$13))))</f>
        <v>1000000000000</v>
      </c>
      <c r="AN60" s="178">
        <f ca="1">IF($D60&lt;&gt;"Serviço",0,IF(AND(AUTOEVENTO="Manual",$M60=1),0,IF(OFFSET(CRONOPLE!$F$14,$M60,AN$13)="",10^12,OFFSET(CRONOPLE!$F$14,$M60,AN$13))))</f>
        <v>1000000000000</v>
      </c>
      <c r="AO60" s="178">
        <f ca="1">IF($D60&lt;&gt;"Serviço",0,IF(AND(AUTOEVENTO="Manual",$M60=1),0,IF(OFFSET(CRONOPLE!$F$14,$M60,AO$13)="",10^12,OFFSET(CRONOPLE!$F$14,$M60,AO$13))))</f>
        <v>1000000000000</v>
      </c>
      <c r="AP60" s="178">
        <f ca="1">IF($D60&lt;&gt;"Serviço",0,IF(AND(AUTOEVENTO="Manual",$M60=1),0,IF(OFFSET(CRONOPLE!$F$14,$M60,AP$13)="",10^12,OFFSET(CRONOPLE!$F$14,$M60,AP$13))))</f>
        <v>1000000000000</v>
      </c>
      <c r="AQ60" s="178">
        <f ca="1">IF($D60&lt;&gt;"Serviço",0,IF(AND(AUTOEVENTO="Manual",$M60=1),0,IF(OFFSET(CRONOPLE!$F$14,$M60,AQ$13)="",10^12,OFFSET(CRONOPLE!$F$14,$M60,AQ$13))))</f>
        <v>1000000000000</v>
      </c>
      <c r="AR60" s="178">
        <f ca="1">IF($D60&lt;&gt;"Serviço",0,IF(AND(AUTOEVENTO="Manual",$M60=1),0,IF(OFFSET(CRONOPLE!$F$14,$M60,AR$13)="",10^12,OFFSET(CRONOPLE!$F$14,$M60,AR$13))))</f>
        <v>1000000000000</v>
      </c>
      <c r="AS60" s="178">
        <f ca="1">IF($D60&lt;&gt;"Serviço",0,IF(AND(AUTOEVENTO="Manual",$M60=1),0,IF(OFFSET(CRONOPLE!$F$14,$M60,AS$13)="",10^12,OFFSET(CRONOPLE!$F$14,$M60,AS$13))))</f>
        <v>1000000000000</v>
      </c>
      <c r="AT60" s="178">
        <f ca="1">IF($D60&lt;&gt;"Serviço",0,IF(AND(AUTOEVENTO="Manual",$M60=1),0,IF(OFFSET(CRONOPLE!$F$14,$M60,AT$13)="",10^12,OFFSET(CRONOPLE!$F$14,$M60,AT$13))))</f>
        <v>1000000000000</v>
      </c>
      <c r="AU60" s="178">
        <f ca="1">IF($D60&lt;&gt;"Serviço",0,IF(AND(AUTOEVENTO="Manual",$M60=1),0,IF(OFFSET(CRONOPLE!$F$14,$M60,AU$13)="",10^12,OFFSET(CRONOPLE!$F$14,$M60,AU$13))))</f>
        <v>1000000000000</v>
      </c>
      <c r="AV60" s="178">
        <f ca="1">IF($D60&lt;&gt;"Serviço",0,IF(AND(AUTOEVENTO="Manual",$M60=1),0,IF(OFFSET(CRONOPLE!$F$14,$M60,AV$13)="",10^12,OFFSET(CRONOPLE!$F$14,$M60,AV$13))))</f>
        <v>1000000000000</v>
      </c>
      <c r="AX60" s="179">
        <f ca="1">IF($D60&lt;&gt;"Serviço",0,IF(OR(AND(AUTOEVENTO="Manual",$M60=1),$M60&gt;(ROW(PLE.lastrow)-ROW(PLE.firstrow))),0,IF(OFFSET(PLE!$G$14,$M60,AX$13)="",10^12,OFFSET(PLE!$G$14,$M60,AX$13))))</f>
        <v>1000000000000</v>
      </c>
      <c r="AY60" s="179">
        <f ca="1">IF($D60&lt;&gt;"Serviço",0,IF(OR(AND(AUTOEVENTO="Manual",$M60=1),$M60&gt;(ROW(PLE.lastrow)-ROW(PLE.firstrow))),0,IF(OFFSET(PLE!$G$14,$M60,AY$13)="",10^12,OFFSET(PLE!$G$14,$M60,AY$13))))</f>
        <v>1000000000000</v>
      </c>
      <c r="AZ60" s="179">
        <f ca="1">IF($D60&lt;&gt;"Serviço",0,IF(OR(AND(AUTOEVENTO="Manual",$M60=1),$M60&gt;(ROW(PLE.lastrow)-ROW(PLE.firstrow))),0,IF(OFFSET(PLE!$G$14,$M60,AZ$13)="",10^12,OFFSET(PLE!$G$14,$M60,AZ$13))))</f>
        <v>1000000000000</v>
      </c>
      <c r="BA60" s="179">
        <f ca="1">IF($D60&lt;&gt;"Serviço",0,IF(OR(AND(AUTOEVENTO="Manual",$M60=1),$M60&gt;(ROW(PLE.lastrow)-ROW(PLE.firstrow))),0,IF(OFFSET(PLE!$G$14,$M60,BA$13)="",10^12,OFFSET(PLE!$G$14,$M60,BA$13))))</f>
        <v>1000000000000</v>
      </c>
      <c r="BB60" s="179">
        <f ca="1">IF($D60&lt;&gt;"Serviço",0,IF(OR(AND(AUTOEVENTO="Manual",$M60=1),$M60&gt;(ROW(PLE.lastrow)-ROW(PLE.firstrow))),0,IF(OFFSET(PLE!$G$14,$M60,BB$13)="",10^12,OFFSET(PLE!$G$14,$M60,BB$13))))</f>
        <v>1000000000000</v>
      </c>
      <c r="BC60" s="179">
        <f ca="1">IF($D60&lt;&gt;"Serviço",0,IF(OR(AND(AUTOEVENTO="Manual",$M60=1),$M60&gt;(ROW(PLE.lastrow)-ROW(PLE.firstrow))),0,IF(OFFSET(PLE!$G$14,$M60,BC$13)="",10^12,OFFSET(PLE!$G$14,$M60,BC$13))))</f>
        <v>1000000000000</v>
      </c>
      <c r="BD60" s="179">
        <f ca="1">IF($D60&lt;&gt;"Serviço",0,IF(OR(AND(AUTOEVENTO="Manual",$M60=1),$M60&gt;(ROW(PLE.lastrow)-ROW(PLE.firstrow))),0,IF(OFFSET(PLE!$G$14,$M60,BD$13)="",10^12,OFFSET(PLE!$G$14,$M60,BD$13))))</f>
        <v>1000000000000</v>
      </c>
      <c r="BE60" s="179">
        <f ca="1">IF($D60&lt;&gt;"Serviço",0,IF(OR(AND(AUTOEVENTO="Manual",$M60=1),$M60&gt;(ROW(PLE.lastrow)-ROW(PLE.firstrow))),0,IF(OFFSET(PLE!$G$14,$M60,BE$13)="",10^12,OFFSET(PLE!$G$14,$M60,BE$13))))</f>
        <v>1000000000000</v>
      </c>
      <c r="BF60" s="179">
        <f ca="1">IF($D60&lt;&gt;"Serviço",0,IF(OR(AND(AUTOEVENTO="Manual",$M60=1),$M60&gt;(ROW(PLE.lastrow)-ROW(PLE.firstrow))),0,IF(OFFSET(PLE!$G$14,$M60,BF$13)="",10^12,OFFSET(PLE!$G$14,$M60,BF$13))))</f>
        <v>1000000000000</v>
      </c>
      <c r="BG60" s="179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7" t="str">
        <f t="shared" ca="1" si="8"/>
        <v>46.</v>
      </c>
      <c r="B61" s="7">
        <f ca="1">OFFSET(ORÇAMENTO!C$15,ROW(B61)-ROW(B$15),0)</f>
        <v>2</v>
      </c>
      <c r="C61" s="7" t="str">
        <f ca="1">OFFSET(ORÇAMENTO!L$15,ROW(C61)-ROW(C$15),0)</f>
        <v>F</v>
      </c>
      <c r="D61" s="115" t="str">
        <f ca="1">OFFSET(ORÇAMENTO!N$15,ROW(D61)-ROW(D$15),0)</f>
        <v>Nível 2</v>
      </c>
      <c r="E61" s="116" t="str">
        <f ca="1">OFFSET(ORÇAMENTO!O$15,ROW(E61)-ROW(E$15),0)</f>
        <v>1.8.</v>
      </c>
      <c r="F61" s="169" t="str">
        <f ca="1">OFFSET(ORÇAMENTO!R$15,ROW(F61)-ROW(F$15),0)</f>
        <v>REVESTIMENTOS DE PAREDES INTERNAS</v>
      </c>
      <c r="G61" s="170" t="str">
        <f ca="1">IF($D61&lt;&gt;"Serviço","",OFFSET(ORÇAMENTO!S$15,ROW(G61)-ROW(G$15),0))</f>
        <v/>
      </c>
      <c r="H61" s="121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558"/>
      <c r="K61" s="171"/>
      <c r="L61" s="172" t="s">
        <v>255</v>
      </c>
      <c r="M61" s="173" t="str">
        <f ca="1">IF($D61&lt;&gt;"Serviço","",IF(AUTOEVENTO="manual",$A61,IF(ISERROR(MATCH($A61,$A$15:OFFSET($A61,-1,0),0)),MAX($M$15:OFFSET(M61,-1,0))+1,INDEX($M$15:OFFSET(M61,-1,0),MATCH($A61,$A$15:OFFSET($A61,-1,0),0)))))</f>
        <v/>
      </c>
      <c r="N61" s="174" t="str">
        <f ca="1">IF($D61&lt;&gt;"Serviço","",IF(AUTOEVENTO="Manual",IF($A61=0,"&lt;-- defina o número do agrupador",OFFSET(EVENTOS!$D$14,$A61,0)),OFFSET($F$15,$A61,0)))</f>
        <v/>
      </c>
      <c r="O61" s="175"/>
      <c r="Q61" s="175"/>
      <c r="R61" s="176"/>
      <c r="S61" s="176"/>
      <c r="T61" s="176"/>
      <c r="U61" s="176"/>
      <c r="V61" s="176"/>
      <c r="W61" s="176"/>
      <c r="X61" s="176"/>
      <c r="Y61" s="176"/>
      <c r="Z61" s="177"/>
      <c r="AB61" s="541">
        <f ca="1">IF(AND($D61="Serviço",AB$12&lt;&gt;0,$H61&gt;0,OR(AUTOEVENTO&lt;&gt;"manual",$M61&lt;&gt;1)),
IF(Import.TipoArredondamento&lt;&gt;"TransfereGOV",
ROUND(OFFSET($P61,0,AB$13),15-13*ORÇAMENTO!$AF$7)/$H61*OFFSET(ORÇAMENTO!$X$15,ROW(AB61)-ROW(AB$15),0),
ROUND(ROUND(OFFSET($P61,0,AB$13),15-13*ORÇAMENTO!$AF$7)*OFFSET(ORÇAMENTO!$W$15,ROW(AB61)-ROW(AB$15),0),15-13*ORÇAMENTO!$AF$11)),0)</f>
        <v>0</v>
      </c>
      <c r="AC61" s="542">
        <f ca="1">IF(AND($D61="Serviço",AC$12&lt;&gt;0,$H61&gt;0,OR(AUTOEVENTO&lt;&gt;"manual",$M61&lt;&gt;1)),
IF(Import.TipoArredondamento&lt;&gt;"TransfereGOV",
ROUND(OFFSET($P61,0,AC$13),15-13*ORÇAMENTO!$AF$7)/$H61*OFFSET(ORÇAMENTO!$X$15,ROW(AC61)-ROW(AC$15),0),
ROUND(ROUND(OFFSET($P61,0,AC$13),15-13*ORÇAMENTO!$AF$7)*OFFSET(ORÇAMENTO!$W$15,ROW(AC61)-ROW(AC$15),0),15-13*ORÇAMENTO!$AF$11)),0)</f>
        <v>0</v>
      </c>
      <c r="AD61" s="542">
        <f ca="1">IF(AND($D61="Serviço",AD$12&lt;&gt;0,$H61&gt;0,OR(AUTOEVENTO&lt;&gt;"manual",$M61&lt;&gt;1)),
IF(Import.TipoArredondamento&lt;&gt;"TransfereGOV",
ROUND(OFFSET($P61,0,AD$13),15-13*ORÇAMENTO!$AF$7)/$H61*OFFSET(ORÇAMENTO!$X$15,ROW(AD61)-ROW(AD$15),0),
ROUND(ROUND(OFFSET($P61,0,AD$13),15-13*ORÇAMENTO!$AF$7)*OFFSET(ORÇAMENTO!$W$15,ROW(AD61)-ROW(AD$15),0),15-13*ORÇAMENTO!$AF$11)),0)</f>
        <v>0</v>
      </c>
      <c r="AE61" s="542">
        <f ca="1">IF(AND($D61="Serviço",AE$12&lt;&gt;0,$H61&gt;0,OR(AUTOEVENTO&lt;&gt;"manual",$M61&lt;&gt;1)),
IF(Import.TipoArredondamento&lt;&gt;"TransfereGOV",
ROUND(OFFSET($P61,0,AE$13),15-13*ORÇAMENTO!$AF$7)/$H61*OFFSET(ORÇAMENTO!$X$15,ROW(AE61)-ROW(AE$15),0),
ROUND(ROUND(OFFSET($P61,0,AE$13),15-13*ORÇAMENTO!$AF$7)*OFFSET(ORÇAMENTO!$W$15,ROW(AE61)-ROW(AE$15),0),15-13*ORÇAMENTO!$AF$11)),0)</f>
        <v>0</v>
      </c>
      <c r="AF61" s="542">
        <f ca="1">IF(AND($D61="Serviço",AF$12&lt;&gt;0,$H61&gt;0,OR(AUTOEVENTO&lt;&gt;"manual",$M61&lt;&gt;1)),
IF(Import.TipoArredondamento&lt;&gt;"TransfereGOV",
ROUND(OFFSET($P61,0,AF$13),15-13*ORÇAMENTO!$AF$7)/$H61*OFFSET(ORÇAMENTO!$X$15,ROW(AF61)-ROW(AF$15),0),
ROUND(ROUND(OFFSET($P61,0,AF$13),15-13*ORÇAMENTO!$AF$7)*OFFSET(ORÇAMENTO!$W$15,ROW(AF61)-ROW(AF$15),0),15-13*ORÇAMENTO!$AF$11)),0)</f>
        <v>0</v>
      </c>
      <c r="AG61" s="542">
        <f ca="1">IF(AND($D61="Serviço",AG$12&lt;&gt;0,$H61&gt;0,OR(AUTOEVENTO&lt;&gt;"manual",$M61&lt;&gt;1)),
IF(Import.TipoArredondamento&lt;&gt;"TransfereGOV",
ROUND(OFFSET($P61,0,AG$13),15-13*ORÇAMENTO!$AF$7)/$H61*OFFSET(ORÇAMENTO!$X$15,ROW(AG61)-ROW(AG$15),0),
ROUND(ROUND(OFFSET($P61,0,AG$13),15-13*ORÇAMENTO!$AF$7)*OFFSET(ORÇAMENTO!$W$15,ROW(AG61)-ROW(AG$15),0),15-13*ORÇAMENTO!$AF$11)),0)</f>
        <v>0</v>
      </c>
      <c r="AH61" s="542">
        <f ca="1">IF(AND($D61="Serviço",AH$12&lt;&gt;0,$H61&gt;0,OR(AUTOEVENTO&lt;&gt;"manual",$M61&lt;&gt;1)),
IF(Import.TipoArredondamento&lt;&gt;"TransfereGOV",
ROUND(OFFSET($P61,0,AH$13),15-13*ORÇAMENTO!$AF$7)/$H61*OFFSET(ORÇAMENTO!$X$15,ROW(AH61)-ROW(AH$15),0),
ROUND(ROUND(OFFSET($P61,0,AH$13),15-13*ORÇAMENTO!$AF$7)*OFFSET(ORÇAMENTO!$W$15,ROW(AH61)-ROW(AH$15),0),15-13*ORÇAMENTO!$AF$11)),0)</f>
        <v>0</v>
      </c>
      <c r="AI61" s="542">
        <f ca="1">IF(AND($D61="Serviço",AI$12&lt;&gt;0,$H61&gt;0,OR(AUTOEVENTO&lt;&gt;"manual",$M61&lt;&gt;1)),
IF(Import.TipoArredondamento&lt;&gt;"TransfereGOV",
ROUND(OFFSET($P61,0,AI$13),15-13*ORÇAMENTO!$AF$7)/$H61*OFFSET(ORÇAMENTO!$X$15,ROW(AI61)-ROW(AI$15),0),
ROUND(ROUND(OFFSET($P61,0,AI$13),15-13*ORÇAMENTO!$AF$7)*OFFSET(ORÇAMENTO!$W$15,ROW(AI61)-ROW(AI$15),0),15-13*ORÇAMENTO!$AF$11)),0)</f>
        <v>0</v>
      </c>
      <c r="AJ61" s="542">
        <f ca="1">IF(AND($D61="Serviço",AJ$12&lt;&gt;0,$H61&gt;0,OR(AUTOEVENTO&lt;&gt;"manual",$M61&lt;&gt;1)),
IF(Import.TipoArredondamento&lt;&gt;"TransfereGOV",
ROUND(OFFSET($P61,0,AJ$13),15-13*ORÇAMENTO!$AF$7)/$H61*OFFSET(ORÇAMENTO!$X$15,ROW(AJ61)-ROW(AJ$15),0),
ROUND(ROUND(OFFSET($P61,0,AJ$13),15-13*ORÇAMENTO!$AF$7)*OFFSET(ORÇAMENTO!$W$15,ROW(AJ61)-ROW(AJ$15),0),15-13*ORÇAMENTO!$AF$11)),0)</f>
        <v>0</v>
      </c>
      <c r="AK61" s="543">
        <f ca="1">IF(AND($D61="Serviço",AK$12&lt;&gt;0,$H61&gt;0,OR(AUTOEVENTO&lt;&gt;"manual",$M61&lt;&gt;1)),
IF(Import.TipoArredondamento&lt;&gt;"TransfereGOV",
ROUND(OFFSET($P61,0,AK$13),15-13*ORÇAMENTO!$AF$7)/$H61*OFFSET(ORÇAMENTO!$X$15,ROW(AK61)-ROW(AK$15),0),
ROUND(ROUND(OFFSET($P61,0,AK$13),15-13*ORÇAMENTO!$AF$7)*OFFSET(ORÇAMENTO!$W$15,ROW(AK61)-ROW(AK$15),0),15-13*ORÇAMENTO!$AF$11)),0)</f>
        <v>0</v>
      </c>
      <c r="AM61" s="178">
        <f ca="1">IF($D61&lt;&gt;"Serviço",0,IF(AND(AUTOEVENTO="Manual",$M61=1),0,IF(OFFSET(CRONOPLE!$F$14,$M61,AM$13)="",10^12,OFFSET(CRONOPLE!$F$14,$M61,AM$13))))</f>
        <v>0</v>
      </c>
      <c r="AN61" s="178">
        <f ca="1">IF($D61&lt;&gt;"Serviço",0,IF(AND(AUTOEVENTO="Manual",$M61=1),0,IF(OFFSET(CRONOPLE!$F$14,$M61,AN$13)="",10^12,OFFSET(CRONOPLE!$F$14,$M61,AN$13))))</f>
        <v>0</v>
      </c>
      <c r="AO61" s="178">
        <f ca="1">IF($D61&lt;&gt;"Serviço",0,IF(AND(AUTOEVENTO="Manual",$M61=1),0,IF(OFFSET(CRONOPLE!$F$14,$M61,AO$13)="",10^12,OFFSET(CRONOPLE!$F$14,$M61,AO$13))))</f>
        <v>0</v>
      </c>
      <c r="AP61" s="178">
        <f ca="1">IF($D61&lt;&gt;"Serviço",0,IF(AND(AUTOEVENTO="Manual",$M61=1),0,IF(OFFSET(CRONOPLE!$F$14,$M61,AP$13)="",10^12,OFFSET(CRONOPLE!$F$14,$M61,AP$13))))</f>
        <v>0</v>
      </c>
      <c r="AQ61" s="178">
        <f ca="1">IF($D61&lt;&gt;"Serviço",0,IF(AND(AUTOEVENTO="Manual",$M61=1),0,IF(OFFSET(CRONOPLE!$F$14,$M61,AQ$13)="",10^12,OFFSET(CRONOPLE!$F$14,$M61,AQ$13))))</f>
        <v>0</v>
      </c>
      <c r="AR61" s="178">
        <f ca="1">IF($D61&lt;&gt;"Serviço",0,IF(AND(AUTOEVENTO="Manual",$M61=1),0,IF(OFFSET(CRONOPLE!$F$14,$M61,AR$13)="",10^12,OFFSET(CRONOPLE!$F$14,$M61,AR$13))))</f>
        <v>0</v>
      </c>
      <c r="AS61" s="178">
        <f ca="1">IF($D61&lt;&gt;"Serviço",0,IF(AND(AUTOEVENTO="Manual",$M61=1),0,IF(OFFSET(CRONOPLE!$F$14,$M61,AS$13)="",10^12,OFFSET(CRONOPLE!$F$14,$M61,AS$13))))</f>
        <v>0</v>
      </c>
      <c r="AT61" s="178">
        <f ca="1">IF($D61&lt;&gt;"Serviço",0,IF(AND(AUTOEVENTO="Manual",$M61=1),0,IF(OFFSET(CRONOPLE!$F$14,$M61,AT$13)="",10^12,OFFSET(CRONOPLE!$F$14,$M61,AT$13))))</f>
        <v>0</v>
      </c>
      <c r="AU61" s="178">
        <f ca="1">IF($D61&lt;&gt;"Serviço",0,IF(AND(AUTOEVENTO="Manual",$M61=1),0,IF(OFFSET(CRONOPLE!$F$14,$M61,AU$13)="",10^12,OFFSET(CRONOPLE!$F$14,$M61,AU$13))))</f>
        <v>0</v>
      </c>
      <c r="AV61" s="178">
        <f ca="1">IF($D61&lt;&gt;"Serviço",0,IF(AND(AUTOEVENTO="Manual",$M61=1),0,IF(OFFSET(CRONOPLE!$F$14,$M61,AV$13)="",10^12,OFFSET(CRONOPLE!$F$14,$M61,AV$13))))</f>
        <v>0</v>
      </c>
      <c r="AX61" s="179">
        <f ca="1">IF($D61&lt;&gt;"Serviço",0,IF(OR(AND(AUTOEVENTO="Manual",$M61=1),$M61&gt;(ROW(PLE.lastrow)-ROW(PLE.firstrow))),0,IF(OFFSET(PLE!$G$14,$M61,AX$13)="",10^12,OFFSET(PLE!$G$14,$M61,AX$13))))</f>
        <v>0</v>
      </c>
      <c r="AY61" s="179">
        <f ca="1">IF($D61&lt;&gt;"Serviço",0,IF(OR(AND(AUTOEVENTO="Manual",$M61=1),$M61&gt;(ROW(PLE.lastrow)-ROW(PLE.firstrow))),0,IF(OFFSET(PLE!$G$14,$M61,AY$13)="",10^12,OFFSET(PLE!$G$14,$M61,AY$13))))</f>
        <v>0</v>
      </c>
      <c r="AZ61" s="179">
        <f ca="1">IF($D61&lt;&gt;"Serviço",0,IF(OR(AND(AUTOEVENTO="Manual",$M61=1),$M61&gt;(ROW(PLE.lastrow)-ROW(PLE.firstrow))),0,IF(OFFSET(PLE!$G$14,$M61,AZ$13)="",10^12,OFFSET(PLE!$G$14,$M61,AZ$13))))</f>
        <v>0</v>
      </c>
      <c r="BA61" s="179">
        <f ca="1">IF($D61&lt;&gt;"Serviço",0,IF(OR(AND(AUTOEVENTO="Manual",$M61=1),$M61&gt;(ROW(PLE.lastrow)-ROW(PLE.firstrow))),0,IF(OFFSET(PLE!$G$14,$M61,BA$13)="",10^12,OFFSET(PLE!$G$14,$M61,BA$13))))</f>
        <v>0</v>
      </c>
      <c r="BB61" s="179">
        <f ca="1">IF($D61&lt;&gt;"Serviço",0,IF(OR(AND(AUTOEVENTO="Manual",$M61=1),$M61&gt;(ROW(PLE.lastrow)-ROW(PLE.firstrow))),0,IF(OFFSET(PLE!$G$14,$M61,BB$13)="",10^12,OFFSET(PLE!$G$14,$M61,BB$13))))</f>
        <v>0</v>
      </c>
      <c r="BC61" s="179">
        <f ca="1">IF($D61&lt;&gt;"Serviço",0,IF(OR(AND(AUTOEVENTO="Manual",$M61=1),$M61&gt;(ROW(PLE.lastrow)-ROW(PLE.firstrow))),0,IF(OFFSET(PLE!$G$14,$M61,BC$13)="",10^12,OFFSET(PLE!$G$14,$M61,BC$13))))</f>
        <v>0</v>
      </c>
      <c r="BD61" s="179">
        <f ca="1">IF($D61&lt;&gt;"Serviço",0,IF(OR(AND(AUTOEVENTO="Manual",$M61=1),$M61&gt;(ROW(PLE.lastrow)-ROW(PLE.firstrow))),0,IF(OFFSET(PLE!$G$14,$M61,BD$13)="",10^12,OFFSET(PLE!$G$14,$M61,BD$13))))</f>
        <v>0</v>
      </c>
      <c r="BE61" s="179">
        <f ca="1">IF($D61&lt;&gt;"Serviço",0,IF(OR(AND(AUTOEVENTO="Manual",$M61=1),$M61&gt;(ROW(PLE.lastrow)-ROW(PLE.firstrow))),0,IF(OFFSET(PLE!$G$14,$M61,BE$13)="",10^12,OFFSET(PLE!$G$14,$M61,BE$13))))</f>
        <v>0</v>
      </c>
      <c r="BF61" s="179">
        <f ca="1">IF($D61&lt;&gt;"Serviço",0,IF(OR(AND(AUTOEVENTO="Manual",$M61=1),$M61&gt;(ROW(PLE.lastrow)-ROW(PLE.firstrow))),0,IF(OFFSET(PLE!$G$14,$M61,BF$13)="",10^12,OFFSET(PLE!$G$14,$M61,BF$13))))</f>
        <v>0</v>
      </c>
      <c r="BG61" s="179">
        <f ca="1">IF($D61&lt;&gt;"Serviço",0,IF(OR(AND(AUTOEVENTO="Manual",$M61=1),$M61&gt;(ROW(PLE.lastrow)-ROW(PLE.firstrow))),0,IF(OFFSET(PLE!$G$14,$M61,BG$13)="",10^12,OFFSET(PLE!$G$14,$M61,BG$13))))</f>
        <v>0</v>
      </c>
    </row>
    <row r="62" spans="1:59" ht="38.25" x14ac:dyDescent="0.2">
      <c r="A62" s="7" t="str">
        <f t="shared" ca="1" si="8"/>
        <v>46</v>
      </c>
      <c r="B62" s="7" t="str">
        <f ca="1">OFFSET(ORÇAMENTO!C$15,ROW(B62)-ROW(B$15),0)</f>
        <v>S</v>
      </c>
      <c r="C62" s="7" t="str">
        <f ca="1">OFFSET(ORÇAMENTO!L$15,ROW(C62)-ROW(C$15),0)</f>
        <v/>
      </c>
      <c r="D62" s="115" t="str">
        <f ca="1">OFFSET(ORÇAMENTO!N$15,ROW(D62)-ROW(D$15),0)</f>
        <v>Serviço</v>
      </c>
      <c r="E62" s="116" t="str">
        <f ca="1">OFFSET(ORÇAMENTO!O$15,ROW(E62)-ROW(E$15),0)</f>
        <v>-</v>
      </c>
      <c r="F62" s="169" t="str">
        <f ca="1">OFFSET(ORÇAMENTO!R$15,ROW(F62)-ROW(F$15),0)</f>
        <v>(abra o arquivo 'Referência 10-2024.xlsm)</v>
      </c>
      <c r="G62" s="170" t="str">
        <f ca="1">IF($D62&lt;&gt;"Serviço","",OFFSET(ORÇAMENTO!S$15,ROW(G62)-ROW(G$15),0))</f>
        <v>-</v>
      </c>
      <c r="H62" s="121">
        <f ca="1">IF($D62&lt;&gt;"Serviço",0,IF(ACOMPANHAMENTO="BM",ROUND(OFFSET(ORÇAMENTO!AJ$15,ROW(H62)-ROW(H$15),0),15-13*ORÇAMENTO!$AF$7),SUMPRODUCT(($Q$12:$AA$12&lt;&gt;"")*ROUND($Q62:$AA62,15-13*ORÇAMENTO!$AF$7))))</f>
        <v>17.100000000000001</v>
      </c>
      <c r="I62" s="558" t="s">
        <v>561</v>
      </c>
      <c r="K62" s="171"/>
      <c r="L62" s="172" t="s">
        <v>255</v>
      </c>
      <c r="M62" s="173">
        <f ca="1">IF($D62&lt;&gt;"Serviço","",IF(AUTOEVENTO="manual",$A62,IF(ISERROR(MATCH($A62,$A$15:OFFSET($A62,-1,0),0)),MAX($M$15:OFFSET(M62,-1,0))+1,INDEX($M$15:OFFSET(M62,-1,0),MATCH($A62,$A$15:OFFSET($A62,-1,0),0)))))</f>
        <v>9</v>
      </c>
      <c r="N62" s="174" t="str">
        <f ca="1">IF($D62&lt;&gt;"Serviço","",IF(AUTOEVENTO="Manual",IF($A62=0,"&lt;-- defina o número do agrupador",OFFSET(EVENTOS!$D$14,$A62,0)),OFFSET($F$15,$A62,0)))</f>
        <v>REVESTIMENTOS DE PAREDES INTERNAS</v>
      </c>
      <c r="O62" s="175"/>
      <c r="Q62" s="175"/>
      <c r="R62" s="176"/>
      <c r="S62" s="176"/>
      <c r="T62" s="176"/>
      <c r="U62" s="176"/>
      <c r="V62" s="176"/>
      <c r="W62" s="176"/>
      <c r="X62" s="176"/>
      <c r="Y62" s="176"/>
      <c r="Z62" s="177"/>
      <c r="AB62" s="541">
        <f ca="1">IF(AND($D62="Serviço",AB$12&lt;&gt;0,$H62&gt;0,OR(AUTOEVENTO&lt;&gt;"manual",$M62&lt;&gt;1)),
IF(Import.TipoArredondamento&lt;&gt;"TransfereGOV",
ROUND(OFFSET($P62,0,AB$13),15-13*ORÇAMENTO!$AF$7)/$H62*OFFSET(ORÇAMENTO!$X$15,ROW(AB62)-ROW(AB$15),0),
ROUND(ROUND(OFFSET($P62,0,AB$13),15-13*ORÇAMENTO!$AF$7)*OFFSET(ORÇAMENTO!$W$15,ROW(AB62)-ROW(AB$15),0),15-13*ORÇAMENTO!$AF$11)),0)</f>
        <v>0</v>
      </c>
      <c r="AC62" s="542">
        <f ca="1">IF(AND($D62="Serviço",AC$12&lt;&gt;0,$H62&gt;0,OR(AUTOEVENTO&lt;&gt;"manual",$M62&lt;&gt;1)),
IF(Import.TipoArredondamento&lt;&gt;"TransfereGOV",
ROUND(OFFSET($P62,0,AC$13),15-13*ORÇAMENTO!$AF$7)/$H62*OFFSET(ORÇAMENTO!$X$15,ROW(AC62)-ROW(AC$15),0),
ROUND(ROUND(OFFSET($P62,0,AC$13),15-13*ORÇAMENTO!$AF$7)*OFFSET(ORÇAMENTO!$W$15,ROW(AC62)-ROW(AC$15),0),15-13*ORÇAMENTO!$AF$11)),0)</f>
        <v>0</v>
      </c>
      <c r="AD62" s="542">
        <f ca="1">IF(AND($D62="Serviço",AD$12&lt;&gt;0,$H62&gt;0,OR(AUTOEVENTO&lt;&gt;"manual",$M62&lt;&gt;1)),
IF(Import.TipoArredondamento&lt;&gt;"TransfereGOV",
ROUND(OFFSET($P62,0,AD$13),15-13*ORÇAMENTO!$AF$7)/$H62*OFFSET(ORÇAMENTO!$X$15,ROW(AD62)-ROW(AD$15),0),
ROUND(ROUND(OFFSET($P62,0,AD$13),15-13*ORÇAMENTO!$AF$7)*OFFSET(ORÇAMENTO!$W$15,ROW(AD62)-ROW(AD$15),0),15-13*ORÇAMENTO!$AF$11)),0)</f>
        <v>0</v>
      </c>
      <c r="AE62" s="542">
        <f ca="1">IF(AND($D62="Serviço",AE$12&lt;&gt;0,$H62&gt;0,OR(AUTOEVENTO&lt;&gt;"manual",$M62&lt;&gt;1)),
IF(Import.TipoArredondamento&lt;&gt;"TransfereGOV",
ROUND(OFFSET($P62,0,AE$13),15-13*ORÇAMENTO!$AF$7)/$H62*OFFSET(ORÇAMENTO!$X$15,ROW(AE62)-ROW(AE$15),0),
ROUND(ROUND(OFFSET($P62,0,AE$13),15-13*ORÇAMENTO!$AF$7)*OFFSET(ORÇAMENTO!$W$15,ROW(AE62)-ROW(AE$15),0),15-13*ORÇAMENTO!$AF$11)),0)</f>
        <v>0</v>
      </c>
      <c r="AF62" s="542">
        <f ca="1">IF(AND($D62="Serviço",AF$12&lt;&gt;0,$H62&gt;0,OR(AUTOEVENTO&lt;&gt;"manual",$M62&lt;&gt;1)),
IF(Import.TipoArredondamento&lt;&gt;"TransfereGOV",
ROUND(OFFSET($P62,0,AF$13),15-13*ORÇAMENTO!$AF$7)/$H62*OFFSET(ORÇAMENTO!$X$15,ROW(AF62)-ROW(AF$15),0),
ROUND(ROUND(OFFSET($P62,0,AF$13),15-13*ORÇAMENTO!$AF$7)*OFFSET(ORÇAMENTO!$W$15,ROW(AF62)-ROW(AF$15),0),15-13*ORÇAMENTO!$AF$11)),0)</f>
        <v>0</v>
      </c>
      <c r="AG62" s="542">
        <f ca="1">IF(AND($D62="Serviço",AG$12&lt;&gt;0,$H62&gt;0,OR(AUTOEVENTO&lt;&gt;"manual",$M62&lt;&gt;1)),
IF(Import.TipoArredondamento&lt;&gt;"TransfereGOV",
ROUND(OFFSET($P62,0,AG$13),15-13*ORÇAMENTO!$AF$7)/$H62*OFFSET(ORÇAMENTO!$X$15,ROW(AG62)-ROW(AG$15),0),
ROUND(ROUND(OFFSET($P62,0,AG$13),15-13*ORÇAMENTO!$AF$7)*OFFSET(ORÇAMENTO!$W$15,ROW(AG62)-ROW(AG$15),0),15-13*ORÇAMENTO!$AF$11)),0)</f>
        <v>0</v>
      </c>
      <c r="AH62" s="542">
        <f ca="1">IF(AND($D62="Serviço",AH$12&lt;&gt;0,$H62&gt;0,OR(AUTOEVENTO&lt;&gt;"manual",$M62&lt;&gt;1)),
IF(Import.TipoArredondamento&lt;&gt;"TransfereGOV",
ROUND(OFFSET($P62,0,AH$13),15-13*ORÇAMENTO!$AF$7)/$H62*OFFSET(ORÇAMENTO!$X$15,ROW(AH62)-ROW(AH$15),0),
ROUND(ROUND(OFFSET($P62,0,AH$13),15-13*ORÇAMENTO!$AF$7)*OFFSET(ORÇAMENTO!$W$15,ROW(AH62)-ROW(AH$15),0),15-13*ORÇAMENTO!$AF$11)),0)</f>
        <v>0</v>
      </c>
      <c r="AI62" s="542">
        <f ca="1">IF(AND($D62="Serviço",AI$12&lt;&gt;0,$H62&gt;0,OR(AUTOEVENTO&lt;&gt;"manual",$M62&lt;&gt;1)),
IF(Import.TipoArredondamento&lt;&gt;"TransfereGOV",
ROUND(OFFSET($P62,0,AI$13),15-13*ORÇAMENTO!$AF$7)/$H62*OFFSET(ORÇAMENTO!$X$15,ROW(AI62)-ROW(AI$15),0),
ROUND(ROUND(OFFSET($P62,0,AI$13),15-13*ORÇAMENTO!$AF$7)*OFFSET(ORÇAMENTO!$W$15,ROW(AI62)-ROW(AI$15),0),15-13*ORÇAMENTO!$AF$11)),0)</f>
        <v>0</v>
      </c>
      <c r="AJ62" s="542">
        <f ca="1">IF(AND($D62="Serviço",AJ$12&lt;&gt;0,$H62&gt;0,OR(AUTOEVENTO&lt;&gt;"manual",$M62&lt;&gt;1)),
IF(Import.TipoArredondamento&lt;&gt;"TransfereGOV",
ROUND(OFFSET($P62,0,AJ$13),15-13*ORÇAMENTO!$AF$7)/$H62*OFFSET(ORÇAMENTO!$X$15,ROW(AJ62)-ROW(AJ$15),0),
ROUND(ROUND(OFFSET($P62,0,AJ$13),15-13*ORÇAMENTO!$AF$7)*OFFSET(ORÇAMENTO!$W$15,ROW(AJ62)-ROW(AJ$15),0),15-13*ORÇAMENTO!$AF$11)),0)</f>
        <v>0</v>
      </c>
      <c r="AK62" s="543">
        <f ca="1">IF(AND($D62="Serviço",AK$12&lt;&gt;0,$H62&gt;0,OR(AUTOEVENTO&lt;&gt;"manual",$M62&lt;&gt;1)),
IF(Import.TipoArredondamento&lt;&gt;"TransfereGOV",
ROUND(OFFSET($P62,0,AK$13),15-13*ORÇAMENTO!$AF$7)/$H62*OFFSET(ORÇAMENTO!$X$15,ROW(AK62)-ROW(AK$15),0),
ROUND(ROUND(OFFSET($P62,0,AK$13),15-13*ORÇAMENTO!$AF$7)*OFFSET(ORÇAMENTO!$W$15,ROW(AK62)-ROW(AK$15),0),15-13*ORÇAMENTO!$AF$11)),0)</f>
        <v>0</v>
      </c>
      <c r="AM62" s="178">
        <f ca="1">IF($D62&lt;&gt;"Serviço",0,IF(AND(AUTOEVENTO="Manual",$M62=1),0,IF(OFFSET(CRONOPLE!$F$14,$M62,AM$13)="",10^12,OFFSET(CRONOPLE!$F$14,$M62,AM$13))))</f>
        <v>1000000000000</v>
      </c>
      <c r="AN62" s="178">
        <f ca="1">IF($D62&lt;&gt;"Serviço",0,IF(AND(AUTOEVENTO="Manual",$M62=1),0,IF(OFFSET(CRONOPLE!$F$14,$M62,AN$13)="",10^12,OFFSET(CRONOPLE!$F$14,$M62,AN$13))))</f>
        <v>1000000000000</v>
      </c>
      <c r="AO62" s="178">
        <f ca="1">IF($D62&lt;&gt;"Serviço",0,IF(AND(AUTOEVENTO="Manual",$M62=1),0,IF(OFFSET(CRONOPLE!$F$14,$M62,AO$13)="",10^12,OFFSET(CRONOPLE!$F$14,$M62,AO$13))))</f>
        <v>1000000000000</v>
      </c>
      <c r="AP62" s="178">
        <f ca="1">IF($D62&lt;&gt;"Serviço",0,IF(AND(AUTOEVENTO="Manual",$M62=1),0,IF(OFFSET(CRONOPLE!$F$14,$M62,AP$13)="",10^12,OFFSET(CRONOPLE!$F$14,$M62,AP$13))))</f>
        <v>1000000000000</v>
      </c>
      <c r="AQ62" s="178">
        <f ca="1">IF($D62&lt;&gt;"Serviço",0,IF(AND(AUTOEVENTO="Manual",$M62=1),0,IF(OFFSET(CRONOPLE!$F$14,$M62,AQ$13)="",10^12,OFFSET(CRONOPLE!$F$14,$M62,AQ$13))))</f>
        <v>1000000000000</v>
      </c>
      <c r="AR62" s="178">
        <f ca="1">IF($D62&lt;&gt;"Serviço",0,IF(AND(AUTOEVENTO="Manual",$M62=1),0,IF(OFFSET(CRONOPLE!$F$14,$M62,AR$13)="",10^12,OFFSET(CRONOPLE!$F$14,$M62,AR$13))))</f>
        <v>1000000000000</v>
      </c>
      <c r="AS62" s="178">
        <f ca="1">IF($D62&lt;&gt;"Serviço",0,IF(AND(AUTOEVENTO="Manual",$M62=1),0,IF(OFFSET(CRONOPLE!$F$14,$M62,AS$13)="",10^12,OFFSET(CRONOPLE!$F$14,$M62,AS$13))))</f>
        <v>1000000000000</v>
      </c>
      <c r="AT62" s="178">
        <f ca="1">IF($D62&lt;&gt;"Serviço",0,IF(AND(AUTOEVENTO="Manual",$M62=1),0,IF(OFFSET(CRONOPLE!$F$14,$M62,AT$13)="",10^12,OFFSET(CRONOPLE!$F$14,$M62,AT$13))))</f>
        <v>1000000000000</v>
      </c>
      <c r="AU62" s="178">
        <f ca="1">IF($D62&lt;&gt;"Serviço",0,IF(AND(AUTOEVENTO="Manual",$M62=1),0,IF(OFFSET(CRONOPLE!$F$14,$M62,AU$13)="",10^12,OFFSET(CRONOPLE!$F$14,$M62,AU$13))))</f>
        <v>1000000000000</v>
      </c>
      <c r="AV62" s="178">
        <f ca="1">IF($D62&lt;&gt;"Serviço",0,IF(AND(AUTOEVENTO="Manual",$M62=1),0,IF(OFFSET(CRONOPLE!$F$14,$M62,AV$13)="",10^12,OFFSET(CRONOPLE!$F$14,$M62,AV$13))))</f>
        <v>1000000000000</v>
      </c>
      <c r="AX62" s="179">
        <f ca="1">IF($D62&lt;&gt;"Serviço",0,IF(OR(AND(AUTOEVENTO="Manual",$M62=1),$M62&gt;(ROW(PLE.lastrow)-ROW(PLE.firstrow))),0,IF(OFFSET(PLE!$G$14,$M62,AX$13)="",10^12,OFFSET(PLE!$G$14,$M62,AX$13))))</f>
        <v>1000000000000</v>
      </c>
      <c r="AY62" s="179">
        <f ca="1">IF($D62&lt;&gt;"Serviço",0,IF(OR(AND(AUTOEVENTO="Manual",$M62=1),$M62&gt;(ROW(PLE.lastrow)-ROW(PLE.firstrow))),0,IF(OFFSET(PLE!$G$14,$M62,AY$13)="",10^12,OFFSET(PLE!$G$14,$M62,AY$13))))</f>
        <v>1000000000000</v>
      </c>
      <c r="AZ62" s="179">
        <f ca="1">IF($D62&lt;&gt;"Serviço",0,IF(OR(AND(AUTOEVENTO="Manual",$M62=1),$M62&gt;(ROW(PLE.lastrow)-ROW(PLE.firstrow))),0,IF(OFFSET(PLE!$G$14,$M62,AZ$13)="",10^12,OFFSET(PLE!$G$14,$M62,AZ$13))))</f>
        <v>1000000000000</v>
      </c>
      <c r="BA62" s="179">
        <f ca="1">IF($D62&lt;&gt;"Serviço",0,IF(OR(AND(AUTOEVENTO="Manual",$M62=1),$M62&gt;(ROW(PLE.lastrow)-ROW(PLE.firstrow))),0,IF(OFFSET(PLE!$G$14,$M62,BA$13)="",10^12,OFFSET(PLE!$G$14,$M62,BA$13))))</f>
        <v>1000000000000</v>
      </c>
      <c r="BB62" s="179">
        <f ca="1">IF($D62&lt;&gt;"Serviço",0,IF(OR(AND(AUTOEVENTO="Manual",$M62=1),$M62&gt;(ROW(PLE.lastrow)-ROW(PLE.firstrow))),0,IF(OFFSET(PLE!$G$14,$M62,BB$13)="",10^12,OFFSET(PLE!$G$14,$M62,BB$13))))</f>
        <v>1000000000000</v>
      </c>
      <c r="BC62" s="179">
        <f ca="1">IF($D62&lt;&gt;"Serviço",0,IF(OR(AND(AUTOEVENTO="Manual",$M62=1),$M62&gt;(ROW(PLE.lastrow)-ROW(PLE.firstrow))),0,IF(OFFSET(PLE!$G$14,$M62,BC$13)="",10^12,OFFSET(PLE!$G$14,$M62,BC$13))))</f>
        <v>1000000000000</v>
      </c>
      <c r="BD62" s="179">
        <f ca="1">IF($D62&lt;&gt;"Serviço",0,IF(OR(AND(AUTOEVENTO="Manual",$M62=1),$M62&gt;(ROW(PLE.lastrow)-ROW(PLE.firstrow))),0,IF(OFFSET(PLE!$G$14,$M62,BD$13)="",10^12,OFFSET(PLE!$G$14,$M62,BD$13))))</f>
        <v>1000000000000</v>
      </c>
      <c r="BE62" s="179">
        <f ca="1">IF($D62&lt;&gt;"Serviço",0,IF(OR(AND(AUTOEVENTO="Manual",$M62=1),$M62&gt;(ROW(PLE.lastrow)-ROW(PLE.firstrow))),0,IF(OFFSET(PLE!$G$14,$M62,BE$13)="",10^12,OFFSET(PLE!$G$14,$M62,BE$13))))</f>
        <v>1000000000000</v>
      </c>
      <c r="BF62" s="179">
        <f ca="1">IF($D62&lt;&gt;"Serviço",0,IF(OR(AND(AUTOEVENTO="Manual",$M62=1),$M62&gt;(ROW(PLE.lastrow)-ROW(PLE.firstrow))),0,IF(OFFSET(PLE!$G$14,$M62,BF$13)="",10^12,OFFSET(PLE!$G$14,$M62,BF$13))))</f>
        <v>1000000000000</v>
      </c>
      <c r="BG62" s="179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51" x14ac:dyDescent="0.2">
      <c r="A63" s="7" t="str">
        <f t="shared" ca="1" si="8"/>
        <v>46</v>
      </c>
      <c r="B63" s="7" t="str">
        <f ca="1">OFFSET(ORÇAMENTO!C$15,ROW(B63)-ROW(B$15),0)</f>
        <v>S</v>
      </c>
      <c r="C63" s="7" t="str">
        <f ca="1">OFFSET(ORÇAMENTO!L$15,ROW(C63)-ROW(C$15),0)</f>
        <v/>
      </c>
      <c r="D63" s="115" t="str">
        <f ca="1">OFFSET(ORÇAMENTO!N$15,ROW(D63)-ROW(D$15),0)</f>
        <v>Serviço</v>
      </c>
      <c r="E63" s="116" t="str">
        <f ca="1">OFFSET(ORÇAMENTO!O$15,ROW(E63)-ROW(E$15),0)</f>
        <v>-</v>
      </c>
      <c r="F63" s="169" t="str">
        <f ca="1">OFFSET(ORÇAMENTO!R$15,ROW(F63)-ROW(F$15),0)</f>
        <v>(abra o arquivo 'Referência 10-2024.xlsm)</v>
      </c>
      <c r="G63" s="170" t="str">
        <f ca="1">IF($D63&lt;&gt;"Serviço","",OFFSET(ORÇAMENTO!S$15,ROW(G63)-ROW(G$15),0))</f>
        <v>-</v>
      </c>
      <c r="H63" s="121">
        <f ca="1">IF($D63&lt;&gt;"Serviço",0,IF(ACOMPANHAMENTO="BM",ROUND(OFFSET(ORÇAMENTO!AJ$15,ROW(H63)-ROW(H$15),0),15-13*ORÇAMENTO!$AF$7),SUMPRODUCT(($Q$12:$AA$12&lt;&gt;"")*ROUND($Q63:$AA63,15-13*ORÇAMENTO!$AF$7))))</f>
        <v>107.04</v>
      </c>
      <c r="I63" s="558" t="s">
        <v>561</v>
      </c>
      <c r="K63" s="171"/>
      <c r="L63" s="172" t="s">
        <v>255</v>
      </c>
      <c r="M63" s="173">
        <f ca="1">IF($D63&lt;&gt;"Serviço","",IF(AUTOEVENTO="manual",$A63,IF(ISERROR(MATCH($A63,$A$15:OFFSET($A63,-1,0),0)),MAX($M$15:OFFSET(M63,-1,0))+1,INDEX($M$15:OFFSET(M63,-1,0),MATCH($A63,$A$15:OFFSET($A63,-1,0),0)))))</f>
        <v>9</v>
      </c>
      <c r="N63" s="174" t="str">
        <f ca="1">IF($D63&lt;&gt;"Serviço","",IF(AUTOEVENTO="Manual",IF($A63=0,"&lt;-- defina o número do agrupador",OFFSET(EVENTOS!$D$14,$A63,0)),OFFSET($F$15,$A63,0)))</f>
        <v>REVESTIMENTOS DE PAREDES INTERNAS</v>
      </c>
      <c r="O63" s="175"/>
      <c r="Q63" s="175"/>
      <c r="R63" s="176"/>
      <c r="S63" s="176"/>
      <c r="T63" s="176"/>
      <c r="U63" s="176"/>
      <c r="V63" s="176"/>
      <c r="W63" s="176"/>
      <c r="X63" s="176"/>
      <c r="Y63" s="176"/>
      <c r="Z63" s="177"/>
      <c r="AB63" s="541">
        <f ca="1">IF(AND($D63="Serviço",AB$12&lt;&gt;0,$H63&gt;0,OR(AUTOEVENTO&lt;&gt;"manual",$M63&lt;&gt;1)),
IF(Import.TipoArredondamento&lt;&gt;"TransfereGOV",
ROUND(OFFSET($P63,0,AB$13),15-13*ORÇAMENTO!$AF$7)/$H63*OFFSET(ORÇAMENTO!$X$15,ROW(AB63)-ROW(AB$15),0),
ROUND(ROUND(OFFSET($P63,0,AB$13),15-13*ORÇAMENTO!$AF$7)*OFFSET(ORÇAMENTO!$W$15,ROW(AB63)-ROW(AB$15),0),15-13*ORÇAMENTO!$AF$11)),0)</f>
        <v>0</v>
      </c>
      <c r="AC63" s="542">
        <f ca="1">IF(AND($D63="Serviço",AC$12&lt;&gt;0,$H63&gt;0,OR(AUTOEVENTO&lt;&gt;"manual",$M63&lt;&gt;1)),
IF(Import.TipoArredondamento&lt;&gt;"TransfereGOV",
ROUND(OFFSET($P63,0,AC$13),15-13*ORÇAMENTO!$AF$7)/$H63*OFFSET(ORÇAMENTO!$X$15,ROW(AC63)-ROW(AC$15),0),
ROUND(ROUND(OFFSET($P63,0,AC$13),15-13*ORÇAMENTO!$AF$7)*OFFSET(ORÇAMENTO!$W$15,ROW(AC63)-ROW(AC$15),0),15-13*ORÇAMENTO!$AF$11)),0)</f>
        <v>0</v>
      </c>
      <c r="AD63" s="542">
        <f ca="1">IF(AND($D63="Serviço",AD$12&lt;&gt;0,$H63&gt;0,OR(AUTOEVENTO&lt;&gt;"manual",$M63&lt;&gt;1)),
IF(Import.TipoArredondamento&lt;&gt;"TransfereGOV",
ROUND(OFFSET($P63,0,AD$13),15-13*ORÇAMENTO!$AF$7)/$H63*OFFSET(ORÇAMENTO!$X$15,ROW(AD63)-ROW(AD$15),0),
ROUND(ROUND(OFFSET($P63,0,AD$13),15-13*ORÇAMENTO!$AF$7)*OFFSET(ORÇAMENTO!$W$15,ROW(AD63)-ROW(AD$15),0),15-13*ORÇAMENTO!$AF$11)),0)</f>
        <v>0</v>
      </c>
      <c r="AE63" s="542">
        <f ca="1">IF(AND($D63="Serviço",AE$12&lt;&gt;0,$H63&gt;0,OR(AUTOEVENTO&lt;&gt;"manual",$M63&lt;&gt;1)),
IF(Import.TipoArredondamento&lt;&gt;"TransfereGOV",
ROUND(OFFSET($P63,0,AE$13),15-13*ORÇAMENTO!$AF$7)/$H63*OFFSET(ORÇAMENTO!$X$15,ROW(AE63)-ROW(AE$15),0),
ROUND(ROUND(OFFSET($P63,0,AE$13),15-13*ORÇAMENTO!$AF$7)*OFFSET(ORÇAMENTO!$W$15,ROW(AE63)-ROW(AE$15),0),15-13*ORÇAMENTO!$AF$11)),0)</f>
        <v>0</v>
      </c>
      <c r="AF63" s="542">
        <f ca="1">IF(AND($D63="Serviço",AF$12&lt;&gt;0,$H63&gt;0,OR(AUTOEVENTO&lt;&gt;"manual",$M63&lt;&gt;1)),
IF(Import.TipoArredondamento&lt;&gt;"TransfereGOV",
ROUND(OFFSET($P63,0,AF$13),15-13*ORÇAMENTO!$AF$7)/$H63*OFFSET(ORÇAMENTO!$X$15,ROW(AF63)-ROW(AF$15),0),
ROUND(ROUND(OFFSET($P63,0,AF$13),15-13*ORÇAMENTO!$AF$7)*OFFSET(ORÇAMENTO!$W$15,ROW(AF63)-ROW(AF$15),0),15-13*ORÇAMENTO!$AF$11)),0)</f>
        <v>0</v>
      </c>
      <c r="AG63" s="542">
        <f ca="1">IF(AND($D63="Serviço",AG$12&lt;&gt;0,$H63&gt;0,OR(AUTOEVENTO&lt;&gt;"manual",$M63&lt;&gt;1)),
IF(Import.TipoArredondamento&lt;&gt;"TransfereGOV",
ROUND(OFFSET($P63,0,AG$13),15-13*ORÇAMENTO!$AF$7)/$H63*OFFSET(ORÇAMENTO!$X$15,ROW(AG63)-ROW(AG$15),0),
ROUND(ROUND(OFFSET($P63,0,AG$13),15-13*ORÇAMENTO!$AF$7)*OFFSET(ORÇAMENTO!$W$15,ROW(AG63)-ROW(AG$15),0),15-13*ORÇAMENTO!$AF$11)),0)</f>
        <v>0</v>
      </c>
      <c r="AH63" s="542">
        <f ca="1">IF(AND($D63="Serviço",AH$12&lt;&gt;0,$H63&gt;0,OR(AUTOEVENTO&lt;&gt;"manual",$M63&lt;&gt;1)),
IF(Import.TipoArredondamento&lt;&gt;"TransfereGOV",
ROUND(OFFSET($P63,0,AH$13),15-13*ORÇAMENTO!$AF$7)/$H63*OFFSET(ORÇAMENTO!$X$15,ROW(AH63)-ROW(AH$15),0),
ROUND(ROUND(OFFSET($P63,0,AH$13),15-13*ORÇAMENTO!$AF$7)*OFFSET(ORÇAMENTO!$W$15,ROW(AH63)-ROW(AH$15),0),15-13*ORÇAMENTO!$AF$11)),0)</f>
        <v>0</v>
      </c>
      <c r="AI63" s="542">
        <f ca="1">IF(AND($D63="Serviço",AI$12&lt;&gt;0,$H63&gt;0,OR(AUTOEVENTO&lt;&gt;"manual",$M63&lt;&gt;1)),
IF(Import.TipoArredondamento&lt;&gt;"TransfereGOV",
ROUND(OFFSET($P63,0,AI$13),15-13*ORÇAMENTO!$AF$7)/$H63*OFFSET(ORÇAMENTO!$X$15,ROW(AI63)-ROW(AI$15),0),
ROUND(ROUND(OFFSET($P63,0,AI$13),15-13*ORÇAMENTO!$AF$7)*OFFSET(ORÇAMENTO!$W$15,ROW(AI63)-ROW(AI$15),0),15-13*ORÇAMENTO!$AF$11)),0)</f>
        <v>0</v>
      </c>
      <c r="AJ63" s="542">
        <f ca="1">IF(AND($D63="Serviço",AJ$12&lt;&gt;0,$H63&gt;0,OR(AUTOEVENTO&lt;&gt;"manual",$M63&lt;&gt;1)),
IF(Import.TipoArredondamento&lt;&gt;"TransfereGOV",
ROUND(OFFSET($P63,0,AJ$13),15-13*ORÇAMENTO!$AF$7)/$H63*OFFSET(ORÇAMENTO!$X$15,ROW(AJ63)-ROW(AJ$15),0),
ROUND(ROUND(OFFSET($P63,0,AJ$13),15-13*ORÇAMENTO!$AF$7)*OFFSET(ORÇAMENTO!$W$15,ROW(AJ63)-ROW(AJ$15),0),15-13*ORÇAMENTO!$AF$11)),0)</f>
        <v>0</v>
      </c>
      <c r="AK63" s="543">
        <f ca="1">IF(AND($D63="Serviço",AK$12&lt;&gt;0,$H63&gt;0,OR(AUTOEVENTO&lt;&gt;"manual",$M63&lt;&gt;1)),
IF(Import.TipoArredondamento&lt;&gt;"TransfereGOV",
ROUND(OFFSET($P63,0,AK$13),15-13*ORÇAMENTO!$AF$7)/$H63*OFFSET(ORÇAMENTO!$X$15,ROW(AK63)-ROW(AK$15),0),
ROUND(ROUND(OFFSET($P63,0,AK$13),15-13*ORÇAMENTO!$AF$7)*OFFSET(ORÇAMENTO!$W$15,ROW(AK63)-ROW(AK$15),0),15-13*ORÇAMENTO!$AF$11)),0)</f>
        <v>0</v>
      </c>
      <c r="AM63" s="178">
        <f ca="1">IF($D63&lt;&gt;"Serviço",0,IF(AND(AUTOEVENTO="Manual",$M63=1),0,IF(OFFSET(CRONOPLE!$F$14,$M63,AM$13)="",10^12,OFFSET(CRONOPLE!$F$14,$M63,AM$13))))</f>
        <v>1000000000000</v>
      </c>
      <c r="AN63" s="178">
        <f ca="1">IF($D63&lt;&gt;"Serviço",0,IF(AND(AUTOEVENTO="Manual",$M63=1),0,IF(OFFSET(CRONOPLE!$F$14,$M63,AN$13)="",10^12,OFFSET(CRONOPLE!$F$14,$M63,AN$13))))</f>
        <v>1000000000000</v>
      </c>
      <c r="AO63" s="178">
        <f ca="1">IF($D63&lt;&gt;"Serviço",0,IF(AND(AUTOEVENTO="Manual",$M63=1),0,IF(OFFSET(CRONOPLE!$F$14,$M63,AO$13)="",10^12,OFFSET(CRONOPLE!$F$14,$M63,AO$13))))</f>
        <v>1000000000000</v>
      </c>
      <c r="AP63" s="178">
        <f ca="1">IF($D63&lt;&gt;"Serviço",0,IF(AND(AUTOEVENTO="Manual",$M63=1),0,IF(OFFSET(CRONOPLE!$F$14,$M63,AP$13)="",10^12,OFFSET(CRONOPLE!$F$14,$M63,AP$13))))</f>
        <v>1000000000000</v>
      </c>
      <c r="AQ63" s="178">
        <f ca="1">IF($D63&lt;&gt;"Serviço",0,IF(AND(AUTOEVENTO="Manual",$M63=1),0,IF(OFFSET(CRONOPLE!$F$14,$M63,AQ$13)="",10^12,OFFSET(CRONOPLE!$F$14,$M63,AQ$13))))</f>
        <v>1000000000000</v>
      </c>
      <c r="AR63" s="178">
        <f ca="1">IF($D63&lt;&gt;"Serviço",0,IF(AND(AUTOEVENTO="Manual",$M63=1),0,IF(OFFSET(CRONOPLE!$F$14,$M63,AR$13)="",10^12,OFFSET(CRONOPLE!$F$14,$M63,AR$13))))</f>
        <v>1000000000000</v>
      </c>
      <c r="AS63" s="178">
        <f ca="1">IF($D63&lt;&gt;"Serviço",0,IF(AND(AUTOEVENTO="Manual",$M63=1),0,IF(OFFSET(CRONOPLE!$F$14,$M63,AS$13)="",10^12,OFFSET(CRONOPLE!$F$14,$M63,AS$13))))</f>
        <v>1000000000000</v>
      </c>
      <c r="AT63" s="178">
        <f ca="1">IF($D63&lt;&gt;"Serviço",0,IF(AND(AUTOEVENTO="Manual",$M63=1),0,IF(OFFSET(CRONOPLE!$F$14,$M63,AT$13)="",10^12,OFFSET(CRONOPLE!$F$14,$M63,AT$13))))</f>
        <v>1000000000000</v>
      </c>
      <c r="AU63" s="178">
        <f ca="1">IF($D63&lt;&gt;"Serviço",0,IF(AND(AUTOEVENTO="Manual",$M63=1),0,IF(OFFSET(CRONOPLE!$F$14,$M63,AU$13)="",10^12,OFFSET(CRONOPLE!$F$14,$M63,AU$13))))</f>
        <v>1000000000000</v>
      </c>
      <c r="AV63" s="178">
        <f ca="1">IF($D63&lt;&gt;"Serviço",0,IF(AND(AUTOEVENTO="Manual",$M63=1),0,IF(OFFSET(CRONOPLE!$F$14,$M63,AV$13)="",10^12,OFFSET(CRONOPLE!$F$14,$M63,AV$13))))</f>
        <v>1000000000000</v>
      </c>
      <c r="AX63" s="179">
        <f ca="1">IF($D63&lt;&gt;"Serviço",0,IF(OR(AND(AUTOEVENTO="Manual",$M63=1),$M63&gt;(ROW(PLE.lastrow)-ROW(PLE.firstrow))),0,IF(OFFSET(PLE!$G$14,$M63,AX$13)="",10^12,OFFSET(PLE!$G$14,$M63,AX$13))))</f>
        <v>1000000000000</v>
      </c>
      <c r="AY63" s="179">
        <f ca="1">IF($D63&lt;&gt;"Serviço",0,IF(OR(AND(AUTOEVENTO="Manual",$M63=1),$M63&gt;(ROW(PLE.lastrow)-ROW(PLE.firstrow))),0,IF(OFFSET(PLE!$G$14,$M63,AY$13)="",10^12,OFFSET(PLE!$G$14,$M63,AY$13))))</f>
        <v>1000000000000</v>
      </c>
      <c r="AZ63" s="179">
        <f ca="1">IF($D63&lt;&gt;"Serviço",0,IF(OR(AND(AUTOEVENTO="Manual",$M63=1),$M63&gt;(ROW(PLE.lastrow)-ROW(PLE.firstrow))),0,IF(OFFSET(PLE!$G$14,$M63,AZ$13)="",10^12,OFFSET(PLE!$G$14,$M63,AZ$13))))</f>
        <v>1000000000000</v>
      </c>
      <c r="BA63" s="179">
        <f ca="1">IF($D63&lt;&gt;"Serviço",0,IF(OR(AND(AUTOEVENTO="Manual",$M63=1),$M63&gt;(ROW(PLE.lastrow)-ROW(PLE.firstrow))),0,IF(OFFSET(PLE!$G$14,$M63,BA$13)="",10^12,OFFSET(PLE!$G$14,$M63,BA$13))))</f>
        <v>1000000000000</v>
      </c>
      <c r="BB63" s="179">
        <f ca="1">IF($D63&lt;&gt;"Serviço",0,IF(OR(AND(AUTOEVENTO="Manual",$M63=1),$M63&gt;(ROW(PLE.lastrow)-ROW(PLE.firstrow))),0,IF(OFFSET(PLE!$G$14,$M63,BB$13)="",10^12,OFFSET(PLE!$G$14,$M63,BB$13))))</f>
        <v>1000000000000</v>
      </c>
      <c r="BC63" s="179">
        <f ca="1">IF($D63&lt;&gt;"Serviço",0,IF(OR(AND(AUTOEVENTO="Manual",$M63=1),$M63&gt;(ROW(PLE.lastrow)-ROW(PLE.firstrow))),0,IF(OFFSET(PLE!$G$14,$M63,BC$13)="",10^12,OFFSET(PLE!$G$14,$M63,BC$13))))</f>
        <v>1000000000000</v>
      </c>
      <c r="BD63" s="179">
        <f ca="1">IF($D63&lt;&gt;"Serviço",0,IF(OR(AND(AUTOEVENTO="Manual",$M63=1),$M63&gt;(ROW(PLE.lastrow)-ROW(PLE.firstrow))),0,IF(OFFSET(PLE!$G$14,$M63,BD$13)="",10^12,OFFSET(PLE!$G$14,$M63,BD$13))))</f>
        <v>1000000000000</v>
      </c>
      <c r="BE63" s="179">
        <f ca="1">IF($D63&lt;&gt;"Serviço",0,IF(OR(AND(AUTOEVENTO="Manual",$M63=1),$M63&gt;(ROW(PLE.lastrow)-ROW(PLE.firstrow))),0,IF(OFFSET(PLE!$G$14,$M63,BE$13)="",10^12,OFFSET(PLE!$G$14,$M63,BE$13))))</f>
        <v>1000000000000</v>
      </c>
      <c r="BF63" s="179">
        <f ca="1">IF($D63&lt;&gt;"Serviço",0,IF(OR(AND(AUTOEVENTO="Manual",$M63=1),$M63&gt;(ROW(PLE.lastrow)-ROW(PLE.firstrow))),0,IF(OFFSET(PLE!$G$14,$M63,BF$13)="",10^12,OFFSET(PLE!$G$14,$M63,BF$13))))</f>
        <v>1000000000000</v>
      </c>
      <c r="BG63" s="179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51" x14ac:dyDescent="0.2">
      <c r="A64" s="7" t="str">
        <f t="shared" ca="1" si="8"/>
        <v>46</v>
      </c>
      <c r="B64" s="7" t="str">
        <f ca="1">OFFSET(ORÇAMENTO!C$15,ROW(B64)-ROW(B$15),0)</f>
        <v>S</v>
      </c>
      <c r="C64" s="7" t="str">
        <f ca="1">OFFSET(ORÇAMENTO!L$15,ROW(C64)-ROW(C$15),0)</f>
        <v/>
      </c>
      <c r="D64" s="115" t="str">
        <f ca="1">OFFSET(ORÇAMENTO!N$15,ROW(D64)-ROW(D$15),0)</f>
        <v>Serviço</v>
      </c>
      <c r="E64" s="116" t="str">
        <f ca="1">OFFSET(ORÇAMENTO!O$15,ROW(E64)-ROW(E$15),0)</f>
        <v>-</v>
      </c>
      <c r="F64" s="169" t="str">
        <f ca="1">OFFSET(ORÇAMENTO!R$15,ROW(F64)-ROW(F$15),0)</f>
        <v>(abra o arquivo 'Referência 10-2024.xlsm)</v>
      </c>
      <c r="G64" s="170" t="str">
        <f ca="1">IF($D64&lt;&gt;"Serviço","",OFFSET(ORÇAMENTO!S$15,ROW(G64)-ROW(G$15),0))</f>
        <v>-</v>
      </c>
      <c r="H64" s="121">
        <f ca="1">IF($D64&lt;&gt;"Serviço",0,IF(ACOMPANHAMENTO="BM",ROUND(OFFSET(ORÇAMENTO!AJ$15,ROW(H64)-ROW(H$15),0),15-13*ORÇAMENTO!$AF$7),SUMPRODUCT(($Q$12:$AA$12&lt;&gt;"")*ROUND($Q64:$AA64,15-13*ORÇAMENTO!$AF$7))))</f>
        <v>107.04</v>
      </c>
      <c r="I64" s="558" t="s">
        <v>561</v>
      </c>
      <c r="K64" s="171"/>
      <c r="L64" s="172" t="s">
        <v>255</v>
      </c>
      <c r="M64" s="173">
        <f ca="1">IF($D64&lt;&gt;"Serviço","",IF(AUTOEVENTO="manual",$A64,IF(ISERROR(MATCH($A64,$A$15:OFFSET($A64,-1,0),0)),MAX($M$15:OFFSET(M64,-1,0))+1,INDEX($M$15:OFFSET(M64,-1,0),MATCH($A64,$A$15:OFFSET($A64,-1,0),0)))))</f>
        <v>9</v>
      </c>
      <c r="N64" s="174" t="str">
        <f ca="1">IF($D64&lt;&gt;"Serviço","",IF(AUTOEVENTO="Manual",IF($A64=0,"&lt;-- defina o número do agrupador",OFFSET(EVENTOS!$D$14,$A64,0)),OFFSET($F$15,$A64,0)))</f>
        <v>REVESTIMENTOS DE PAREDES INTERNAS</v>
      </c>
      <c r="O64" s="175"/>
      <c r="Q64" s="175"/>
      <c r="R64" s="176"/>
      <c r="S64" s="176"/>
      <c r="T64" s="176"/>
      <c r="U64" s="176"/>
      <c r="V64" s="176"/>
      <c r="W64" s="176"/>
      <c r="X64" s="176"/>
      <c r="Y64" s="176"/>
      <c r="Z64" s="177"/>
      <c r="AB64" s="541">
        <f ca="1">IF(AND($D64="Serviço",AB$12&lt;&gt;0,$H64&gt;0,OR(AUTOEVENTO&lt;&gt;"manual",$M64&lt;&gt;1)),
IF(Import.TipoArredondamento&lt;&gt;"TransfereGOV",
ROUND(OFFSET($P64,0,AB$13),15-13*ORÇAMENTO!$AF$7)/$H64*OFFSET(ORÇAMENTO!$X$15,ROW(AB64)-ROW(AB$15),0),
ROUND(ROUND(OFFSET($P64,0,AB$13),15-13*ORÇAMENTO!$AF$7)*OFFSET(ORÇAMENTO!$W$15,ROW(AB64)-ROW(AB$15),0),15-13*ORÇAMENTO!$AF$11)),0)</f>
        <v>0</v>
      </c>
      <c r="AC64" s="542">
        <f ca="1">IF(AND($D64="Serviço",AC$12&lt;&gt;0,$H64&gt;0,OR(AUTOEVENTO&lt;&gt;"manual",$M64&lt;&gt;1)),
IF(Import.TipoArredondamento&lt;&gt;"TransfereGOV",
ROUND(OFFSET($P64,0,AC$13),15-13*ORÇAMENTO!$AF$7)/$H64*OFFSET(ORÇAMENTO!$X$15,ROW(AC64)-ROW(AC$15),0),
ROUND(ROUND(OFFSET($P64,0,AC$13),15-13*ORÇAMENTO!$AF$7)*OFFSET(ORÇAMENTO!$W$15,ROW(AC64)-ROW(AC$15),0),15-13*ORÇAMENTO!$AF$11)),0)</f>
        <v>0</v>
      </c>
      <c r="AD64" s="542">
        <f ca="1">IF(AND($D64="Serviço",AD$12&lt;&gt;0,$H64&gt;0,OR(AUTOEVENTO&lt;&gt;"manual",$M64&lt;&gt;1)),
IF(Import.TipoArredondamento&lt;&gt;"TransfereGOV",
ROUND(OFFSET($P64,0,AD$13),15-13*ORÇAMENTO!$AF$7)/$H64*OFFSET(ORÇAMENTO!$X$15,ROW(AD64)-ROW(AD$15),0),
ROUND(ROUND(OFFSET($P64,0,AD$13),15-13*ORÇAMENTO!$AF$7)*OFFSET(ORÇAMENTO!$W$15,ROW(AD64)-ROW(AD$15),0),15-13*ORÇAMENTO!$AF$11)),0)</f>
        <v>0</v>
      </c>
      <c r="AE64" s="542">
        <f ca="1">IF(AND($D64="Serviço",AE$12&lt;&gt;0,$H64&gt;0,OR(AUTOEVENTO&lt;&gt;"manual",$M64&lt;&gt;1)),
IF(Import.TipoArredondamento&lt;&gt;"TransfereGOV",
ROUND(OFFSET($P64,0,AE$13),15-13*ORÇAMENTO!$AF$7)/$H64*OFFSET(ORÇAMENTO!$X$15,ROW(AE64)-ROW(AE$15),0),
ROUND(ROUND(OFFSET($P64,0,AE$13),15-13*ORÇAMENTO!$AF$7)*OFFSET(ORÇAMENTO!$W$15,ROW(AE64)-ROW(AE$15),0),15-13*ORÇAMENTO!$AF$11)),0)</f>
        <v>0</v>
      </c>
      <c r="AF64" s="542">
        <f ca="1">IF(AND($D64="Serviço",AF$12&lt;&gt;0,$H64&gt;0,OR(AUTOEVENTO&lt;&gt;"manual",$M64&lt;&gt;1)),
IF(Import.TipoArredondamento&lt;&gt;"TransfereGOV",
ROUND(OFFSET($P64,0,AF$13),15-13*ORÇAMENTO!$AF$7)/$H64*OFFSET(ORÇAMENTO!$X$15,ROW(AF64)-ROW(AF$15),0),
ROUND(ROUND(OFFSET($P64,0,AF$13),15-13*ORÇAMENTO!$AF$7)*OFFSET(ORÇAMENTO!$W$15,ROW(AF64)-ROW(AF$15),0),15-13*ORÇAMENTO!$AF$11)),0)</f>
        <v>0</v>
      </c>
      <c r="AG64" s="542">
        <f ca="1">IF(AND($D64="Serviço",AG$12&lt;&gt;0,$H64&gt;0,OR(AUTOEVENTO&lt;&gt;"manual",$M64&lt;&gt;1)),
IF(Import.TipoArredondamento&lt;&gt;"TransfereGOV",
ROUND(OFFSET($P64,0,AG$13),15-13*ORÇAMENTO!$AF$7)/$H64*OFFSET(ORÇAMENTO!$X$15,ROW(AG64)-ROW(AG$15),0),
ROUND(ROUND(OFFSET($P64,0,AG$13),15-13*ORÇAMENTO!$AF$7)*OFFSET(ORÇAMENTO!$W$15,ROW(AG64)-ROW(AG$15),0),15-13*ORÇAMENTO!$AF$11)),0)</f>
        <v>0</v>
      </c>
      <c r="AH64" s="542">
        <f ca="1">IF(AND($D64="Serviço",AH$12&lt;&gt;0,$H64&gt;0,OR(AUTOEVENTO&lt;&gt;"manual",$M64&lt;&gt;1)),
IF(Import.TipoArredondamento&lt;&gt;"TransfereGOV",
ROUND(OFFSET($P64,0,AH$13),15-13*ORÇAMENTO!$AF$7)/$H64*OFFSET(ORÇAMENTO!$X$15,ROW(AH64)-ROW(AH$15),0),
ROUND(ROUND(OFFSET($P64,0,AH$13),15-13*ORÇAMENTO!$AF$7)*OFFSET(ORÇAMENTO!$W$15,ROW(AH64)-ROW(AH$15),0),15-13*ORÇAMENTO!$AF$11)),0)</f>
        <v>0</v>
      </c>
      <c r="AI64" s="542">
        <f ca="1">IF(AND($D64="Serviço",AI$12&lt;&gt;0,$H64&gt;0,OR(AUTOEVENTO&lt;&gt;"manual",$M64&lt;&gt;1)),
IF(Import.TipoArredondamento&lt;&gt;"TransfereGOV",
ROUND(OFFSET($P64,0,AI$13),15-13*ORÇAMENTO!$AF$7)/$H64*OFFSET(ORÇAMENTO!$X$15,ROW(AI64)-ROW(AI$15),0),
ROUND(ROUND(OFFSET($P64,0,AI$13),15-13*ORÇAMENTO!$AF$7)*OFFSET(ORÇAMENTO!$W$15,ROW(AI64)-ROW(AI$15),0),15-13*ORÇAMENTO!$AF$11)),0)</f>
        <v>0</v>
      </c>
      <c r="AJ64" s="542">
        <f ca="1">IF(AND($D64="Serviço",AJ$12&lt;&gt;0,$H64&gt;0,OR(AUTOEVENTO&lt;&gt;"manual",$M64&lt;&gt;1)),
IF(Import.TipoArredondamento&lt;&gt;"TransfereGOV",
ROUND(OFFSET($P64,0,AJ$13),15-13*ORÇAMENTO!$AF$7)/$H64*OFFSET(ORÇAMENTO!$X$15,ROW(AJ64)-ROW(AJ$15),0),
ROUND(ROUND(OFFSET($P64,0,AJ$13),15-13*ORÇAMENTO!$AF$7)*OFFSET(ORÇAMENTO!$W$15,ROW(AJ64)-ROW(AJ$15),0),15-13*ORÇAMENTO!$AF$11)),0)</f>
        <v>0</v>
      </c>
      <c r="AK64" s="543">
        <f ca="1">IF(AND($D64="Serviço",AK$12&lt;&gt;0,$H64&gt;0,OR(AUTOEVENTO&lt;&gt;"manual",$M64&lt;&gt;1)),
IF(Import.TipoArredondamento&lt;&gt;"TransfereGOV",
ROUND(OFFSET($P64,0,AK$13),15-13*ORÇAMENTO!$AF$7)/$H64*OFFSET(ORÇAMENTO!$X$15,ROW(AK64)-ROW(AK$15),0),
ROUND(ROUND(OFFSET($P64,0,AK$13),15-13*ORÇAMENTO!$AF$7)*OFFSET(ORÇAMENTO!$W$15,ROW(AK64)-ROW(AK$15),0),15-13*ORÇAMENTO!$AF$11)),0)</f>
        <v>0</v>
      </c>
      <c r="AM64" s="178">
        <f ca="1">IF($D64&lt;&gt;"Serviço",0,IF(AND(AUTOEVENTO="Manual",$M64=1),0,IF(OFFSET(CRONOPLE!$F$14,$M64,AM$13)="",10^12,OFFSET(CRONOPLE!$F$14,$M64,AM$13))))</f>
        <v>1000000000000</v>
      </c>
      <c r="AN64" s="178">
        <f ca="1">IF($D64&lt;&gt;"Serviço",0,IF(AND(AUTOEVENTO="Manual",$M64=1),0,IF(OFFSET(CRONOPLE!$F$14,$M64,AN$13)="",10^12,OFFSET(CRONOPLE!$F$14,$M64,AN$13))))</f>
        <v>1000000000000</v>
      </c>
      <c r="AO64" s="178">
        <f ca="1">IF($D64&lt;&gt;"Serviço",0,IF(AND(AUTOEVENTO="Manual",$M64=1),0,IF(OFFSET(CRONOPLE!$F$14,$M64,AO$13)="",10^12,OFFSET(CRONOPLE!$F$14,$M64,AO$13))))</f>
        <v>1000000000000</v>
      </c>
      <c r="AP64" s="178">
        <f ca="1">IF($D64&lt;&gt;"Serviço",0,IF(AND(AUTOEVENTO="Manual",$M64=1),0,IF(OFFSET(CRONOPLE!$F$14,$M64,AP$13)="",10^12,OFFSET(CRONOPLE!$F$14,$M64,AP$13))))</f>
        <v>1000000000000</v>
      </c>
      <c r="AQ64" s="178">
        <f ca="1">IF($D64&lt;&gt;"Serviço",0,IF(AND(AUTOEVENTO="Manual",$M64=1),0,IF(OFFSET(CRONOPLE!$F$14,$M64,AQ$13)="",10^12,OFFSET(CRONOPLE!$F$14,$M64,AQ$13))))</f>
        <v>1000000000000</v>
      </c>
      <c r="AR64" s="178">
        <f ca="1">IF($D64&lt;&gt;"Serviço",0,IF(AND(AUTOEVENTO="Manual",$M64=1),0,IF(OFFSET(CRONOPLE!$F$14,$M64,AR$13)="",10^12,OFFSET(CRONOPLE!$F$14,$M64,AR$13))))</f>
        <v>1000000000000</v>
      </c>
      <c r="AS64" s="178">
        <f ca="1">IF($D64&lt;&gt;"Serviço",0,IF(AND(AUTOEVENTO="Manual",$M64=1),0,IF(OFFSET(CRONOPLE!$F$14,$M64,AS$13)="",10^12,OFFSET(CRONOPLE!$F$14,$M64,AS$13))))</f>
        <v>1000000000000</v>
      </c>
      <c r="AT64" s="178">
        <f ca="1">IF($D64&lt;&gt;"Serviço",0,IF(AND(AUTOEVENTO="Manual",$M64=1),0,IF(OFFSET(CRONOPLE!$F$14,$M64,AT$13)="",10^12,OFFSET(CRONOPLE!$F$14,$M64,AT$13))))</f>
        <v>1000000000000</v>
      </c>
      <c r="AU64" s="178">
        <f ca="1">IF($D64&lt;&gt;"Serviço",0,IF(AND(AUTOEVENTO="Manual",$M64=1),0,IF(OFFSET(CRONOPLE!$F$14,$M64,AU$13)="",10^12,OFFSET(CRONOPLE!$F$14,$M64,AU$13))))</f>
        <v>1000000000000</v>
      </c>
      <c r="AV64" s="178">
        <f ca="1">IF($D64&lt;&gt;"Serviço",0,IF(AND(AUTOEVENTO="Manual",$M64=1),0,IF(OFFSET(CRONOPLE!$F$14,$M64,AV$13)="",10^12,OFFSET(CRONOPLE!$F$14,$M64,AV$13))))</f>
        <v>1000000000000</v>
      </c>
      <c r="AX64" s="179">
        <f ca="1">IF($D64&lt;&gt;"Serviço",0,IF(OR(AND(AUTOEVENTO="Manual",$M64=1),$M64&gt;(ROW(PLE.lastrow)-ROW(PLE.firstrow))),0,IF(OFFSET(PLE!$G$14,$M64,AX$13)="",10^12,OFFSET(PLE!$G$14,$M64,AX$13))))</f>
        <v>1000000000000</v>
      </c>
      <c r="AY64" s="179">
        <f ca="1">IF($D64&lt;&gt;"Serviço",0,IF(OR(AND(AUTOEVENTO="Manual",$M64=1),$M64&gt;(ROW(PLE.lastrow)-ROW(PLE.firstrow))),0,IF(OFFSET(PLE!$G$14,$M64,AY$13)="",10^12,OFFSET(PLE!$G$14,$M64,AY$13))))</f>
        <v>1000000000000</v>
      </c>
      <c r="AZ64" s="179">
        <f ca="1">IF($D64&lt;&gt;"Serviço",0,IF(OR(AND(AUTOEVENTO="Manual",$M64=1),$M64&gt;(ROW(PLE.lastrow)-ROW(PLE.firstrow))),0,IF(OFFSET(PLE!$G$14,$M64,AZ$13)="",10^12,OFFSET(PLE!$G$14,$M64,AZ$13))))</f>
        <v>1000000000000</v>
      </c>
      <c r="BA64" s="179">
        <f ca="1">IF($D64&lt;&gt;"Serviço",0,IF(OR(AND(AUTOEVENTO="Manual",$M64=1),$M64&gt;(ROW(PLE.lastrow)-ROW(PLE.firstrow))),0,IF(OFFSET(PLE!$G$14,$M64,BA$13)="",10^12,OFFSET(PLE!$G$14,$M64,BA$13))))</f>
        <v>1000000000000</v>
      </c>
      <c r="BB64" s="179">
        <f ca="1">IF($D64&lt;&gt;"Serviço",0,IF(OR(AND(AUTOEVENTO="Manual",$M64=1),$M64&gt;(ROW(PLE.lastrow)-ROW(PLE.firstrow))),0,IF(OFFSET(PLE!$G$14,$M64,BB$13)="",10^12,OFFSET(PLE!$G$14,$M64,BB$13))))</f>
        <v>1000000000000</v>
      </c>
      <c r="BC64" s="179">
        <f ca="1">IF($D64&lt;&gt;"Serviço",0,IF(OR(AND(AUTOEVENTO="Manual",$M64=1),$M64&gt;(ROW(PLE.lastrow)-ROW(PLE.firstrow))),0,IF(OFFSET(PLE!$G$14,$M64,BC$13)="",10^12,OFFSET(PLE!$G$14,$M64,BC$13))))</f>
        <v>1000000000000</v>
      </c>
      <c r="BD64" s="179">
        <f ca="1">IF($D64&lt;&gt;"Serviço",0,IF(OR(AND(AUTOEVENTO="Manual",$M64=1),$M64&gt;(ROW(PLE.lastrow)-ROW(PLE.firstrow))),0,IF(OFFSET(PLE!$G$14,$M64,BD$13)="",10^12,OFFSET(PLE!$G$14,$M64,BD$13))))</f>
        <v>1000000000000</v>
      </c>
      <c r="BE64" s="179">
        <f ca="1">IF($D64&lt;&gt;"Serviço",0,IF(OR(AND(AUTOEVENTO="Manual",$M64=1),$M64&gt;(ROW(PLE.lastrow)-ROW(PLE.firstrow))),0,IF(OFFSET(PLE!$G$14,$M64,BE$13)="",10^12,OFFSET(PLE!$G$14,$M64,BE$13))))</f>
        <v>1000000000000</v>
      </c>
      <c r="BF64" s="179">
        <f ca="1">IF($D64&lt;&gt;"Serviço",0,IF(OR(AND(AUTOEVENTO="Manual",$M64=1),$M64&gt;(ROW(PLE.lastrow)-ROW(PLE.firstrow))),0,IF(OFFSET(PLE!$G$14,$M64,BF$13)="",10^12,OFFSET(PLE!$G$14,$M64,BF$13))))</f>
        <v>1000000000000</v>
      </c>
      <c r="BG64" s="179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25.5" x14ac:dyDescent="0.2">
      <c r="A65" s="7" t="str">
        <f t="shared" ca="1" si="8"/>
        <v>46</v>
      </c>
      <c r="B65" s="7" t="str">
        <f ca="1">OFFSET(ORÇAMENTO!C$15,ROW(B65)-ROW(B$15),0)</f>
        <v>S</v>
      </c>
      <c r="C65" s="7" t="str">
        <f ca="1">OFFSET(ORÇAMENTO!L$15,ROW(C65)-ROW(C$15),0)</f>
        <v/>
      </c>
      <c r="D65" s="115" t="str">
        <f ca="1">OFFSET(ORÇAMENTO!N$15,ROW(D65)-ROW(D$15),0)</f>
        <v>Serviço</v>
      </c>
      <c r="E65" s="116" t="str">
        <f ca="1">OFFSET(ORÇAMENTO!O$15,ROW(E65)-ROW(E$15),0)</f>
        <v>-</v>
      </c>
      <c r="F65" s="169" t="str">
        <f ca="1">OFFSET(ORÇAMENTO!R$15,ROW(F65)-ROW(F$15),0)</f>
        <v>(abra o arquivo 'Referência 10-2024.xlsm)</v>
      </c>
      <c r="G65" s="170" t="str">
        <f ca="1">IF($D65&lt;&gt;"Serviço","",OFFSET(ORÇAMENTO!S$15,ROW(G65)-ROW(G$15),0))</f>
        <v>-</v>
      </c>
      <c r="H65" s="121">
        <f ca="1">IF($D65&lt;&gt;"Serviço",0,IF(ACOMPANHAMENTO="BM",ROUND(OFFSET(ORÇAMENTO!AJ$15,ROW(H65)-ROW(H$15),0),15-13*ORÇAMENTO!$AF$7),SUMPRODUCT(($Q$12:$AA$12&lt;&gt;"")*ROUND($Q65:$AA65,15-13*ORÇAMENTO!$AF$7))))</f>
        <v>95.04</v>
      </c>
      <c r="I65" s="558" t="s">
        <v>561</v>
      </c>
      <c r="K65" s="171"/>
      <c r="L65" s="172" t="s">
        <v>255</v>
      </c>
      <c r="M65" s="173">
        <f ca="1">IF($D65&lt;&gt;"Serviço","",IF(AUTOEVENTO="manual",$A65,IF(ISERROR(MATCH($A65,$A$15:OFFSET($A65,-1,0),0)),MAX($M$15:OFFSET(M65,-1,0))+1,INDEX($M$15:OFFSET(M65,-1,0),MATCH($A65,$A$15:OFFSET($A65,-1,0),0)))))</f>
        <v>9</v>
      </c>
      <c r="N65" s="174" t="str">
        <f ca="1">IF($D65&lt;&gt;"Serviço","",IF(AUTOEVENTO="Manual",IF($A65=0,"&lt;-- defina o número do agrupador",OFFSET(EVENTOS!$D$14,$A65,0)),OFFSET($F$15,$A65,0)))</f>
        <v>REVESTIMENTOS DE PAREDES INTERNAS</v>
      </c>
      <c r="O65" s="175"/>
      <c r="Q65" s="175"/>
      <c r="R65" s="176"/>
      <c r="S65" s="176"/>
      <c r="T65" s="176"/>
      <c r="U65" s="176"/>
      <c r="V65" s="176"/>
      <c r="W65" s="176"/>
      <c r="X65" s="176"/>
      <c r="Y65" s="176"/>
      <c r="Z65" s="177"/>
      <c r="AB65" s="541">
        <f ca="1">IF(AND($D65="Serviço",AB$12&lt;&gt;0,$H65&gt;0,OR(AUTOEVENTO&lt;&gt;"manual",$M65&lt;&gt;1)),
IF(Import.TipoArredondamento&lt;&gt;"TransfereGOV",
ROUND(OFFSET($P65,0,AB$13),15-13*ORÇAMENTO!$AF$7)/$H65*OFFSET(ORÇAMENTO!$X$15,ROW(AB65)-ROW(AB$15),0),
ROUND(ROUND(OFFSET($P65,0,AB$13),15-13*ORÇAMENTO!$AF$7)*OFFSET(ORÇAMENTO!$W$15,ROW(AB65)-ROW(AB$15),0),15-13*ORÇAMENTO!$AF$11)),0)</f>
        <v>0</v>
      </c>
      <c r="AC65" s="542">
        <f ca="1">IF(AND($D65="Serviço",AC$12&lt;&gt;0,$H65&gt;0,OR(AUTOEVENTO&lt;&gt;"manual",$M65&lt;&gt;1)),
IF(Import.TipoArredondamento&lt;&gt;"TransfereGOV",
ROUND(OFFSET($P65,0,AC$13),15-13*ORÇAMENTO!$AF$7)/$H65*OFFSET(ORÇAMENTO!$X$15,ROW(AC65)-ROW(AC$15),0),
ROUND(ROUND(OFFSET($P65,0,AC$13),15-13*ORÇAMENTO!$AF$7)*OFFSET(ORÇAMENTO!$W$15,ROW(AC65)-ROW(AC$15),0),15-13*ORÇAMENTO!$AF$11)),0)</f>
        <v>0</v>
      </c>
      <c r="AD65" s="542">
        <f ca="1">IF(AND($D65="Serviço",AD$12&lt;&gt;0,$H65&gt;0,OR(AUTOEVENTO&lt;&gt;"manual",$M65&lt;&gt;1)),
IF(Import.TipoArredondamento&lt;&gt;"TransfereGOV",
ROUND(OFFSET($P65,0,AD$13),15-13*ORÇAMENTO!$AF$7)/$H65*OFFSET(ORÇAMENTO!$X$15,ROW(AD65)-ROW(AD$15),0),
ROUND(ROUND(OFFSET($P65,0,AD$13),15-13*ORÇAMENTO!$AF$7)*OFFSET(ORÇAMENTO!$W$15,ROW(AD65)-ROW(AD$15),0),15-13*ORÇAMENTO!$AF$11)),0)</f>
        <v>0</v>
      </c>
      <c r="AE65" s="542">
        <f ca="1">IF(AND($D65="Serviço",AE$12&lt;&gt;0,$H65&gt;0,OR(AUTOEVENTO&lt;&gt;"manual",$M65&lt;&gt;1)),
IF(Import.TipoArredondamento&lt;&gt;"TransfereGOV",
ROUND(OFFSET($P65,0,AE$13),15-13*ORÇAMENTO!$AF$7)/$H65*OFFSET(ORÇAMENTO!$X$15,ROW(AE65)-ROW(AE$15),0),
ROUND(ROUND(OFFSET($P65,0,AE$13),15-13*ORÇAMENTO!$AF$7)*OFFSET(ORÇAMENTO!$W$15,ROW(AE65)-ROW(AE$15),0),15-13*ORÇAMENTO!$AF$11)),0)</f>
        <v>0</v>
      </c>
      <c r="AF65" s="542">
        <f ca="1">IF(AND($D65="Serviço",AF$12&lt;&gt;0,$H65&gt;0,OR(AUTOEVENTO&lt;&gt;"manual",$M65&lt;&gt;1)),
IF(Import.TipoArredondamento&lt;&gt;"TransfereGOV",
ROUND(OFFSET($P65,0,AF$13),15-13*ORÇAMENTO!$AF$7)/$H65*OFFSET(ORÇAMENTO!$X$15,ROW(AF65)-ROW(AF$15),0),
ROUND(ROUND(OFFSET($P65,0,AF$13),15-13*ORÇAMENTO!$AF$7)*OFFSET(ORÇAMENTO!$W$15,ROW(AF65)-ROW(AF$15),0),15-13*ORÇAMENTO!$AF$11)),0)</f>
        <v>0</v>
      </c>
      <c r="AG65" s="542">
        <f ca="1">IF(AND($D65="Serviço",AG$12&lt;&gt;0,$H65&gt;0,OR(AUTOEVENTO&lt;&gt;"manual",$M65&lt;&gt;1)),
IF(Import.TipoArredondamento&lt;&gt;"TransfereGOV",
ROUND(OFFSET($P65,0,AG$13),15-13*ORÇAMENTO!$AF$7)/$H65*OFFSET(ORÇAMENTO!$X$15,ROW(AG65)-ROW(AG$15),0),
ROUND(ROUND(OFFSET($P65,0,AG$13),15-13*ORÇAMENTO!$AF$7)*OFFSET(ORÇAMENTO!$W$15,ROW(AG65)-ROW(AG$15),0),15-13*ORÇAMENTO!$AF$11)),0)</f>
        <v>0</v>
      </c>
      <c r="AH65" s="542">
        <f ca="1">IF(AND($D65="Serviço",AH$12&lt;&gt;0,$H65&gt;0,OR(AUTOEVENTO&lt;&gt;"manual",$M65&lt;&gt;1)),
IF(Import.TipoArredondamento&lt;&gt;"TransfereGOV",
ROUND(OFFSET($P65,0,AH$13),15-13*ORÇAMENTO!$AF$7)/$H65*OFFSET(ORÇAMENTO!$X$15,ROW(AH65)-ROW(AH$15),0),
ROUND(ROUND(OFFSET($P65,0,AH$13),15-13*ORÇAMENTO!$AF$7)*OFFSET(ORÇAMENTO!$W$15,ROW(AH65)-ROW(AH$15),0),15-13*ORÇAMENTO!$AF$11)),0)</f>
        <v>0</v>
      </c>
      <c r="AI65" s="542">
        <f ca="1">IF(AND($D65="Serviço",AI$12&lt;&gt;0,$H65&gt;0,OR(AUTOEVENTO&lt;&gt;"manual",$M65&lt;&gt;1)),
IF(Import.TipoArredondamento&lt;&gt;"TransfereGOV",
ROUND(OFFSET($P65,0,AI$13),15-13*ORÇAMENTO!$AF$7)/$H65*OFFSET(ORÇAMENTO!$X$15,ROW(AI65)-ROW(AI$15),0),
ROUND(ROUND(OFFSET($P65,0,AI$13),15-13*ORÇAMENTO!$AF$7)*OFFSET(ORÇAMENTO!$W$15,ROW(AI65)-ROW(AI$15),0),15-13*ORÇAMENTO!$AF$11)),0)</f>
        <v>0</v>
      </c>
      <c r="AJ65" s="542">
        <f ca="1">IF(AND($D65="Serviço",AJ$12&lt;&gt;0,$H65&gt;0,OR(AUTOEVENTO&lt;&gt;"manual",$M65&lt;&gt;1)),
IF(Import.TipoArredondamento&lt;&gt;"TransfereGOV",
ROUND(OFFSET($P65,0,AJ$13),15-13*ORÇAMENTO!$AF$7)/$H65*OFFSET(ORÇAMENTO!$X$15,ROW(AJ65)-ROW(AJ$15),0),
ROUND(ROUND(OFFSET($P65,0,AJ$13),15-13*ORÇAMENTO!$AF$7)*OFFSET(ORÇAMENTO!$W$15,ROW(AJ65)-ROW(AJ$15),0),15-13*ORÇAMENTO!$AF$11)),0)</f>
        <v>0</v>
      </c>
      <c r="AK65" s="543">
        <f ca="1">IF(AND($D65="Serviço",AK$12&lt;&gt;0,$H65&gt;0,OR(AUTOEVENTO&lt;&gt;"manual",$M65&lt;&gt;1)),
IF(Import.TipoArredondamento&lt;&gt;"TransfereGOV",
ROUND(OFFSET($P65,0,AK$13),15-13*ORÇAMENTO!$AF$7)/$H65*OFFSET(ORÇAMENTO!$X$15,ROW(AK65)-ROW(AK$15),0),
ROUND(ROUND(OFFSET($P65,0,AK$13),15-13*ORÇAMENTO!$AF$7)*OFFSET(ORÇAMENTO!$W$15,ROW(AK65)-ROW(AK$15),0),15-13*ORÇAMENTO!$AF$11)),0)</f>
        <v>0</v>
      </c>
      <c r="AM65" s="178">
        <f ca="1">IF($D65&lt;&gt;"Serviço",0,IF(AND(AUTOEVENTO="Manual",$M65=1),0,IF(OFFSET(CRONOPLE!$F$14,$M65,AM$13)="",10^12,OFFSET(CRONOPLE!$F$14,$M65,AM$13))))</f>
        <v>1000000000000</v>
      </c>
      <c r="AN65" s="178">
        <f ca="1">IF($D65&lt;&gt;"Serviço",0,IF(AND(AUTOEVENTO="Manual",$M65=1),0,IF(OFFSET(CRONOPLE!$F$14,$M65,AN$13)="",10^12,OFFSET(CRONOPLE!$F$14,$M65,AN$13))))</f>
        <v>1000000000000</v>
      </c>
      <c r="AO65" s="178">
        <f ca="1">IF($D65&lt;&gt;"Serviço",0,IF(AND(AUTOEVENTO="Manual",$M65=1),0,IF(OFFSET(CRONOPLE!$F$14,$M65,AO$13)="",10^12,OFFSET(CRONOPLE!$F$14,$M65,AO$13))))</f>
        <v>1000000000000</v>
      </c>
      <c r="AP65" s="178">
        <f ca="1">IF($D65&lt;&gt;"Serviço",0,IF(AND(AUTOEVENTO="Manual",$M65=1),0,IF(OFFSET(CRONOPLE!$F$14,$M65,AP$13)="",10^12,OFFSET(CRONOPLE!$F$14,$M65,AP$13))))</f>
        <v>1000000000000</v>
      </c>
      <c r="AQ65" s="178">
        <f ca="1">IF($D65&lt;&gt;"Serviço",0,IF(AND(AUTOEVENTO="Manual",$M65=1),0,IF(OFFSET(CRONOPLE!$F$14,$M65,AQ$13)="",10^12,OFFSET(CRONOPLE!$F$14,$M65,AQ$13))))</f>
        <v>1000000000000</v>
      </c>
      <c r="AR65" s="178">
        <f ca="1">IF($D65&lt;&gt;"Serviço",0,IF(AND(AUTOEVENTO="Manual",$M65=1),0,IF(OFFSET(CRONOPLE!$F$14,$M65,AR$13)="",10^12,OFFSET(CRONOPLE!$F$14,$M65,AR$13))))</f>
        <v>1000000000000</v>
      </c>
      <c r="AS65" s="178">
        <f ca="1">IF($D65&lt;&gt;"Serviço",0,IF(AND(AUTOEVENTO="Manual",$M65=1),0,IF(OFFSET(CRONOPLE!$F$14,$M65,AS$13)="",10^12,OFFSET(CRONOPLE!$F$14,$M65,AS$13))))</f>
        <v>1000000000000</v>
      </c>
      <c r="AT65" s="178">
        <f ca="1">IF($D65&lt;&gt;"Serviço",0,IF(AND(AUTOEVENTO="Manual",$M65=1),0,IF(OFFSET(CRONOPLE!$F$14,$M65,AT$13)="",10^12,OFFSET(CRONOPLE!$F$14,$M65,AT$13))))</f>
        <v>1000000000000</v>
      </c>
      <c r="AU65" s="178">
        <f ca="1">IF($D65&lt;&gt;"Serviço",0,IF(AND(AUTOEVENTO="Manual",$M65=1),0,IF(OFFSET(CRONOPLE!$F$14,$M65,AU$13)="",10^12,OFFSET(CRONOPLE!$F$14,$M65,AU$13))))</f>
        <v>1000000000000</v>
      </c>
      <c r="AV65" s="178">
        <f ca="1">IF($D65&lt;&gt;"Serviço",0,IF(AND(AUTOEVENTO="Manual",$M65=1),0,IF(OFFSET(CRONOPLE!$F$14,$M65,AV$13)="",10^12,OFFSET(CRONOPLE!$F$14,$M65,AV$13))))</f>
        <v>1000000000000</v>
      </c>
      <c r="AX65" s="179">
        <f ca="1">IF($D65&lt;&gt;"Serviço",0,IF(OR(AND(AUTOEVENTO="Manual",$M65=1),$M65&gt;(ROW(PLE.lastrow)-ROW(PLE.firstrow))),0,IF(OFFSET(PLE!$G$14,$M65,AX$13)="",10^12,OFFSET(PLE!$G$14,$M65,AX$13))))</f>
        <v>1000000000000</v>
      </c>
      <c r="AY65" s="179">
        <f ca="1">IF($D65&lt;&gt;"Serviço",0,IF(OR(AND(AUTOEVENTO="Manual",$M65=1),$M65&gt;(ROW(PLE.lastrow)-ROW(PLE.firstrow))),0,IF(OFFSET(PLE!$G$14,$M65,AY$13)="",10^12,OFFSET(PLE!$G$14,$M65,AY$13))))</f>
        <v>1000000000000</v>
      </c>
      <c r="AZ65" s="179">
        <f ca="1">IF($D65&lt;&gt;"Serviço",0,IF(OR(AND(AUTOEVENTO="Manual",$M65=1),$M65&gt;(ROW(PLE.lastrow)-ROW(PLE.firstrow))),0,IF(OFFSET(PLE!$G$14,$M65,AZ$13)="",10^12,OFFSET(PLE!$G$14,$M65,AZ$13))))</f>
        <v>1000000000000</v>
      </c>
      <c r="BA65" s="179">
        <f ca="1">IF($D65&lt;&gt;"Serviço",0,IF(OR(AND(AUTOEVENTO="Manual",$M65=1),$M65&gt;(ROW(PLE.lastrow)-ROW(PLE.firstrow))),0,IF(OFFSET(PLE!$G$14,$M65,BA$13)="",10^12,OFFSET(PLE!$G$14,$M65,BA$13))))</f>
        <v>1000000000000</v>
      </c>
      <c r="BB65" s="179">
        <f ca="1">IF($D65&lt;&gt;"Serviço",0,IF(OR(AND(AUTOEVENTO="Manual",$M65=1),$M65&gt;(ROW(PLE.lastrow)-ROW(PLE.firstrow))),0,IF(OFFSET(PLE!$G$14,$M65,BB$13)="",10^12,OFFSET(PLE!$G$14,$M65,BB$13))))</f>
        <v>1000000000000</v>
      </c>
      <c r="BC65" s="179">
        <f ca="1">IF($D65&lt;&gt;"Serviço",0,IF(OR(AND(AUTOEVENTO="Manual",$M65=1),$M65&gt;(ROW(PLE.lastrow)-ROW(PLE.firstrow))),0,IF(OFFSET(PLE!$G$14,$M65,BC$13)="",10^12,OFFSET(PLE!$G$14,$M65,BC$13))))</f>
        <v>1000000000000</v>
      </c>
      <c r="BD65" s="179">
        <f ca="1">IF($D65&lt;&gt;"Serviço",0,IF(OR(AND(AUTOEVENTO="Manual",$M65=1),$M65&gt;(ROW(PLE.lastrow)-ROW(PLE.firstrow))),0,IF(OFFSET(PLE!$G$14,$M65,BD$13)="",10^12,OFFSET(PLE!$G$14,$M65,BD$13))))</f>
        <v>1000000000000</v>
      </c>
      <c r="BE65" s="179">
        <f ca="1">IF($D65&lt;&gt;"Serviço",0,IF(OR(AND(AUTOEVENTO="Manual",$M65=1),$M65&gt;(ROW(PLE.lastrow)-ROW(PLE.firstrow))),0,IF(OFFSET(PLE!$G$14,$M65,BE$13)="",10^12,OFFSET(PLE!$G$14,$M65,BE$13))))</f>
        <v>1000000000000</v>
      </c>
      <c r="BF65" s="179">
        <f ca="1">IF($D65&lt;&gt;"Serviço",0,IF(OR(AND(AUTOEVENTO="Manual",$M65=1),$M65&gt;(ROW(PLE.lastrow)-ROW(PLE.firstrow))),0,IF(OFFSET(PLE!$G$14,$M65,BF$13)="",10^12,OFFSET(PLE!$G$14,$M65,BF$13))))</f>
        <v>1000000000000</v>
      </c>
      <c r="BG65" s="179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7" t="str">
        <f t="shared" ca="1" si="8"/>
        <v>51.</v>
      </c>
      <c r="B66" s="7">
        <f ca="1">OFFSET(ORÇAMENTO!C$15,ROW(B66)-ROW(B$15),0)</f>
        <v>2</v>
      </c>
      <c r="C66" s="7" t="str">
        <f ca="1">OFFSET(ORÇAMENTO!L$15,ROW(C66)-ROW(C$15),0)</f>
        <v>F</v>
      </c>
      <c r="D66" s="115" t="str">
        <f ca="1">OFFSET(ORÇAMENTO!N$15,ROW(D66)-ROW(D$15),0)</f>
        <v>Nível 2</v>
      </c>
      <c r="E66" s="116" t="str">
        <f ca="1">OFFSET(ORÇAMENTO!O$15,ROW(E66)-ROW(E$15),0)</f>
        <v>1.9.</v>
      </c>
      <c r="F66" s="169" t="str">
        <f ca="1">OFFSET(ORÇAMENTO!R$15,ROW(F66)-ROW(F$15),0)</f>
        <v>IMPERMEABILIZAÇÃO</v>
      </c>
      <c r="G66" s="170" t="str">
        <f ca="1">IF($D66&lt;&gt;"Serviço","",OFFSET(ORÇAMENTO!S$15,ROW(G66)-ROW(G$15),0))</f>
        <v/>
      </c>
      <c r="H66" s="121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558"/>
      <c r="K66" s="171"/>
      <c r="L66" s="172" t="s">
        <v>255</v>
      </c>
      <c r="M66" s="173" t="str">
        <f ca="1">IF($D66&lt;&gt;"Serviço","",IF(AUTOEVENTO="manual",$A66,IF(ISERROR(MATCH($A66,$A$15:OFFSET($A66,-1,0),0)),MAX($M$15:OFFSET(M66,-1,0))+1,INDEX($M$15:OFFSET(M66,-1,0),MATCH($A66,$A$15:OFFSET($A66,-1,0),0)))))</f>
        <v/>
      </c>
      <c r="N66" s="174" t="str">
        <f ca="1">IF($D66&lt;&gt;"Serviço","",IF(AUTOEVENTO="Manual",IF($A66=0,"&lt;-- defina o número do agrupador",OFFSET(EVENTOS!$D$14,$A66,0)),OFFSET($F$15,$A66,0)))</f>
        <v/>
      </c>
      <c r="O66" s="175"/>
      <c r="Q66" s="175"/>
      <c r="R66" s="176"/>
      <c r="S66" s="176"/>
      <c r="T66" s="176"/>
      <c r="U66" s="176"/>
      <c r="V66" s="176"/>
      <c r="W66" s="176"/>
      <c r="X66" s="176"/>
      <c r="Y66" s="176"/>
      <c r="Z66" s="177"/>
      <c r="AB66" s="541">
        <f ca="1">IF(AND($D66="Serviço",AB$12&lt;&gt;0,$H66&gt;0,OR(AUTOEVENTO&lt;&gt;"manual",$M66&lt;&gt;1)),
IF(Import.TipoArredondamento&lt;&gt;"TransfereGOV",
ROUND(OFFSET($P66,0,AB$13),15-13*ORÇAMENTO!$AF$7)/$H66*OFFSET(ORÇAMENTO!$X$15,ROW(AB66)-ROW(AB$15),0),
ROUND(ROUND(OFFSET($P66,0,AB$13),15-13*ORÇAMENTO!$AF$7)*OFFSET(ORÇAMENTO!$W$15,ROW(AB66)-ROW(AB$15),0),15-13*ORÇAMENTO!$AF$11)),0)</f>
        <v>0</v>
      </c>
      <c r="AC66" s="542">
        <f ca="1">IF(AND($D66="Serviço",AC$12&lt;&gt;0,$H66&gt;0,OR(AUTOEVENTO&lt;&gt;"manual",$M66&lt;&gt;1)),
IF(Import.TipoArredondamento&lt;&gt;"TransfereGOV",
ROUND(OFFSET($P66,0,AC$13),15-13*ORÇAMENTO!$AF$7)/$H66*OFFSET(ORÇAMENTO!$X$15,ROW(AC66)-ROW(AC$15),0),
ROUND(ROUND(OFFSET($P66,0,AC$13),15-13*ORÇAMENTO!$AF$7)*OFFSET(ORÇAMENTO!$W$15,ROW(AC66)-ROW(AC$15),0),15-13*ORÇAMENTO!$AF$11)),0)</f>
        <v>0</v>
      </c>
      <c r="AD66" s="542">
        <f ca="1">IF(AND($D66="Serviço",AD$12&lt;&gt;0,$H66&gt;0,OR(AUTOEVENTO&lt;&gt;"manual",$M66&lt;&gt;1)),
IF(Import.TipoArredondamento&lt;&gt;"TransfereGOV",
ROUND(OFFSET($P66,0,AD$13),15-13*ORÇAMENTO!$AF$7)/$H66*OFFSET(ORÇAMENTO!$X$15,ROW(AD66)-ROW(AD$15),0),
ROUND(ROUND(OFFSET($P66,0,AD$13),15-13*ORÇAMENTO!$AF$7)*OFFSET(ORÇAMENTO!$W$15,ROW(AD66)-ROW(AD$15),0),15-13*ORÇAMENTO!$AF$11)),0)</f>
        <v>0</v>
      </c>
      <c r="AE66" s="542">
        <f ca="1">IF(AND($D66="Serviço",AE$12&lt;&gt;0,$H66&gt;0,OR(AUTOEVENTO&lt;&gt;"manual",$M66&lt;&gt;1)),
IF(Import.TipoArredondamento&lt;&gt;"TransfereGOV",
ROUND(OFFSET($P66,0,AE$13),15-13*ORÇAMENTO!$AF$7)/$H66*OFFSET(ORÇAMENTO!$X$15,ROW(AE66)-ROW(AE$15),0),
ROUND(ROUND(OFFSET($P66,0,AE$13),15-13*ORÇAMENTO!$AF$7)*OFFSET(ORÇAMENTO!$W$15,ROW(AE66)-ROW(AE$15),0),15-13*ORÇAMENTO!$AF$11)),0)</f>
        <v>0</v>
      </c>
      <c r="AF66" s="542">
        <f ca="1">IF(AND($D66="Serviço",AF$12&lt;&gt;0,$H66&gt;0,OR(AUTOEVENTO&lt;&gt;"manual",$M66&lt;&gt;1)),
IF(Import.TipoArredondamento&lt;&gt;"TransfereGOV",
ROUND(OFFSET($P66,0,AF$13),15-13*ORÇAMENTO!$AF$7)/$H66*OFFSET(ORÇAMENTO!$X$15,ROW(AF66)-ROW(AF$15),0),
ROUND(ROUND(OFFSET($P66,0,AF$13),15-13*ORÇAMENTO!$AF$7)*OFFSET(ORÇAMENTO!$W$15,ROW(AF66)-ROW(AF$15),0),15-13*ORÇAMENTO!$AF$11)),0)</f>
        <v>0</v>
      </c>
      <c r="AG66" s="542">
        <f ca="1">IF(AND($D66="Serviço",AG$12&lt;&gt;0,$H66&gt;0,OR(AUTOEVENTO&lt;&gt;"manual",$M66&lt;&gt;1)),
IF(Import.TipoArredondamento&lt;&gt;"TransfereGOV",
ROUND(OFFSET($P66,0,AG$13),15-13*ORÇAMENTO!$AF$7)/$H66*OFFSET(ORÇAMENTO!$X$15,ROW(AG66)-ROW(AG$15),0),
ROUND(ROUND(OFFSET($P66,0,AG$13),15-13*ORÇAMENTO!$AF$7)*OFFSET(ORÇAMENTO!$W$15,ROW(AG66)-ROW(AG$15),0),15-13*ORÇAMENTO!$AF$11)),0)</f>
        <v>0</v>
      </c>
      <c r="AH66" s="542">
        <f ca="1">IF(AND($D66="Serviço",AH$12&lt;&gt;0,$H66&gt;0,OR(AUTOEVENTO&lt;&gt;"manual",$M66&lt;&gt;1)),
IF(Import.TipoArredondamento&lt;&gt;"TransfereGOV",
ROUND(OFFSET($P66,0,AH$13),15-13*ORÇAMENTO!$AF$7)/$H66*OFFSET(ORÇAMENTO!$X$15,ROW(AH66)-ROW(AH$15),0),
ROUND(ROUND(OFFSET($P66,0,AH$13),15-13*ORÇAMENTO!$AF$7)*OFFSET(ORÇAMENTO!$W$15,ROW(AH66)-ROW(AH$15),0),15-13*ORÇAMENTO!$AF$11)),0)</f>
        <v>0</v>
      </c>
      <c r="AI66" s="542">
        <f ca="1">IF(AND($D66="Serviço",AI$12&lt;&gt;0,$H66&gt;0,OR(AUTOEVENTO&lt;&gt;"manual",$M66&lt;&gt;1)),
IF(Import.TipoArredondamento&lt;&gt;"TransfereGOV",
ROUND(OFFSET($P66,0,AI$13),15-13*ORÇAMENTO!$AF$7)/$H66*OFFSET(ORÇAMENTO!$X$15,ROW(AI66)-ROW(AI$15),0),
ROUND(ROUND(OFFSET($P66,0,AI$13),15-13*ORÇAMENTO!$AF$7)*OFFSET(ORÇAMENTO!$W$15,ROW(AI66)-ROW(AI$15),0),15-13*ORÇAMENTO!$AF$11)),0)</f>
        <v>0</v>
      </c>
      <c r="AJ66" s="542">
        <f ca="1">IF(AND($D66="Serviço",AJ$12&lt;&gt;0,$H66&gt;0,OR(AUTOEVENTO&lt;&gt;"manual",$M66&lt;&gt;1)),
IF(Import.TipoArredondamento&lt;&gt;"TransfereGOV",
ROUND(OFFSET($P66,0,AJ$13),15-13*ORÇAMENTO!$AF$7)/$H66*OFFSET(ORÇAMENTO!$X$15,ROW(AJ66)-ROW(AJ$15),0),
ROUND(ROUND(OFFSET($P66,0,AJ$13),15-13*ORÇAMENTO!$AF$7)*OFFSET(ORÇAMENTO!$W$15,ROW(AJ66)-ROW(AJ$15),0),15-13*ORÇAMENTO!$AF$11)),0)</f>
        <v>0</v>
      </c>
      <c r="AK66" s="543">
        <f ca="1">IF(AND($D66="Serviço",AK$12&lt;&gt;0,$H66&gt;0,OR(AUTOEVENTO&lt;&gt;"manual",$M66&lt;&gt;1)),
IF(Import.TipoArredondamento&lt;&gt;"TransfereGOV",
ROUND(OFFSET($P66,0,AK$13),15-13*ORÇAMENTO!$AF$7)/$H66*OFFSET(ORÇAMENTO!$X$15,ROW(AK66)-ROW(AK$15),0),
ROUND(ROUND(OFFSET($P66,0,AK$13),15-13*ORÇAMENTO!$AF$7)*OFFSET(ORÇAMENTO!$W$15,ROW(AK66)-ROW(AK$15),0),15-13*ORÇAMENTO!$AF$11)),0)</f>
        <v>0</v>
      </c>
      <c r="AM66" s="178">
        <f ca="1">IF($D66&lt;&gt;"Serviço",0,IF(AND(AUTOEVENTO="Manual",$M66=1),0,IF(OFFSET(CRONOPLE!$F$14,$M66,AM$13)="",10^12,OFFSET(CRONOPLE!$F$14,$M66,AM$13))))</f>
        <v>0</v>
      </c>
      <c r="AN66" s="178">
        <f ca="1">IF($D66&lt;&gt;"Serviço",0,IF(AND(AUTOEVENTO="Manual",$M66=1),0,IF(OFFSET(CRONOPLE!$F$14,$M66,AN$13)="",10^12,OFFSET(CRONOPLE!$F$14,$M66,AN$13))))</f>
        <v>0</v>
      </c>
      <c r="AO66" s="178">
        <f ca="1">IF($D66&lt;&gt;"Serviço",0,IF(AND(AUTOEVENTO="Manual",$M66=1),0,IF(OFFSET(CRONOPLE!$F$14,$M66,AO$13)="",10^12,OFFSET(CRONOPLE!$F$14,$M66,AO$13))))</f>
        <v>0</v>
      </c>
      <c r="AP66" s="178">
        <f ca="1">IF($D66&lt;&gt;"Serviço",0,IF(AND(AUTOEVENTO="Manual",$M66=1),0,IF(OFFSET(CRONOPLE!$F$14,$M66,AP$13)="",10^12,OFFSET(CRONOPLE!$F$14,$M66,AP$13))))</f>
        <v>0</v>
      </c>
      <c r="AQ66" s="178">
        <f ca="1">IF($D66&lt;&gt;"Serviço",0,IF(AND(AUTOEVENTO="Manual",$M66=1),0,IF(OFFSET(CRONOPLE!$F$14,$M66,AQ$13)="",10^12,OFFSET(CRONOPLE!$F$14,$M66,AQ$13))))</f>
        <v>0</v>
      </c>
      <c r="AR66" s="178">
        <f ca="1">IF($D66&lt;&gt;"Serviço",0,IF(AND(AUTOEVENTO="Manual",$M66=1),0,IF(OFFSET(CRONOPLE!$F$14,$M66,AR$13)="",10^12,OFFSET(CRONOPLE!$F$14,$M66,AR$13))))</f>
        <v>0</v>
      </c>
      <c r="AS66" s="178">
        <f ca="1">IF($D66&lt;&gt;"Serviço",0,IF(AND(AUTOEVENTO="Manual",$M66=1),0,IF(OFFSET(CRONOPLE!$F$14,$M66,AS$13)="",10^12,OFFSET(CRONOPLE!$F$14,$M66,AS$13))))</f>
        <v>0</v>
      </c>
      <c r="AT66" s="178">
        <f ca="1">IF($D66&lt;&gt;"Serviço",0,IF(AND(AUTOEVENTO="Manual",$M66=1),0,IF(OFFSET(CRONOPLE!$F$14,$M66,AT$13)="",10^12,OFFSET(CRONOPLE!$F$14,$M66,AT$13))))</f>
        <v>0</v>
      </c>
      <c r="AU66" s="178">
        <f ca="1">IF($D66&lt;&gt;"Serviço",0,IF(AND(AUTOEVENTO="Manual",$M66=1),0,IF(OFFSET(CRONOPLE!$F$14,$M66,AU$13)="",10^12,OFFSET(CRONOPLE!$F$14,$M66,AU$13))))</f>
        <v>0</v>
      </c>
      <c r="AV66" s="178">
        <f ca="1">IF($D66&lt;&gt;"Serviço",0,IF(AND(AUTOEVENTO="Manual",$M66=1),0,IF(OFFSET(CRONOPLE!$F$14,$M66,AV$13)="",10^12,OFFSET(CRONOPLE!$F$14,$M66,AV$13))))</f>
        <v>0</v>
      </c>
      <c r="AX66" s="179">
        <f ca="1">IF($D66&lt;&gt;"Serviço",0,IF(OR(AND(AUTOEVENTO="Manual",$M66=1),$M66&gt;(ROW(PLE.lastrow)-ROW(PLE.firstrow))),0,IF(OFFSET(PLE!$G$14,$M66,AX$13)="",10^12,OFFSET(PLE!$G$14,$M66,AX$13))))</f>
        <v>0</v>
      </c>
      <c r="AY66" s="179">
        <f ca="1">IF($D66&lt;&gt;"Serviço",0,IF(OR(AND(AUTOEVENTO="Manual",$M66=1),$M66&gt;(ROW(PLE.lastrow)-ROW(PLE.firstrow))),0,IF(OFFSET(PLE!$G$14,$M66,AY$13)="",10^12,OFFSET(PLE!$G$14,$M66,AY$13))))</f>
        <v>0</v>
      </c>
      <c r="AZ66" s="179">
        <f ca="1">IF($D66&lt;&gt;"Serviço",0,IF(OR(AND(AUTOEVENTO="Manual",$M66=1),$M66&gt;(ROW(PLE.lastrow)-ROW(PLE.firstrow))),0,IF(OFFSET(PLE!$G$14,$M66,AZ$13)="",10^12,OFFSET(PLE!$G$14,$M66,AZ$13))))</f>
        <v>0</v>
      </c>
      <c r="BA66" s="179">
        <f ca="1">IF($D66&lt;&gt;"Serviço",0,IF(OR(AND(AUTOEVENTO="Manual",$M66=1),$M66&gt;(ROW(PLE.lastrow)-ROW(PLE.firstrow))),0,IF(OFFSET(PLE!$G$14,$M66,BA$13)="",10^12,OFFSET(PLE!$G$14,$M66,BA$13))))</f>
        <v>0</v>
      </c>
      <c r="BB66" s="179">
        <f ca="1">IF($D66&lt;&gt;"Serviço",0,IF(OR(AND(AUTOEVENTO="Manual",$M66=1),$M66&gt;(ROW(PLE.lastrow)-ROW(PLE.firstrow))),0,IF(OFFSET(PLE!$G$14,$M66,BB$13)="",10^12,OFFSET(PLE!$G$14,$M66,BB$13))))</f>
        <v>0</v>
      </c>
      <c r="BC66" s="179">
        <f ca="1">IF($D66&lt;&gt;"Serviço",0,IF(OR(AND(AUTOEVENTO="Manual",$M66=1),$M66&gt;(ROW(PLE.lastrow)-ROW(PLE.firstrow))),0,IF(OFFSET(PLE!$G$14,$M66,BC$13)="",10^12,OFFSET(PLE!$G$14,$M66,BC$13))))</f>
        <v>0</v>
      </c>
      <c r="BD66" s="179">
        <f ca="1">IF($D66&lt;&gt;"Serviço",0,IF(OR(AND(AUTOEVENTO="Manual",$M66=1),$M66&gt;(ROW(PLE.lastrow)-ROW(PLE.firstrow))),0,IF(OFFSET(PLE!$G$14,$M66,BD$13)="",10^12,OFFSET(PLE!$G$14,$M66,BD$13))))</f>
        <v>0</v>
      </c>
      <c r="BE66" s="179">
        <f ca="1">IF($D66&lt;&gt;"Serviço",0,IF(OR(AND(AUTOEVENTO="Manual",$M66=1),$M66&gt;(ROW(PLE.lastrow)-ROW(PLE.firstrow))),0,IF(OFFSET(PLE!$G$14,$M66,BE$13)="",10^12,OFFSET(PLE!$G$14,$M66,BE$13))))</f>
        <v>0</v>
      </c>
      <c r="BF66" s="179">
        <f ca="1">IF($D66&lt;&gt;"Serviço",0,IF(OR(AND(AUTOEVENTO="Manual",$M66=1),$M66&gt;(ROW(PLE.lastrow)-ROW(PLE.firstrow))),0,IF(OFFSET(PLE!$G$14,$M66,BF$13)="",10^12,OFFSET(PLE!$G$14,$M66,BF$13))))</f>
        <v>0</v>
      </c>
      <c r="BG66" s="179">
        <f ca="1">IF($D66&lt;&gt;"Serviço",0,IF(OR(AND(AUTOEVENTO="Manual",$M66=1),$M66&gt;(ROW(PLE.lastrow)-ROW(PLE.firstrow))),0,IF(OFFSET(PLE!$G$14,$M66,BG$13)="",10^12,OFFSET(PLE!$G$14,$M66,BG$13))))</f>
        <v>0</v>
      </c>
    </row>
    <row r="67" spans="1:59" ht="25.5" x14ac:dyDescent="0.2">
      <c r="A67" s="7" t="str">
        <f t="shared" ca="1" si="8"/>
        <v>51</v>
      </c>
      <c r="B67" s="7" t="str">
        <f ca="1">OFFSET(ORÇAMENTO!C$15,ROW(B67)-ROW(B$15),0)</f>
        <v>S</v>
      </c>
      <c r="C67" s="7" t="str">
        <f ca="1">OFFSET(ORÇAMENTO!L$15,ROW(C67)-ROW(C$15),0)</f>
        <v/>
      </c>
      <c r="D67" s="115" t="str">
        <f ca="1">OFFSET(ORÇAMENTO!N$15,ROW(D67)-ROW(D$15),0)</f>
        <v>Serviço</v>
      </c>
      <c r="E67" s="116" t="str">
        <f ca="1">OFFSET(ORÇAMENTO!O$15,ROW(E67)-ROW(E$15),0)</f>
        <v>-</v>
      </c>
      <c r="F67" s="169" t="str">
        <f ca="1">OFFSET(ORÇAMENTO!R$15,ROW(F67)-ROW(F$15),0)</f>
        <v>(abra o arquivo 'Referência 10-2024.xlsm)</v>
      </c>
      <c r="G67" s="170" t="str">
        <f ca="1">IF($D67&lt;&gt;"Serviço","",OFFSET(ORÇAMENTO!S$15,ROW(G67)-ROW(G$15),0))</f>
        <v>-</v>
      </c>
      <c r="H67" s="121">
        <f ca="1">IF($D67&lt;&gt;"Serviço",0,IF(ACOMPANHAMENTO="BM",ROUND(OFFSET(ORÇAMENTO!AJ$15,ROW(H67)-ROW(H$15),0),15-13*ORÇAMENTO!$AF$7),SUMPRODUCT(($Q$12:$AA$12&lt;&gt;"")*ROUND($Q67:$AA67,15-13*ORÇAMENTO!$AF$7))))</f>
        <v>13</v>
      </c>
      <c r="I67" s="558" t="s">
        <v>561</v>
      </c>
      <c r="K67" s="171"/>
      <c r="L67" s="172" t="s">
        <v>255</v>
      </c>
      <c r="M67" s="173">
        <f ca="1">IF($D67&lt;&gt;"Serviço","",IF(AUTOEVENTO="manual",$A67,IF(ISERROR(MATCH($A67,$A$15:OFFSET($A67,-1,0),0)),MAX($M$15:OFFSET(M67,-1,0))+1,INDEX($M$15:OFFSET(M67,-1,0),MATCH($A67,$A$15:OFFSET($A67,-1,0),0)))))</f>
        <v>10</v>
      </c>
      <c r="N67" s="174" t="str">
        <f ca="1">IF($D67&lt;&gt;"Serviço","",IF(AUTOEVENTO="Manual",IF($A67=0,"&lt;-- defina o número do agrupador",OFFSET(EVENTOS!$D$14,$A67,0)),OFFSET($F$15,$A67,0)))</f>
        <v>IMPERMEABILIZAÇÃO</v>
      </c>
      <c r="O67" s="175"/>
      <c r="Q67" s="175"/>
      <c r="R67" s="176"/>
      <c r="S67" s="176"/>
      <c r="T67" s="176"/>
      <c r="U67" s="176"/>
      <c r="V67" s="176"/>
      <c r="W67" s="176"/>
      <c r="X67" s="176"/>
      <c r="Y67" s="176"/>
      <c r="Z67" s="177"/>
      <c r="AB67" s="541">
        <f ca="1">IF(AND($D67="Serviço",AB$12&lt;&gt;0,$H67&gt;0,OR(AUTOEVENTO&lt;&gt;"manual",$M67&lt;&gt;1)),
IF(Import.TipoArredondamento&lt;&gt;"TransfereGOV",
ROUND(OFFSET($P67,0,AB$13),15-13*ORÇAMENTO!$AF$7)/$H67*OFFSET(ORÇAMENTO!$X$15,ROW(AB67)-ROW(AB$15),0),
ROUND(ROUND(OFFSET($P67,0,AB$13),15-13*ORÇAMENTO!$AF$7)*OFFSET(ORÇAMENTO!$W$15,ROW(AB67)-ROW(AB$15),0),15-13*ORÇAMENTO!$AF$11)),0)</f>
        <v>0</v>
      </c>
      <c r="AC67" s="542">
        <f ca="1">IF(AND($D67="Serviço",AC$12&lt;&gt;0,$H67&gt;0,OR(AUTOEVENTO&lt;&gt;"manual",$M67&lt;&gt;1)),
IF(Import.TipoArredondamento&lt;&gt;"TransfereGOV",
ROUND(OFFSET($P67,0,AC$13),15-13*ORÇAMENTO!$AF$7)/$H67*OFFSET(ORÇAMENTO!$X$15,ROW(AC67)-ROW(AC$15),0),
ROUND(ROUND(OFFSET($P67,0,AC$13),15-13*ORÇAMENTO!$AF$7)*OFFSET(ORÇAMENTO!$W$15,ROW(AC67)-ROW(AC$15),0),15-13*ORÇAMENTO!$AF$11)),0)</f>
        <v>0</v>
      </c>
      <c r="AD67" s="542">
        <f ca="1">IF(AND($D67="Serviço",AD$12&lt;&gt;0,$H67&gt;0,OR(AUTOEVENTO&lt;&gt;"manual",$M67&lt;&gt;1)),
IF(Import.TipoArredondamento&lt;&gt;"TransfereGOV",
ROUND(OFFSET($P67,0,AD$13),15-13*ORÇAMENTO!$AF$7)/$H67*OFFSET(ORÇAMENTO!$X$15,ROW(AD67)-ROW(AD$15),0),
ROUND(ROUND(OFFSET($P67,0,AD$13),15-13*ORÇAMENTO!$AF$7)*OFFSET(ORÇAMENTO!$W$15,ROW(AD67)-ROW(AD$15),0),15-13*ORÇAMENTO!$AF$11)),0)</f>
        <v>0</v>
      </c>
      <c r="AE67" s="542">
        <f ca="1">IF(AND($D67="Serviço",AE$12&lt;&gt;0,$H67&gt;0,OR(AUTOEVENTO&lt;&gt;"manual",$M67&lt;&gt;1)),
IF(Import.TipoArredondamento&lt;&gt;"TransfereGOV",
ROUND(OFFSET($P67,0,AE$13),15-13*ORÇAMENTO!$AF$7)/$H67*OFFSET(ORÇAMENTO!$X$15,ROW(AE67)-ROW(AE$15),0),
ROUND(ROUND(OFFSET($P67,0,AE$13),15-13*ORÇAMENTO!$AF$7)*OFFSET(ORÇAMENTO!$W$15,ROW(AE67)-ROW(AE$15),0),15-13*ORÇAMENTO!$AF$11)),0)</f>
        <v>0</v>
      </c>
      <c r="AF67" s="542">
        <f ca="1">IF(AND($D67="Serviço",AF$12&lt;&gt;0,$H67&gt;0,OR(AUTOEVENTO&lt;&gt;"manual",$M67&lt;&gt;1)),
IF(Import.TipoArredondamento&lt;&gt;"TransfereGOV",
ROUND(OFFSET($P67,0,AF$13),15-13*ORÇAMENTO!$AF$7)/$H67*OFFSET(ORÇAMENTO!$X$15,ROW(AF67)-ROW(AF$15),0),
ROUND(ROUND(OFFSET($P67,0,AF$13),15-13*ORÇAMENTO!$AF$7)*OFFSET(ORÇAMENTO!$W$15,ROW(AF67)-ROW(AF$15),0),15-13*ORÇAMENTO!$AF$11)),0)</f>
        <v>0</v>
      </c>
      <c r="AG67" s="542">
        <f ca="1">IF(AND($D67="Serviço",AG$12&lt;&gt;0,$H67&gt;0,OR(AUTOEVENTO&lt;&gt;"manual",$M67&lt;&gt;1)),
IF(Import.TipoArredondamento&lt;&gt;"TransfereGOV",
ROUND(OFFSET($P67,0,AG$13),15-13*ORÇAMENTO!$AF$7)/$H67*OFFSET(ORÇAMENTO!$X$15,ROW(AG67)-ROW(AG$15),0),
ROUND(ROUND(OFFSET($P67,0,AG$13),15-13*ORÇAMENTO!$AF$7)*OFFSET(ORÇAMENTO!$W$15,ROW(AG67)-ROW(AG$15),0),15-13*ORÇAMENTO!$AF$11)),0)</f>
        <v>0</v>
      </c>
      <c r="AH67" s="542">
        <f ca="1">IF(AND($D67="Serviço",AH$12&lt;&gt;0,$H67&gt;0,OR(AUTOEVENTO&lt;&gt;"manual",$M67&lt;&gt;1)),
IF(Import.TipoArredondamento&lt;&gt;"TransfereGOV",
ROUND(OFFSET($P67,0,AH$13),15-13*ORÇAMENTO!$AF$7)/$H67*OFFSET(ORÇAMENTO!$X$15,ROW(AH67)-ROW(AH$15),0),
ROUND(ROUND(OFFSET($P67,0,AH$13),15-13*ORÇAMENTO!$AF$7)*OFFSET(ORÇAMENTO!$W$15,ROW(AH67)-ROW(AH$15),0),15-13*ORÇAMENTO!$AF$11)),0)</f>
        <v>0</v>
      </c>
      <c r="AI67" s="542">
        <f ca="1">IF(AND($D67="Serviço",AI$12&lt;&gt;0,$H67&gt;0,OR(AUTOEVENTO&lt;&gt;"manual",$M67&lt;&gt;1)),
IF(Import.TipoArredondamento&lt;&gt;"TransfereGOV",
ROUND(OFFSET($P67,0,AI$13),15-13*ORÇAMENTO!$AF$7)/$H67*OFFSET(ORÇAMENTO!$X$15,ROW(AI67)-ROW(AI$15),0),
ROUND(ROUND(OFFSET($P67,0,AI$13),15-13*ORÇAMENTO!$AF$7)*OFFSET(ORÇAMENTO!$W$15,ROW(AI67)-ROW(AI$15),0),15-13*ORÇAMENTO!$AF$11)),0)</f>
        <v>0</v>
      </c>
      <c r="AJ67" s="542">
        <f ca="1">IF(AND($D67="Serviço",AJ$12&lt;&gt;0,$H67&gt;0,OR(AUTOEVENTO&lt;&gt;"manual",$M67&lt;&gt;1)),
IF(Import.TipoArredondamento&lt;&gt;"TransfereGOV",
ROUND(OFFSET($P67,0,AJ$13),15-13*ORÇAMENTO!$AF$7)/$H67*OFFSET(ORÇAMENTO!$X$15,ROW(AJ67)-ROW(AJ$15),0),
ROUND(ROUND(OFFSET($P67,0,AJ$13),15-13*ORÇAMENTO!$AF$7)*OFFSET(ORÇAMENTO!$W$15,ROW(AJ67)-ROW(AJ$15),0),15-13*ORÇAMENTO!$AF$11)),0)</f>
        <v>0</v>
      </c>
      <c r="AK67" s="543">
        <f ca="1">IF(AND($D67="Serviço",AK$12&lt;&gt;0,$H67&gt;0,OR(AUTOEVENTO&lt;&gt;"manual",$M67&lt;&gt;1)),
IF(Import.TipoArredondamento&lt;&gt;"TransfereGOV",
ROUND(OFFSET($P67,0,AK$13),15-13*ORÇAMENTO!$AF$7)/$H67*OFFSET(ORÇAMENTO!$X$15,ROW(AK67)-ROW(AK$15),0),
ROUND(ROUND(OFFSET($P67,0,AK$13),15-13*ORÇAMENTO!$AF$7)*OFFSET(ORÇAMENTO!$W$15,ROW(AK67)-ROW(AK$15),0),15-13*ORÇAMENTO!$AF$11)),0)</f>
        <v>0</v>
      </c>
      <c r="AM67" s="178">
        <f ca="1">IF($D67&lt;&gt;"Serviço",0,IF(AND(AUTOEVENTO="Manual",$M67=1),0,IF(OFFSET(CRONOPLE!$F$14,$M67,AM$13)="",10^12,OFFSET(CRONOPLE!$F$14,$M67,AM$13))))</f>
        <v>1000000000000</v>
      </c>
      <c r="AN67" s="178">
        <f ca="1">IF($D67&lt;&gt;"Serviço",0,IF(AND(AUTOEVENTO="Manual",$M67=1),0,IF(OFFSET(CRONOPLE!$F$14,$M67,AN$13)="",10^12,OFFSET(CRONOPLE!$F$14,$M67,AN$13))))</f>
        <v>1000000000000</v>
      </c>
      <c r="AO67" s="178">
        <f ca="1">IF($D67&lt;&gt;"Serviço",0,IF(AND(AUTOEVENTO="Manual",$M67=1),0,IF(OFFSET(CRONOPLE!$F$14,$M67,AO$13)="",10^12,OFFSET(CRONOPLE!$F$14,$M67,AO$13))))</f>
        <v>1000000000000</v>
      </c>
      <c r="AP67" s="178">
        <f ca="1">IF($D67&lt;&gt;"Serviço",0,IF(AND(AUTOEVENTO="Manual",$M67=1),0,IF(OFFSET(CRONOPLE!$F$14,$M67,AP$13)="",10^12,OFFSET(CRONOPLE!$F$14,$M67,AP$13))))</f>
        <v>1000000000000</v>
      </c>
      <c r="AQ67" s="178">
        <f ca="1">IF($D67&lt;&gt;"Serviço",0,IF(AND(AUTOEVENTO="Manual",$M67=1),0,IF(OFFSET(CRONOPLE!$F$14,$M67,AQ$13)="",10^12,OFFSET(CRONOPLE!$F$14,$M67,AQ$13))))</f>
        <v>1000000000000</v>
      </c>
      <c r="AR67" s="178">
        <f ca="1">IF($D67&lt;&gt;"Serviço",0,IF(AND(AUTOEVENTO="Manual",$M67=1),0,IF(OFFSET(CRONOPLE!$F$14,$M67,AR$13)="",10^12,OFFSET(CRONOPLE!$F$14,$M67,AR$13))))</f>
        <v>1000000000000</v>
      </c>
      <c r="AS67" s="178">
        <f ca="1">IF($D67&lt;&gt;"Serviço",0,IF(AND(AUTOEVENTO="Manual",$M67=1),0,IF(OFFSET(CRONOPLE!$F$14,$M67,AS$13)="",10^12,OFFSET(CRONOPLE!$F$14,$M67,AS$13))))</f>
        <v>1000000000000</v>
      </c>
      <c r="AT67" s="178">
        <f ca="1">IF($D67&lt;&gt;"Serviço",0,IF(AND(AUTOEVENTO="Manual",$M67=1),0,IF(OFFSET(CRONOPLE!$F$14,$M67,AT$13)="",10^12,OFFSET(CRONOPLE!$F$14,$M67,AT$13))))</f>
        <v>1000000000000</v>
      </c>
      <c r="AU67" s="178">
        <f ca="1">IF($D67&lt;&gt;"Serviço",0,IF(AND(AUTOEVENTO="Manual",$M67=1),0,IF(OFFSET(CRONOPLE!$F$14,$M67,AU$13)="",10^12,OFFSET(CRONOPLE!$F$14,$M67,AU$13))))</f>
        <v>1000000000000</v>
      </c>
      <c r="AV67" s="178">
        <f ca="1">IF($D67&lt;&gt;"Serviço",0,IF(AND(AUTOEVENTO="Manual",$M67=1),0,IF(OFFSET(CRONOPLE!$F$14,$M67,AV$13)="",10^12,OFFSET(CRONOPLE!$F$14,$M67,AV$13))))</f>
        <v>1000000000000</v>
      </c>
      <c r="AX67" s="179">
        <f ca="1">IF($D67&lt;&gt;"Serviço",0,IF(OR(AND(AUTOEVENTO="Manual",$M67=1),$M67&gt;(ROW(PLE.lastrow)-ROW(PLE.firstrow))),0,IF(OFFSET(PLE!$G$14,$M67,AX$13)="",10^12,OFFSET(PLE!$G$14,$M67,AX$13))))</f>
        <v>1000000000000</v>
      </c>
      <c r="AY67" s="179">
        <f ca="1">IF($D67&lt;&gt;"Serviço",0,IF(OR(AND(AUTOEVENTO="Manual",$M67=1),$M67&gt;(ROW(PLE.lastrow)-ROW(PLE.firstrow))),0,IF(OFFSET(PLE!$G$14,$M67,AY$13)="",10^12,OFFSET(PLE!$G$14,$M67,AY$13))))</f>
        <v>1000000000000</v>
      </c>
      <c r="AZ67" s="179">
        <f ca="1">IF($D67&lt;&gt;"Serviço",0,IF(OR(AND(AUTOEVENTO="Manual",$M67=1),$M67&gt;(ROW(PLE.lastrow)-ROW(PLE.firstrow))),0,IF(OFFSET(PLE!$G$14,$M67,AZ$13)="",10^12,OFFSET(PLE!$G$14,$M67,AZ$13))))</f>
        <v>1000000000000</v>
      </c>
      <c r="BA67" s="179">
        <f ca="1">IF($D67&lt;&gt;"Serviço",0,IF(OR(AND(AUTOEVENTO="Manual",$M67=1),$M67&gt;(ROW(PLE.lastrow)-ROW(PLE.firstrow))),0,IF(OFFSET(PLE!$G$14,$M67,BA$13)="",10^12,OFFSET(PLE!$G$14,$M67,BA$13))))</f>
        <v>1000000000000</v>
      </c>
      <c r="BB67" s="179">
        <f ca="1">IF($D67&lt;&gt;"Serviço",0,IF(OR(AND(AUTOEVENTO="Manual",$M67=1),$M67&gt;(ROW(PLE.lastrow)-ROW(PLE.firstrow))),0,IF(OFFSET(PLE!$G$14,$M67,BB$13)="",10^12,OFFSET(PLE!$G$14,$M67,BB$13))))</f>
        <v>1000000000000</v>
      </c>
      <c r="BC67" s="179">
        <f ca="1">IF($D67&lt;&gt;"Serviço",0,IF(OR(AND(AUTOEVENTO="Manual",$M67=1),$M67&gt;(ROW(PLE.lastrow)-ROW(PLE.firstrow))),0,IF(OFFSET(PLE!$G$14,$M67,BC$13)="",10^12,OFFSET(PLE!$G$14,$M67,BC$13))))</f>
        <v>1000000000000</v>
      </c>
      <c r="BD67" s="179">
        <f ca="1">IF($D67&lt;&gt;"Serviço",0,IF(OR(AND(AUTOEVENTO="Manual",$M67=1),$M67&gt;(ROW(PLE.lastrow)-ROW(PLE.firstrow))),0,IF(OFFSET(PLE!$G$14,$M67,BD$13)="",10^12,OFFSET(PLE!$G$14,$M67,BD$13))))</f>
        <v>1000000000000</v>
      </c>
      <c r="BE67" s="179">
        <f ca="1">IF($D67&lt;&gt;"Serviço",0,IF(OR(AND(AUTOEVENTO="Manual",$M67=1),$M67&gt;(ROW(PLE.lastrow)-ROW(PLE.firstrow))),0,IF(OFFSET(PLE!$G$14,$M67,BE$13)="",10^12,OFFSET(PLE!$G$14,$M67,BE$13))))</f>
        <v>1000000000000</v>
      </c>
      <c r="BF67" s="179">
        <f ca="1">IF($D67&lt;&gt;"Serviço",0,IF(OR(AND(AUTOEVENTO="Manual",$M67=1),$M67&gt;(ROW(PLE.lastrow)-ROW(PLE.firstrow))),0,IF(OFFSET(PLE!$G$14,$M67,BF$13)="",10^12,OFFSET(PLE!$G$14,$M67,BF$13))))</f>
        <v>1000000000000</v>
      </c>
      <c r="BG67" s="179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7" t="str">
        <f t="shared" ca="1" si="8"/>
        <v>53.</v>
      </c>
      <c r="B68" s="7">
        <f ca="1">OFFSET(ORÇAMENTO!C$15,ROW(B68)-ROW(B$15),0)</f>
        <v>2</v>
      </c>
      <c r="C68" s="7" t="str">
        <f ca="1">OFFSET(ORÇAMENTO!L$15,ROW(C68)-ROW(C$15),0)</f>
        <v>F</v>
      </c>
      <c r="D68" s="115" t="str">
        <f ca="1">OFFSET(ORÇAMENTO!N$15,ROW(D68)-ROW(D$15),0)</f>
        <v>Nível 2</v>
      </c>
      <c r="E68" s="116" t="str">
        <f ca="1">OFFSET(ORÇAMENTO!O$15,ROW(E68)-ROW(E$15),0)</f>
        <v>1.10.</v>
      </c>
      <c r="F68" s="169" t="str">
        <f ca="1">OFFSET(ORÇAMENTO!R$15,ROW(F68)-ROW(F$15),0)</f>
        <v>REVESTIMENTO DE PISO</v>
      </c>
      <c r="G68" s="170" t="str">
        <f ca="1">IF($D68&lt;&gt;"Serviço","",OFFSET(ORÇAMENTO!S$15,ROW(G68)-ROW(G$15),0))</f>
        <v/>
      </c>
      <c r="H68" s="121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558"/>
      <c r="K68" s="171"/>
      <c r="L68" s="172" t="s">
        <v>255</v>
      </c>
      <c r="M68" s="173" t="str">
        <f ca="1">IF($D68&lt;&gt;"Serviço","",IF(AUTOEVENTO="manual",$A68,IF(ISERROR(MATCH($A68,$A$15:OFFSET($A68,-1,0),0)),MAX($M$15:OFFSET(M68,-1,0))+1,INDEX($M$15:OFFSET(M68,-1,0),MATCH($A68,$A$15:OFFSET($A68,-1,0),0)))))</f>
        <v/>
      </c>
      <c r="N68" s="174" t="str">
        <f ca="1">IF($D68&lt;&gt;"Serviço","",IF(AUTOEVENTO="Manual",IF($A68=0,"&lt;-- defina o número do agrupador",OFFSET(EVENTOS!$D$14,$A68,0)),OFFSET($F$15,$A68,0)))</f>
        <v/>
      </c>
      <c r="O68" s="175"/>
      <c r="Q68" s="175"/>
      <c r="R68" s="176"/>
      <c r="S68" s="176"/>
      <c r="T68" s="176"/>
      <c r="U68" s="176"/>
      <c r="V68" s="176"/>
      <c r="W68" s="176"/>
      <c r="X68" s="176"/>
      <c r="Y68" s="176"/>
      <c r="Z68" s="177"/>
      <c r="AB68" s="541">
        <f ca="1">IF(AND($D68="Serviço",AB$12&lt;&gt;0,$H68&gt;0,OR(AUTOEVENTO&lt;&gt;"manual",$M68&lt;&gt;1)),
IF(Import.TipoArredondamento&lt;&gt;"TransfereGOV",
ROUND(OFFSET($P68,0,AB$13),15-13*ORÇAMENTO!$AF$7)/$H68*OFFSET(ORÇAMENTO!$X$15,ROW(AB68)-ROW(AB$15),0),
ROUND(ROUND(OFFSET($P68,0,AB$13),15-13*ORÇAMENTO!$AF$7)*OFFSET(ORÇAMENTO!$W$15,ROW(AB68)-ROW(AB$15),0),15-13*ORÇAMENTO!$AF$11)),0)</f>
        <v>0</v>
      </c>
      <c r="AC68" s="542">
        <f ca="1">IF(AND($D68="Serviço",AC$12&lt;&gt;0,$H68&gt;0,OR(AUTOEVENTO&lt;&gt;"manual",$M68&lt;&gt;1)),
IF(Import.TipoArredondamento&lt;&gt;"TransfereGOV",
ROUND(OFFSET($P68,0,AC$13),15-13*ORÇAMENTO!$AF$7)/$H68*OFFSET(ORÇAMENTO!$X$15,ROW(AC68)-ROW(AC$15),0),
ROUND(ROUND(OFFSET($P68,0,AC$13),15-13*ORÇAMENTO!$AF$7)*OFFSET(ORÇAMENTO!$W$15,ROW(AC68)-ROW(AC$15),0),15-13*ORÇAMENTO!$AF$11)),0)</f>
        <v>0</v>
      </c>
      <c r="AD68" s="542">
        <f ca="1">IF(AND($D68="Serviço",AD$12&lt;&gt;0,$H68&gt;0,OR(AUTOEVENTO&lt;&gt;"manual",$M68&lt;&gt;1)),
IF(Import.TipoArredondamento&lt;&gt;"TransfereGOV",
ROUND(OFFSET($P68,0,AD$13),15-13*ORÇAMENTO!$AF$7)/$H68*OFFSET(ORÇAMENTO!$X$15,ROW(AD68)-ROW(AD$15),0),
ROUND(ROUND(OFFSET($P68,0,AD$13),15-13*ORÇAMENTO!$AF$7)*OFFSET(ORÇAMENTO!$W$15,ROW(AD68)-ROW(AD$15),0),15-13*ORÇAMENTO!$AF$11)),0)</f>
        <v>0</v>
      </c>
      <c r="AE68" s="542">
        <f ca="1">IF(AND($D68="Serviço",AE$12&lt;&gt;0,$H68&gt;0,OR(AUTOEVENTO&lt;&gt;"manual",$M68&lt;&gt;1)),
IF(Import.TipoArredondamento&lt;&gt;"TransfereGOV",
ROUND(OFFSET($P68,0,AE$13),15-13*ORÇAMENTO!$AF$7)/$H68*OFFSET(ORÇAMENTO!$X$15,ROW(AE68)-ROW(AE$15),0),
ROUND(ROUND(OFFSET($P68,0,AE$13),15-13*ORÇAMENTO!$AF$7)*OFFSET(ORÇAMENTO!$W$15,ROW(AE68)-ROW(AE$15),0),15-13*ORÇAMENTO!$AF$11)),0)</f>
        <v>0</v>
      </c>
      <c r="AF68" s="542">
        <f ca="1">IF(AND($D68="Serviço",AF$12&lt;&gt;0,$H68&gt;0,OR(AUTOEVENTO&lt;&gt;"manual",$M68&lt;&gt;1)),
IF(Import.TipoArredondamento&lt;&gt;"TransfereGOV",
ROUND(OFFSET($P68,0,AF$13),15-13*ORÇAMENTO!$AF$7)/$H68*OFFSET(ORÇAMENTO!$X$15,ROW(AF68)-ROW(AF$15),0),
ROUND(ROUND(OFFSET($P68,0,AF$13),15-13*ORÇAMENTO!$AF$7)*OFFSET(ORÇAMENTO!$W$15,ROW(AF68)-ROW(AF$15),0),15-13*ORÇAMENTO!$AF$11)),0)</f>
        <v>0</v>
      </c>
      <c r="AG68" s="542">
        <f ca="1">IF(AND($D68="Serviço",AG$12&lt;&gt;0,$H68&gt;0,OR(AUTOEVENTO&lt;&gt;"manual",$M68&lt;&gt;1)),
IF(Import.TipoArredondamento&lt;&gt;"TransfereGOV",
ROUND(OFFSET($P68,0,AG$13),15-13*ORÇAMENTO!$AF$7)/$H68*OFFSET(ORÇAMENTO!$X$15,ROW(AG68)-ROW(AG$15),0),
ROUND(ROUND(OFFSET($P68,0,AG$13),15-13*ORÇAMENTO!$AF$7)*OFFSET(ORÇAMENTO!$W$15,ROW(AG68)-ROW(AG$15),0),15-13*ORÇAMENTO!$AF$11)),0)</f>
        <v>0</v>
      </c>
      <c r="AH68" s="542">
        <f ca="1">IF(AND($D68="Serviço",AH$12&lt;&gt;0,$H68&gt;0,OR(AUTOEVENTO&lt;&gt;"manual",$M68&lt;&gt;1)),
IF(Import.TipoArredondamento&lt;&gt;"TransfereGOV",
ROUND(OFFSET($P68,0,AH$13),15-13*ORÇAMENTO!$AF$7)/$H68*OFFSET(ORÇAMENTO!$X$15,ROW(AH68)-ROW(AH$15),0),
ROUND(ROUND(OFFSET($P68,0,AH$13),15-13*ORÇAMENTO!$AF$7)*OFFSET(ORÇAMENTO!$W$15,ROW(AH68)-ROW(AH$15),0),15-13*ORÇAMENTO!$AF$11)),0)</f>
        <v>0</v>
      </c>
      <c r="AI68" s="542">
        <f ca="1">IF(AND($D68="Serviço",AI$12&lt;&gt;0,$H68&gt;0,OR(AUTOEVENTO&lt;&gt;"manual",$M68&lt;&gt;1)),
IF(Import.TipoArredondamento&lt;&gt;"TransfereGOV",
ROUND(OFFSET($P68,0,AI$13),15-13*ORÇAMENTO!$AF$7)/$H68*OFFSET(ORÇAMENTO!$X$15,ROW(AI68)-ROW(AI$15),0),
ROUND(ROUND(OFFSET($P68,0,AI$13),15-13*ORÇAMENTO!$AF$7)*OFFSET(ORÇAMENTO!$W$15,ROW(AI68)-ROW(AI$15),0),15-13*ORÇAMENTO!$AF$11)),0)</f>
        <v>0</v>
      </c>
      <c r="AJ68" s="542">
        <f ca="1">IF(AND($D68="Serviço",AJ$12&lt;&gt;0,$H68&gt;0,OR(AUTOEVENTO&lt;&gt;"manual",$M68&lt;&gt;1)),
IF(Import.TipoArredondamento&lt;&gt;"TransfereGOV",
ROUND(OFFSET($P68,0,AJ$13),15-13*ORÇAMENTO!$AF$7)/$H68*OFFSET(ORÇAMENTO!$X$15,ROW(AJ68)-ROW(AJ$15),0),
ROUND(ROUND(OFFSET($P68,0,AJ$13),15-13*ORÇAMENTO!$AF$7)*OFFSET(ORÇAMENTO!$W$15,ROW(AJ68)-ROW(AJ$15),0),15-13*ORÇAMENTO!$AF$11)),0)</f>
        <v>0</v>
      </c>
      <c r="AK68" s="543">
        <f ca="1">IF(AND($D68="Serviço",AK$12&lt;&gt;0,$H68&gt;0,OR(AUTOEVENTO&lt;&gt;"manual",$M68&lt;&gt;1)),
IF(Import.TipoArredondamento&lt;&gt;"TransfereGOV",
ROUND(OFFSET($P68,0,AK$13),15-13*ORÇAMENTO!$AF$7)/$H68*OFFSET(ORÇAMENTO!$X$15,ROW(AK68)-ROW(AK$15),0),
ROUND(ROUND(OFFSET($P68,0,AK$13),15-13*ORÇAMENTO!$AF$7)*OFFSET(ORÇAMENTO!$W$15,ROW(AK68)-ROW(AK$15),0),15-13*ORÇAMENTO!$AF$11)),0)</f>
        <v>0</v>
      </c>
      <c r="AM68" s="178">
        <f ca="1">IF($D68&lt;&gt;"Serviço",0,IF(AND(AUTOEVENTO="Manual",$M68=1),0,IF(OFFSET(CRONOPLE!$F$14,$M68,AM$13)="",10^12,OFFSET(CRONOPLE!$F$14,$M68,AM$13))))</f>
        <v>0</v>
      </c>
      <c r="AN68" s="178">
        <f ca="1">IF($D68&lt;&gt;"Serviço",0,IF(AND(AUTOEVENTO="Manual",$M68=1),0,IF(OFFSET(CRONOPLE!$F$14,$M68,AN$13)="",10^12,OFFSET(CRONOPLE!$F$14,$M68,AN$13))))</f>
        <v>0</v>
      </c>
      <c r="AO68" s="178">
        <f ca="1">IF($D68&lt;&gt;"Serviço",0,IF(AND(AUTOEVENTO="Manual",$M68=1),0,IF(OFFSET(CRONOPLE!$F$14,$M68,AO$13)="",10^12,OFFSET(CRONOPLE!$F$14,$M68,AO$13))))</f>
        <v>0</v>
      </c>
      <c r="AP68" s="178">
        <f ca="1">IF($D68&lt;&gt;"Serviço",0,IF(AND(AUTOEVENTO="Manual",$M68=1),0,IF(OFFSET(CRONOPLE!$F$14,$M68,AP$13)="",10^12,OFFSET(CRONOPLE!$F$14,$M68,AP$13))))</f>
        <v>0</v>
      </c>
      <c r="AQ68" s="178">
        <f ca="1">IF($D68&lt;&gt;"Serviço",0,IF(AND(AUTOEVENTO="Manual",$M68=1),0,IF(OFFSET(CRONOPLE!$F$14,$M68,AQ$13)="",10^12,OFFSET(CRONOPLE!$F$14,$M68,AQ$13))))</f>
        <v>0</v>
      </c>
      <c r="AR68" s="178">
        <f ca="1">IF($D68&lt;&gt;"Serviço",0,IF(AND(AUTOEVENTO="Manual",$M68=1),0,IF(OFFSET(CRONOPLE!$F$14,$M68,AR$13)="",10^12,OFFSET(CRONOPLE!$F$14,$M68,AR$13))))</f>
        <v>0</v>
      </c>
      <c r="AS68" s="178">
        <f ca="1">IF($D68&lt;&gt;"Serviço",0,IF(AND(AUTOEVENTO="Manual",$M68=1),0,IF(OFFSET(CRONOPLE!$F$14,$M68,AS$13)="",10^12,OFFSET(CRONOPLE!$F$14,$M68,AS$13))))</f>
        <v>0</v>
      </c>
      <c r="AT68" s="178">
        <f ca="1">IF($D68&lt;&gt;"Serviço",0,IF(AND(AUTOEVENTO="Manual",$M68=1),0,IF(OFFSET(CRONOPLE!$F$14,$M68,AT$13)="",10^12,OFFSET(CRONOPLE!$F$14,$M68,AT$13))))</f>
        <v>0</v>
      </c>
      <c r="AU68" s="178">
        <f ca="1">IF($D68&lt;&gt;"Serviço",0,IF(AND(AUTOEVENTO="Manual",$M68=1),0,IF(OFFSET(CRONOPLE!$F$14,$M68,AU$13)="",10^12,OFFSET(CRONOPLE!$F$14,$M68,AU$13))))</f>
        <v>0</v>
      </c>
      <c r="AV68" s="178">
        <f ca="1">IF($D68&lt;&gt;"Serviço",0,IF(AND(AUTOEVENTO="Manual",$M68=1),0,IF(OFFSET(CRONOPLE!$F$14,$M68,AV$13)="",10^12,OFFSET(CRONOPLE!$F$14,$M68,AV$13))))</f>
        <v>0</v>
      </c>
      <c r="AX68" s="179">
        <f ca="1">IF($D68&lt;&gt;"Serviço",0,IF(OR(AND(AUTOEVENTO="Manual",$M68=1),$M68&gt;(ROW(PLE.lastrow)-ROW(PLE.firstrow))),0,IF(OFFSET(PLE!$G$14,$M68,AX$13)="",10^12,OFFSET(PLE!$G$14,$M68,AX$13))))</f>
        <v>0</v>
      </c>
      <c r="AY68" s="179">
        <f ca="1">IF($D68&lt;&gt;"Serviço",0,IF(OR(AND(AUTOEVENTO="Manual",$M68=1),$M68&gt;(ROW(PLE.lastrow)-ROW(PLE.firstrow))),0,IF(OFFSET(PLE!$G$14,$M68,AY$13)="",10^12,OFFSET(PLE!$G$14,$M68,AY$13))))</f>
        <v>0</v>
      </c>
      <c r="AZ68" s="179">
        <f ca="1">IF($D68&lt;&gt;"Serviço",0,IF(OR(AND(AUTOEVENTO="Manual",$M68=1),$M68&gt;(ROW(PLE.lastrow)-ROW(PLE.firstrow))),0,IF(OFFSET(PLE!$G$14,$M68,AZ$13)="",10^12,OFFSET(PLE!$G$14,$M68,AZ$13))))</f>
        <v>0</v>
      </c>
      <c r="BA68" s="179">
        <f ca="1">IF($D68&lt;&gt;"Serviço",0,IF(OR(AND(AUTOEVENTO="Manual",$M68=1),$M68&gt;(ROW(PLE.lastrow)-ROW(PLE.firstrow))),0,IF(OFFSET(PLE!$G$14,$M68,BA$13)="",10^12,OFFSET(PLE!$G$14,$M68,BA$13))))</f>
        <v>0</v>
      </c>
      <c r="BB68" s="179">
        <f ca="1">IF($D68&lt;&gt;"Serviço",0,IF(OR(AND(AUTOEVENTO="Manual",$M68=1),$M68&gt;(ROW(PLE.lastrow)-ROW(PLE.firstrow))),0,IF(OFFSET(PLE!$G$14,$M68,BB$13)="",10^12,OFFSET(PLE!$G$14,$M68,BB$13))))</f>
        <v>0</v>
      </c>
      <c r="BC68" s="179">
        <f ca="1">IF($D68&lt;&gt;"Serviço",0,IF(OR(AND(AUTOEVENTO="Manual",$M68=1),$M68&gt;(ROW(PLE.lastrow)-ROW(PLE.firstrow))),0,IF(OFFSET(PLE!$G$14,$M68,BC$13)="",10^12,OFFSET(PLE!$G$14,$M68,BC$13))))</f>
        <v>0</v>
      </c>
      <c r="BD68" s="179">
        <f ca="1">IF($D68&lt;&gt;"Serviço",0,IF(OR(AND(AUTOEVENTO="Manual",$M68=1),$M68&gt;(ROW(PLE.lastrow)-ROW(PLE.firstrow))),0,IF(OFFSET(PLE!$G$14,$M68,BD$13)="",10^12,OFFSET(PLE!$G$14,$M68,BD$13))))</f>
        <v>0</v>
      </c>
      <c r="BE68" s="179">
        <f ca="1">IF($D68&lt;&gt;"Serviço",0,IF(OR(AND(AUTOEVENTO="Manual",$M68=1),$M68&gt;(ROW(PLE.lastrow)-ROW(PLE.firstrow))),0,IF(OFFSET(PLE!$G$14,$M68,BE$13)="",10^12,OFFSET(PLE!$G$14,$M68,BE$13))))</f>
        <v>0</v>
      </c>
      <c r="BF68" s="179">
        <f ca="1">IF($D68&lt;&gt;"Serviço",0,IF(OR(AND(AUTOEVENTO="Manual",$M68=1),$M68&gt;(ROW(PLE.lastrow)-ROW(PLE.firstrow))),0,IF(OFFSET(PLE!$G$14,$M68,BF$13)="",10^12,OFFSET(PLE!$G$14,$M68,BF$13))))</f>
        <v>0</v>
      </c>
      <c r="BG68" s="179">
        <f ca="1">IF($D68&lt;&gt;"Serviço",0,IF(OR(AND(AUTOEVENTO="Manual",$M68=1),$M68&gt;(ROW(PLE.lastrow)-ROW(PLE.firstrow))),0,IF(OFFSET(PLE!$G$14,$M68,BG$13)="",10^12,OFFSET(PLE!$G$14,$M68,BG$13))))</f>
        <v>0</v>
      </c>
    </row>
    <row r="69" spans="1:59" ht="51" x14ac:dyDescent="0.2">
      <c r="A69" s="7" t="str">
        <f t="shared" ca="1" si="8"/>
        <v>53</v>
      </c>
      <c r="B69" s="7" t="str">
        <f ca="1">OFFSET(ORÇAMENTO!C$15,ROW(B69)-ROW(B$15),0)</f>
        <v>S</v>
      </c>
      <c r="C69" s="7" t="str">
        <f ca="1">OFFSET(ORÇAMENTO!L$15,ROW(C69)-ROW(C$15),0)</f>
        <v/>
      </c>
      <c r="D69" s="115" t="str">
        <f ca="1">OFFSET(ORÇAMENTO!N$15,ROW(D69)-ROW(D$15),0)</f>
        <v>Serviço</v>
      </c>
      <c r="E69" s="116" t="str">
        <f ca="1">OFFSET(ORÇAMENTO!O$15,ROW(E69)-ROW(E$15),0)</f>
        <v>-</v>
      </c>
      <c r="F69" s="169" t="str">
        <f ca="1">OFFSET(ORÇAMENTO!R$15,ROW(F69)-ROW(F$15),0)</f>
        <v>(abra o arquivo 'Referência 10-2024.xlsm)</v>
      </c>
      <c r="G69" s="170" t="str">
        <f ca="1">IF($D69&lt;&gt;"Serviço","",OFFSET(ORÇAMENTO!S$15,ROW(G69)-ROW(G$15),0))</f>
        <v>-</v>
      </c>
      <c r="H69" s="121">
        <f ca="1">IF($D69&lt;&gt;"Serviço",0,IF(ACOMPANHAMENTO="BM",ROUND(OFFSET(ORÇAMENTO!AJ$15,ROW(H69)-ROW(H$15),0),15-13*ORÇAMENTO!$AF$7),SUMPRODUCT(($Q$12:$AA$12&lt;&gt;"")*ROUND($Q69:$AA69,15-13*ORÇAMENTO!$AF$7))))</f>
        <v>25.32</v>
      </c>
      <c r="I69" s="558" t="s">
        <v>561</v>
      </c>
      <c r="K69" s="171"/>
      <c r="L69" s="172" t="s">
        <v>255</v>
      </c>
      <c r="M69" s="173">
        <f ca="1">IF($D69&lt;&gt;"Serviço","",IF(AUTOEVENTO="manual",$A69,IF(ISERROR(MATCH($A69,$A$15:OFFSET($A69,-1,0),0)),MAX($M$15:OFFSET(M69,-1,0))+1,INDEX($M$15:OFFSET(M69,-1,0),MATCH($A69,$A$15:OFFSET($A69,-1,0),0)))))</f>
        <v>11</v>
      </c>
      <c r="N69" s="174" t="str">
        <f ca="1">IF($D69&lt;&gt;"Serviço","",IF(AUTOEVENTO="Manual",IF($A69=0,"&lt;-- defina o número do agrupador",OFFSET(EVENTOS!$D$14,$A69,0)),OFFSET($F$15,$A69,0)))</f>
        <v>REVESTIMENTO DE PISO</v>
      </c>
      <c r="O69" s="175"/>
      <c r="Q69" s="175"/>
      <c r="R69" s="176"/>
      <c r="S69" s="176"/>
      <c r="T69" s="176"/>
      <c r="U69" s="176"/>
      <c r="V69" s="176"/>
      <c r="W69" s="176"/>
      <c r="X69" s="176"/>
      <c r="Y69" s="176"/>
      <c r="Z69" s="177"/>
      <c r="AB69" s="541">
        <f ca="1">IF(AND($D69="Serviço",AB$12&lt;&gt;0,$H69&gt;0,OR(AUTOEVENTO&lt;&gt;"manual",$M69&lt;&gt;1)),
IF(Import.TipoArredondamento&lt;&gt;"TransfereGOV",
ROUND(OFFSET($P69,0,AB$13),15-13*ORÇAMENTO!$AF$7)/$H69*OFFSET(ORÇAMENTO!$X$15,ROW(AB69)-ROW(AB$15),0),
ROUND(ROUND(OFFSET($P69,0,AB$13),15-13*ORÇAMENTO!$AF$7)*OFFSET(ORÇAMENTO!$W$15,ROW(AB69)-ROW(AB$15),0),15-13*ORÇAMENTO!$AF$11)),0)</f>
        <v>0</v>
      </c>
      <c r="AC69" s="542">
        <f ca="1">IF(AND($D69="Serviço",AC$12&lt;&gt;0,$H69&gt;0,OR(AUTOEVENTO&lt;&gt;"manual",$M69&lt;&gt;1)),
IF(Import.TipoArredondamento&lt;&gt;"TransfereGOV",
ROUND(OFFSET($P69,0,AC$13),15-13*ORÇAMENTO!$AF$7)/$H69*OFFSET(ORÇAMENTO!$X$15,ROW(AC69)-ROW(AC$15),0),
ROUND(ROUND(OFFSET($P69,0,AC$13),15-13*ORÇAMENTO!$AF$7)*OFFSET(ORÇAMENTO!$W$15,ROW(AC69)-ROW(AC$15),0),15-13*ORÇAMENTO!$AF$11)),0)</f>
        <v>0</v>
      </c>
      <c r="AD69" s="542">
        <f ca="1">IF(AND($D69="Serviço",AD$12&lt;&gt;0,$H69&gt;0,OR(AUTOEVENTO&lt;&gt;"manual",$M69&lt;&gt;1)),
IF(Import.TipoArredondamento&lt;&gt;"TransfereGOV",
ROUND(OFFSET($P69,0,AD$13),15-13*ORÇAMENTO!$AF$7)/$H69*OFFSET(ORÇAMENTO!$X$15,ROW(AD69)-ROW(AD$15),0),
ROUND(ROUND(OFFSET($P69,0,AD$13),15-13*ORÇAMENTO!$AF$7)*OFFSET(ORÇAMENTO!$W$15,ROW(AD69)-ROW(AD$15),0),15-13*ORÇAMENTO!$AF$11)),0)</f>
        <v>0</v>
      </c>
      <c r="AE69" s="542">
        <f ca="1">IF(AND($D69="Serviço",AE$12&lt;&gt;0,$H69&gt;0,OR(AUTOEVENTO&lt;&gt;"manual",$M69&lt;&gt;1)),
IF(Import.TipoArredondamento&lt;&gt;"TransfereGOV",
ROUND(OFFSET($P69,0,AE$13),15-13*ORÇAMENTO!$AF$7)/$H69*OFFSET(ORÇAMENTO!$X$15,ROW(AE69)-ROW(AE$15),0),
ROUND(ROUND(OFFSET($P69,0,AE$13),15-13*ORÇAMENTO!$AF$7)*OFFSET(ORÇAMENTO!$W$15,ROW(AE69)-ROW(AE$15),0),15-13*ORÇAMENTO!$AF$11)),0)</f>
        <v>0</v>
      </c>
      <c r="AF69" s="542">
        <f ca="1">IF(AND($D69="Serviço",AF$12&lt;&gt;0,$H69&gt;0,OR(AUTOEVENTO&lt;&gt;"manual",$M69&lt;&gt;1)),
IF(Import.TipoArredondamento&lt;&gt;"TransfereGOV",
ROUND(OFFSET($P69,0,AF$13),15-13*ORÇAMENTO!$AF$7)/$H69*OFFSET(ORÇAMENTO!$X$15,ROW(AF69)-ROW(AF$15),0),
ROUND(ROUND(OFFSET($P69,0,AF$13),15-13*ORÇAMENTO!$AF$7)*OFFSET(ORÇAMENTO!$W$15,ROW(AF69)-ROW(AF$15),0),15-13*ORÇAMENTO!$AF$11)),0)</f>
        <v>0</v>
      </c>
      <c r="AG69" s="542">
        <f ca="1">IF(AND($D69="Serviço",AG$12&lt;&gt;0,$H69&gt;0,OR(AUTOEVENTO&lt;&gt;"manual",$M69&lt;&gt;1)),
IF(Import.TipoArredondamento&lt;&gt;"TransfereGOV",
ROUND(OFFSET($P69,0,AG$13),15-13*ORÇAMENTO!$AF$7)/$H69*OFFSET(ORÇAMENTO!$X$15,ROW(AG69)-ROW(AG$15),0),
ROUND(ROUND(OFFSET($P69,0,AG$13),15-13*ORÇAMENTO!$AF$7)*OFFSET(ORÇAMENTO!$W$15,ROW(AG69)-ROW(AG$15),0),15-13*ORÇAMENTO!$AF$11)),0)</f>
        <v>0</v>
      </c>
      <c r="AH69" s="542">
        <f ca="1">IF(AND($D69="Serviço",AH$12&lt;&gt;0,$H69&gt;0,OR(AUTOEVENTO&lt;&gt;"manual",$M69&lt;&gt;1)),
IF(Import.TipoArredondamento&lt;&gt;"TransfereGOV",
ROUND(OFFSET($P69,0,AH$13),15-13*ORÇAMENTO!$AF$7)/$H69*OFFSET(ORÇAMENTO!$X$15,ROW(AH69)-ROW(AH$15),0),
ROUND(ROUND(OFFSET($P69,0,AH$13),15-13*ORÇAMENTO!$AF$7)*OFFSET(ORÇAMENTO!$W$15,ROW(AH69)-ROW(AH$15),0),15-13*ORÇAMENTO!$AF$11)),0)</f>
        <v>0</v>
      </c>
      <c r="AI69" s="542">
        <f ca="1">IF(AND($D69="Serviço",AI$12&lt;&gt;0,$H69&gt;0,OR(AUTOEVENTO&lt;&gt;"manual",$M69&lt;&gt;1)),
IF(Import.TipoArredondamento&lt;&gt;"TransfereGOV",
ROUND(OFFSET($P69,0,AI$13),15-13*ORÇAMENTO!$AF$7)/$H69*OFFSET(ORÇAMENTO!$X$15,ROW(AI69)-ROW(AI$15),0),
ROUND(ROUND(OFFSET($P69,0,AI$13),15-13*ORÇAMENTO!$AF$7)*OFFSET(ORÇAMENTO!$W$15,ROW(AI69)-ROW(AI$15),0),15-13*ORÇAMENTO!$AF$11)),0)</f>
        <v>0</v>
      </c>
      <c r="AJ69" s="542">
        <f ca="1">IF(AND($D69="Serviço",AJ$12&lt;&gt;0,$H69&gt;0,OR(AUTOEVENTO&lt;&gt;"manual",$M69&lt;&gt;1)),
IF(Import.TipoArredondamento&lt;&gt;"TransfereGOV",
ROUND(OFFSET($P69,0,AJ$13),15-13*ORÇAMENTO!$AF$7)/$H69*OFFSET(ORÇAMENTO!$X$15,ROW(AJ69)-ROW(AJ$15),0),
ROUND(ROUND(OFFSET($P69,0,AJ$13),15-13*ORÇAMENTO!$AF$7)*OFFSET(ORÇAMENTO!$W$15,ROW(AJ69)-ROW(AJ$15),0),15-13*ORÇAMENTO!$AF$11)),0)</f>
        <v>0</v>
      </c>
      <c r="AK69" s="543">
        <f ca="1">IF(AND($D69="Serviço",AK$12&lt;&gt;0,$H69&gt;0,OR(AUTOEVENTO&lt;&gt;"manual",$M69&lt;&gt;1)),
IF(Import.TipoArredondamento&lt;&gt;"TransfereGOV",
ROUND(OFFSET($P69,0,AK$13),15-13*ORÇAMENTO!$AF$7)/$H69*OFFSET(ORÇAMENTO!$X$15,ROW(AK69)-ROW(AK$15),0),
ROUND(ROUND(OFFSET($P69,0,AK$13),15-13*ORÇAMENTO!$AF$7)*OFFSET(ORÇAMENTO!$W$15,ROW(AK69)-ROW(AK$15),0),15-13*ORÇAMENTO!$AF$11)),0)</f>
        <v>0</v>
      </c>
      <c r="AM69" s="178">
        <f ca="1">IF($D69&lt;&gt;"Serviço",0,IF(AND(AUTOEVENTO="Manual",$M69=1),0,IF(OFFSET(CRONOPLE!$F$14,$M69,AM$13)="",10^12,OFFSET(CRONOPLE!$F$14,$M69,AM$13))))</f>
        <v>1000000000000</v>
      </c>
      <c r="AN69" s="178">
        <f ca="1">IF($D69&lt;&gt;"Serviço",0,IF(AND(AUTOEVENTO="Manual",$M69=1),0,IF(OFFSET(CRONOPLE!$F$14,$M69,AN$13)="",10^12,OFFSET(CRONOPLE!$F$14,$M69,AN$13))))</f>
        <v>1000000000000</v>
      </c>
      <c r="AO69" s="178">
        <f ca="1">IF($D69&lt;&gt;"Serviço",0,IF(AND(AUTOEVENTO="Manual",$M69=1),0,IF(OFFSET(CRONOPLE!$F$14,$M69,AO$13)="",10^12,OFFSET(CRONOPLE!$F$14,$M69,AO$13))))</f>
        <v>1000000000000</v>
      </c>
      <c r="AP69" s="178">
        <f ca="1">IF($D69&lt;&gt;"Serviço",0,IF(AND(AUTOEVENTO="Manual",$M69=1),0,IF(OFFSET(CRONOPLE!$F$14,$M69,AP$13)="",10^12,OFFSET(CRONOPLE!$F$14,$M69,AP$13))))</f>
        <v>1000000000000</v>
      </c>
      <c r="AQ69" s="178">
        <f ca="1">IF($D69&lt;&gt;"Serviço",0,IF(AND(AUTOEVENTO="Manual",$M69=1),0,IF(OFFSET(CRONOPLE!$F$14,$M69,AQ$13)="",10^12,OFFSET(CRONOPLE!$F$14,$M69,AQ$13))))</f>
        <v>1000000000000</v>
      </c>
      <c r="AR69" s="178">
        <f ca="1">IF($D69&lt;&gt;"Serviço",0,IF(AND(AUTOEVENTO="Manual",$M69=1),0,IF(OFFSET(CRONOPLE!$F$14,$M69,AR$13)="",10^12,OFFSET(CRONOPLE!$F$14,$M69,AR$13))))</f>
        <v>1000000000000</v>
      </c>
      <c r="AS69" s="178">
        <f ca="1">IF($D69&lt;&gt;"Serviço",0,IF(AND(AUTOEVENTO="Manual",$M69=1),0,IF(OFFSET(CRONOPLE!$F$14,$M69,AS$13)="",10^12,OFFSET(CRONOPLE!$F$14,$M69,AS$13))))</f>
        <v>1000000000000</v>
      </c>
      <c r="AT69" s="178">
        <f ca="1">IF($D69&lt;&gt;"Serviço",0,IF(AND(AUTOEVENTO="Manual",$M69=1),0,IF(OFFSET(CRONOPLE!$F$14,$M69,AT$13)="",10^12,OFFSET(CRONOPLE!$F$14,$M69,AT$13))))</f>
        <v>1000000000000</v>
      </c>
      <c r="AU69" s="178">
        <f ca="1">IF($D69&lt;&gt;"Serviço",0,IF(AND(AUTOEVENTO="Manual",$M69=1),0,IF(OFFSET(CRONOPLE!$F$14,$M69,AU$13)="",10^12,OFFSET(CRONOPLE!$F$14,$M69,AU$13))))</f>
        <v>1000000000000</v>
      </c>
      <c r="AV69" s="178">
        <f ca="1">IF($D69&lt;&gt;"Serviço",0,IF(AND(AUTOEVENTO="Manual",$M69=1),0,IF(OFFSET(CRONOPLE!$F$14,$M69,AV$13)="",10^12,OFFSET(CRONOPLE!$F$14,$M69,AV$13))))</f>
        <v>1000000000000</v>
      </c>
      <c r="AX69" s="179">
        <f ca="1">IF($D69&lt;&gt;"Serviço",0,IF(OR(AND(AUTOEVENTO="Manual",$M69=1),$M69&gt;(ROW(PLE.lastrow)-ROW(PLE.firstrow))),0,IF(OFFSET(PLE!$G$14,$M69,AX$13)="",10^12,OFFSET(PLE!$G$14,$M69,AX$13))))</f>
        <v>1000000000000</v>
      </c>
      <c r="AY69" s="179">
        <f ca="1">IF($D69&lt;&gt;"Serviço",0,IF(OR(AND(AUTOEVENTO="Manual",$M69=1),$M69&gt;(ROW(PLE.lastrow)-ROW(PLE.firstrow))),0,IF(OFFSET(PLE!$G$14,$M69,AY$13)="",10^12,OFFSET(PLE!$G$14,$M69,AY$13))))</f>
        <v>1000000000000</v>
      </c>
      <c r="AZ69" s="179">
        <f ca="1">IF($D69&lt;&gt;"Serviço",0,IF(OR(AND(AUTOEVENTO="Manual",$M69=1),$M69&gt;(ROW(PLE.lastrow)-ROW(PLE.firstrow))),0,IF(OFFSET(PLE!$G$14,$M69,AZ$13)="",10^12,OFFSET(PLE!$G$14,$M69,AZ$13))))</f>
        <v>1000000000000</v>
      </c>
      <c r="BA69" s="179">
        <f ca="1">IF($D69&lt;&gt;"Serviço",0,IF(OR(AND(AUTOEVENTO="Manual",$M69=1),$M69&gt;(ROW(PLE.lastrow)-ROW(PLE.firstrow))),0,IF(OFFSET(PLE!$G$14,$M69,BA$13)="",10^12,OFFSET(PLE!$G$14,$M69,BA$13))))</f>
        <v>1000000000000</v>
      </c>
      <c r="BB69" s="179">
        <f ca="1">IF($D69&lt;&gt;"Serviço",0,IF(OR(AND(AUTOEVENTO="Manual",$M69=1),$M69&gt;(ROW(PLE.lastrow)-ROW(PLE.firstrow))),0,IF(OFFSET(PLE!$G$14,$M69,BB$13)="",10^12,OFFSET(PLE!$G$14,$M69,BB$13))))</f>
        <v>1000000000000</v>
      </c>
      <c r="BC69" s="179">
        <f ca="1">IF($D69&lt;&gt;"Serviço",0,IF(OR(AND(AUTOEVENTO="Manual",$M69=1),$M69&gt;(ROW(PLE.lastrow)-ROW(PLE.firstrow))),0,IF(OFFSET(PLE!$G$14,$M69,BC$13)="",10^12,OFFSET(PLE!$G$14,$M69,BC$13))))</f>
        <v>1000000000000</v>
      </c>
      <c r="BD69" s="179">
        <f ca="1">IF($D69&lt;&gt;"Serviço",0,IF(OR(AND(AUTOEVENTO="Manual",$M69=1),$M69&gt;(ROW(PLE.lastrow)-ROW(PLE.firstrow))),0,IF(OFFSET(PLE!$G$14,$M69,BD$13)="",10^12,OFFSET(PLE!$G$14,$M69,BD$13))))</f>
        <v>1000000000000</v>
      </c>
      <c r="BE69" s="179">
        <f ca="1">IF($D69&lt;&gt;"Serviço",0,IF(OR(AND(AUTOEVENTO="Manual",$M69=1),$M69&gt;(ROW(PLE.lastrow)-ROW(PLE.firstrow))),0,IF(OFFSET(PLE!$G$14,$M69,BE$13)="",10^12,OFFSET(PLE!$G$14,$M69,BE$13))))</f>
        <v>1000000000000</v>
      </c>
      <c r="BF69" s="179">
        <f ca="1">IF($D69&lt;&gt;"Serviço",0,IF(OR(AND(AUTOEVENTO="Manual",$M69=1),$M69&gt;(ROW(PLE.lastrow)-ROW(PLE.firstrow))),0,IF(OFFSET(PLE!$G$14,$M69,BF$13)="",10^12,OFFSET(PLE!$G$14,$M69,BF$13))))</f>
        <v>1000000000000</v>
      </c>
      <c r="BG69" s="179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38.25" x14ac:dyDescent="0.2">
      <c r="A70" s="7" t="str">
        <f ca="1">IF(AUTOEVENTO="Manual",IF(K70&lt;&gt;"",MIN(VALUE(LEFT(K70,FIND(".",K70)-1)),COUNTA(EVENTOS.Lista)),0),IF(OR($B70&gt;AUTOEVENTO,$B70="S",$B70=0),SUBSTITUTE(OFFSET($A70,-1,0),IF($D70="Serviço",".",""),""),ROW(A70)-ROW($A$15)&amp;"."))</f>
        <v>53</v>
      </c>
      <c r="B70" s="7" t="str">
        <f ca="1">OFFSET(ORÇAMENTO!C$15,ROW(B70)-ROW(B$15),0)</f>
        <v>S</v>
      </c>
      <c r="C70" s="7" t="str">
        <f ca="1">OFFSET(ORÇAMENTO!L$15,ROW(C70)-ROW(C$15),0)</f>
        <v/>
      </c>
      <c r="D70" s="115" t="str">
        <f ca="1">OFFSET(ORÇAMENTO!N$15,ROW(D70)-ROW(D$15),0)</f>
        <v>Serviço</v>
      </c>
      <c r="E70" s="116" t="str">
        <f ca="1">OFFSET(ORÇAMENTO!O$15,ROW(E70)-ROW(E$15),0)</f>
        <v>-</v>
      </c>
      <c r="F70" s="169" t="str">
        <f ca="1">OFFSET(ORÇAMENTO!R$15,ROW(F70)-ROW(F$15),0)</f>
        <v>(abra o arquivo 'Referência 10-2024.xlsm)</v>
      </c>
      <c r="G70" s="170" t="str">
        <f ca="1">IF($D70&lt;&gt;"Serviço","",OFFSET(ORÇAMENTO!S$15,ROW(G70)-ROW(G$15),0))</f>
        <v>-</v>
      </c>
      <c r="H70" s="121">
        <f ca="1">IF($D70&lt;&gt;"Serviço",0,IF(ACOMPANHAMENTO="BM",ROUND(OFFSET(ORÇAMENTO!AJ$15,ROW(H70)-ROW(H$15),0),15-13*ORÇAMENTO!$AF$7),SUMPRODUCT(($Q$12:$AA$12&lt;&gt;"")*ROUND($Q70:$AA70,15-13*ORÇAMENTO!$AF$7))))</f>
        <v>25.32</v>
      </c>
      <c r="I70" s="558" t="s">
        <v>561</v>
      </c>
      <c r="K70" s="171"/>
      <c r="L70" s="172" t="s">
        <v>255</v>
      </c>
      <c r="M70" s="173">
        <f ca="1">IF($D70&lt;&gt;"Serviço","",IF(AUTOEVENTO="manual",$A70,IF(ISERROR(MATCH($A70,$A$15:OFFSET($A70,-1,0),0)),MAX($M$15:OFFSET(M70,-1,0))+1,INDEX($M$15:OFFSET(M70,-1,0),MATCH($A70,$A$15:OFFSET($A70,-1,0),0)))))</f>
        <v>11</v>
      </c>
      <c r="N70" s="174" t="str">
        <f ca="1">IF($D70&lt;&gt;"Serviço","",IF(AUTOEVENTO="Manual",IF($A70=0,"&lt;-- defina o número do agrupador",OFFSET(EVENTOS!$D$14,$A70,0)),OFFSET($F$15,$A70,0)))</f>
        <v>REVESTIMENTO DE PISO</v>
      </c>
      <c r="O70" s="175"/>
      <c r="Q70" s="175"/>
      <c r="R70" s="176"/>
      <c r="S70" s="176"/>
      <c r="T70" s="176"/>
      <c r="U70" s="176"/>
      <c r="V70" s="176"/>
      <c r="W70" s="176"/>
      <c r="X70" s="176"/>
      <c r="Y70" s="176"/>
      <c r="Z70" s="177"/>
      <c r="AB70" s="541">
        <f ca="1">IF(AND($D70="Serviço",AB$12&lt;&gt;0,$H70&gt;0,OR(AUTOEVENTO&lt;&gt;"manual",$M70&lt;&gt;1)),
IF(Import.TipoArredondamento&lt;&gt;"TransfereGOV",
ROUND(OFFSET($P70,0,AB$13),15-13*ORÇAMENTO!$AF$7)/$H70*OFFSET(ORÇAMENTO!$X$15,ROW(AB70)-ROW(AB$15),0),
ROUND(ROUND(OFFSET($P70,0,AB$13),15-13*ORÇAMENTO!$AF$7)*OFFSET(ORÇAMENTO!$W$15,ROW(AB70)-ROW(AB$15),0),15-13*ORÇAMENTO!$AF$11)),0)</f>
        <v>0</v>
      </c>
      <c r="AC70" s="542">
        <f ca="1">IF(AND($D70="Serviço",AC$12&lt;&gt;0,$H70&gt;0,OR(AUTOEVENTO&lt;&gt;"manual",$M70&lt;&gt;1)),
IF(Import.TipoArredondamento&lt;&gt;"TransfereGOV",
ROUND(OFFSET($P70,0,AC$13),15-13*ORÇAMENTO!$AF$7)/$H70*OFFSET(ORÇAMENTO!$X$15,ROW(AC70)-ROW(AC$15),0),
ROUND(ROUND(OFFSET($P70,0,AC$13),15-13*ORÇAMENTO!$AF$7)*OFFSET(ORÇAMENTO!$W$15,ROW(AC70)-ROW(AC$15),0),15-13*ORÇAMENTO!$AF$11)),0)</f>
        <v>0</v>
      </c>
      <c r="AD70" s="542">
        <f ca="1">IF(AND($D70="Serviço",AD$12&lt;&gt;0,$H70&gt;0,OR(AUTOEVENTO&lt;&gt;"manual",$M70&lt;&gt;1)),
IF(Import.TipoArredondamento&lt;&gt;"TransfereGOV",
ROUND(OFFSET($P70,0,AD$13),15-13*ORÇAMENTO!$AF$7)/$H70*OFFSET(ORÇAMENTO!$X$15,ROW(AD70)-ROW(AD$15),0),
ROUND(ROUND(OFFSET($P70,0,AD$13),15-13*ORÇAMENTO!$AF$7)*OFFSET(ORÇAMENTO!$W$15,ROW(AD70)-ROW(AD$15),0),15-13*ORÇAMENTO!$AF$11)),0)</f>
        <v>0</v>
      </c>
      <c r="AE70" s="542">
        <f ca="1">IF(AND($D70="Serviço",AE$12&lt;&gt;0,$H70&gt;0,OR(AUTOEVENTO&lt;&gt;"manual",$M70&lt;&gt;1)),
IF(Import.TipoArredondamento&lt;&gt;"TransfereGOV",
ROUND(OFFSET($P70,0,AE$13),15-13*ORÇAMENTO!$AF$7)/$H70*OFFSET(ORÇAMENTO!$X$15,ROW(AE70)-ROW(AE$15),0),
ROUND(ROUND(OFFSET($P70,0,AE$13),15-13*ORÇAMENTO!$AF$7)*OFFSET(ORÇAMENTO!$W$15,ROW(AE70)-ROW(AE$15),0),15-13*ORÇAMENTO!$AF$11)),0)</f>
        <v>0</v>
      </c>
      <c r="AF70" s="542">
        <f ca="1">IF(AND($D70="Serviço",AF$12&lt;&gt;0,$H70&gt;0,OR(AUTOEVENTO&lt;&gt;"manual",$M70&lt;&gt;1)),
IF(Import.TipoArredondamento&lt;&gt;"TransfereGOV",
ROUND(OFFSET($P70,0,AF$13),15-13*ORÇAMENTO!$AF$7)/$H70*OFFSET(ORÇAMENTO!$X$15,ROW(AF70)-ROW(AF$15),0),
ROUND(ROUND(OFFSET($P70,0,AF$13),15-13*ORÇAMENTO!$AF$7)*OFFSET(ORÇAMENTO!$W$15,ROW(AF70)-ROW(AF$15),0),15-13*ORÇAMENTO!$AF$11)),0)</f>
        <v>0</v>
      </c>
      <c r="AG70" s="542">
        <f ca="1">IF(AND($D70="Serviço",AG$12&lt;&gt;0,$H70&gt;0,OR(AUTOEVENTO&lt;&gt;"manual",$M70&lt;&gt;1)),
IF(Import.TipoArredondamento&lt;&gt;"TransfereGOV",
ROUND(OFFSET($P70,0,AG$13),15-13*ORÇAMENTO!$AF$7)/$H70*OFFSET(ORÇAMENTO!$X$15,ROW(AG70)-ROW(AG$15),0),
ROUND(ROUND(OFFSET($P70,0,AG$13),15-13*ORÇAMENTO!$AF$7)*OFFSET(ORÇAMENTO!$W$15,ROW(AG70)-ROW(AG$15),0),15-13*ORÇAMENTO!$AF$11)),0)</f>
        <v>0</v>
      </c>
      <c r="AH70" s="542">
        <f ca="1">IF(AND($D70="Serviço",AH$12&lt;&gt;0,$H70&gt;0,OR(AUTOEVENTO&lt;&gt;"manual",$M70&lt;&gt;1)),
IF(Import.TipoArredondamento&lt;&gt;"TransfereGOV",
ROUND(OFFSET($P70,0,AH$13),15-13*ORÇAMENTO!$AF$7)/$H70*OFFSET(ORÇAMENTO!$X$15,ROW(AH70)-ROW(AH$15),0),
ROUND(ROUND(OFFSET($P70,0,AH$13),15-13*ORÇAMENTO!$AF$7)*OFFSET(ORÇAMENTO!$W$15,ROW(AH70)-ROW(AH$15),0),15-13*ORÇAMENTO!$AF$11)),0)</f>
        <v>0</v>
      </c>
      <c r="AI70" s="542">
        <f ca="1">IF(AND($D70="Serviço",AI$12&lt;&gt;0,$H70&gt;0,OR(AUTOEVENTO&lt;&gt;"manual",$M70&lt;&gt;1)),
IF(Import.TipoArredondamento&lt;&gt;"TransfereGOV",
ROUND(OFFSET($P70,0,AI$13),15-13*ORÇAMENTO!$AF$7)/$H70*OFFSET(ORÇAMENTO!$X$15,ROW(AI70)-ROW(AI$15),0),
ROUND(ROUND(OFFSET($P70,0,AI$13),15-13*ORÇAMENTO!$AF$7)*OFFSET(ORÇAMENTO!$W$15,ROW(AI70)-ROW(AI$15),0),15-13*ORÇAMENTO!$AF$11)),0)</f>
        <v>0</v>
      </c>
      <c r="AJ70" s="542">
        <f ca="1">IF(AND($D70="Serviço",AJ$12&lt;&gt;0,$H70&gt;0,OR(AUTOEVENTO&lt;&gt;"manual",$M70&lt;&gt;1)),
IF(Import.TipoArredondamento&lt;&gt;"TransfereGOV",
ROUND(OFFSET($P70,0,AJ$13),15-13*ORÇAMENTO!$AF$7)/$H70*OFFSET(ORÇAMENTO!$X$15,ROW(AJ70)-ROW(AJ$15),0),
ROUND(ROUND(OFFSET($P70,0,AJ$13),15-13*ORÇAMENTO!$AF$7)*OFFSET(ORÇAMENTO!$W$15,ROW(AJ70)-ROW(AJ$15),0),15-13*ORÇAMENTO!$AF$11)),0)</f>
        <v>0</v>
      </c>
      <c r="AK70" s="543">
        <f ca="1">IF(AND($D70="Serviço",AK$12&lt;&gt;0,$H70&gt;0,OR(AUTOEVENTO&lt;&gt;"manual",$M70&lt;&gt;1)),
IF(Import.TipoArredondamento&lt;&gt;"TransfereGOV",
ROUND(OFFSET($P70,0,AK$13),15-13*ORÇAMENTO!$AF$7)/$H70*OFFSET(ORÇAMENTO!$X$15,ROW(AK70)-ROW(AK$15),0),
ROUND(ROUND(OFFSET($P70,0,AK$13),15-13*ORÇAMENTO!$AF$7)*OFFSET(ORÇAMENTO!$W$15,ROW(AK70)-ROW(AK$15),0),15-13*ORÇAMENTO!$AF$11)),0)</f>
        <v>0</v>
      </c>
      <c r="AM70" s="178">
        <f ca="1">IF($D70&lt;&gt;"Serviço",0,IF(AND(AUTOEVENTO="Manual",$M70=1),0,IF(OFFSET(CRONOPLE!$F$14,$M70,AM$13)="",10^12,OFFSET(CRONOPLE!$F$14,$M70,AM$13))))</f>
        <v>1000000000000</v>
      </c>
      <c r="AN70" s="178">
        <f ca="1">IF($D70&lt;&gt;"Serviço",0,IF(AND(AUTOEVENTO="Manual",$M70=1),0,IF(OFFSET(CRONOPLE!$F$14,$M70,AN$13)="",10^12,OFFSET(CRONOPLE!$F$14,$M70,AN$13))))</f>
        <v>1000000000000</v>
      </c>
      <c r="AO70" s="178">
        <f ca="1">IF($D70&lt;&gt;"Serviço",0,IF(AND(AUTOEVENTO="Manual",$M70=1),0,IF(OFFSET(CRONOPLE!$F$14,$M70,AO$13)="",10^12,OFFSET(CRONOPLE!$F$14,$M70,AO$13))))</f>
        <v>1000000000000</v>
      </c>
      <c r="AP70" s="178">
        <f ca="1">IF($D70&lt;&gt;"Serviço",0,IF(AND(AUTOEVENTO="Manual",$M70=1),0,IF(OFFSET(CRONOPLE!$F$14,$M70,AP$13)="",10^12,OFFSET(CRONOPLE!$F$14,$M70,AP$13))))</f>
        <v>1000000000000</v>
      </c>
      <c r="AQ70" s="178">
        <f ca="1">IF($D70&lt;&gt;"Serviço",0,IF(AND(AUTOEVENTO="Manual",$M70=1),0,IF(OFFSET(CRONOPLE!$F$14,$M70,AQ$13)="",10^12,OFFSET(CRONOPLE!$F$14,$M70,AQ$13))))</f>
        <v>1000000000000</v>
      </c>
      <c r="AR70" s="178">
        <f ca="1">IF($D70&lt;&gt;"Serviço",0,IF(AND(AUTOEVENTO="Manual",$M70=1),0,IF(OFFSET(CRONOPLE!$F$14,$M70,AR$13)="",10^12,OFFSET(CRONOPLE!$F$14,$M70,AR$13))))</f>
        <v>1000000000000</v>
      </c>
      <c r="AS70" s="178">
        <f ca="1">IF($D70&lt;&gt;"Serviço",0,IF(AND(AUTOEVENTO="Manual",$M70=1),0,IF(OFFSET(CRONOPLE!$F$14,$M70,AS$13)="",10^12,OFFSET(CRONOPLE!$F$14,$M70,AS$13))))</f>
        <v>1000000000000</v>
      </c>
      <c r="AT70" s="178">
        <f ca="1">IF($D70&lt;&gt;"Serviço",0,IF(AND(AUTOEVENTO="Manual",$M70=1),0,IF(OFFSET(CRONOPLE!$F$14,$M70,AT$13)="",10^12,OFFSET(CRONOPLE!$F$14,$M70,AT$13))))</f>
        <v>1000000000000</v>
      </c>
      <c r="AU70" s="178">
        <f ca="1">IF($D70&lt;&gt;"Serviço",0,IF(AND(AUTOEVENTO="Manual",$M70=1),0,IF(OFFSET(CRONOPLE!$F$14,$M70,AU$13)="",10^12,OFFSET(CRONOPLE!$F$14,$M70,AU$13))))</f>
        <v>1000000000000</v>
      </c>
      <c r="AV70" s="178">
        <f ca="1">IF($D70&lt;&gt;"Serviço",0,IF(AND(AUTOEVENTO="Manual",$M70=1),0,IF(OFFSET(CRONOPLE!$F$14,$M70,AV$13)="",10^12,OFFSET(CRONOPLE!$F$14,$M70,AV$13))))</f>
        <v>1000000000000</v>
      </c>
      <c r="AX70" s="179">
        <f ca="1">IF($D70&lt;&gt;"Serviço",0,IF(OR(AND(AUTOEVENTO="Manual",$M70=1),$M70&gt;(ROW(PLE.lastrow)-ROW(PLE.firstrow))),0,IF(OFFSET(PLE!$G$14,$M70,AX$13)="",10^12,OFFSET(PLE!$G$14,$M70,AX$13))))</f>
        <v>1000000000000</v>
      </c>
      <c r="AY70" s="179">
        <f ca="1">IF($D70&lt;&gt;"Serviço",0,IF(OR(AND(AUTOEVENTO="Manual",$M70=1),$M70&gt;(ROW(PLE.lastrow)-ROW(PLE.firstrow))),0,IF(OFFSET(PLE!$G$14,$M70,AY$13)="",10^12,OFFSET(PLE!$G$14,$M70,AY$13))))</f>
        <v>1000000000000</v>
      </c>
      <c r="AZ70" s="179">
        <f ca="1">IF($D70&lt;&gt;"Serviço",0,IF(OR(AND(AUTOEVENTO="Manual",$M70=1),$M70&gt;(ROW(PLE.lastrow)-ROW(PLE.firstrow))),0,IF(OFFSET(PLE!$G$14,$M70,AZ$13)="",10^12,OFFSET(PLE!$G$14,$M70,AZ$13))))</f>
        <v>1000000000000</v>
      </c>
      <c r="BA70" s="179">
        <f ca="1">IF($D70&lt;&gt;"Serviço",0,IF(OR(AND(AUTOEVENTO="Manual",$M70=1),$M70&gt;(ROW(PLE.lastrow)-ROW(PLE.firstrow))),0,IF(OFFSET(PLE!$G$14,$M70,BA$13)="",10^12,OFFSET(PLE!$G$14,$M70,BA$13))))</f>
        <v>1000000000000</v>
      </c>
      <c r="BB70" s="179">
        <f ca="1">IF($D70&lt;&gt;"Serviço",0,IF(OR(AND(AUTOEVENTO="Manual",$M70=1),$M70&gt;(ROW(PLE.lastrow)-ROW(PLE.firstrow))),0,IF(OFFSET(PLE!$G$14,$M70,BB$13)="",10^12,OFFSET(PLE!$G$14,$M70,BB$13))))</f>
        <v>1000000000000</v>
      </c>
      <c r="BC70" s="179">
        <f ca="1">IF($D70&lt;&gt;"Serviço",0,IF(OR(AND(AUTOEVENTO="Manual",$M70=1),$M70&gt;(ROW(PLE.lastrow)-ROW(PLE.firstrow))),0,IF(OFFSET(PLE!$G$14,$M70,BC$13)="",10^12,OFFSET(PLE!$G$14,$M70,BC$13))))</f>
        <v>1000000000000</v>
      </c>
      <c r="BD70" s="179">
        <f ca="1">IF($D70&lt;&gt;"Serviço",0,IF(OR(AND(AUTOEVENTO="Manual",$M70=1),$M70&gt;(ROW(PLE.lastrow)-ROW(PLE.firstrow))),0,IF(OFFSET(PLE!$G$14,$M70,BD$13)="",10^12,OFFSET(PLE!$G$14,$M70,BD$13))))</f>
        <v>1000000000000</v>
      </c>
      <c r="BE70" s="179">
        <f ca="1">IF($D70&lt;&gt;"Serviço",0,IF(OR(AND(AUTOEVENTO="Manual",$M70=1),$M70&gt;(ROW(PLE.lastrow)-ROW(PLE.firstrow))),0,IF(OFFSET(PLE!$G$14,$M70,BE$13)="",10^12,OFFSET(PLE!$G$14,$M70,BE$13))))</f>
        <v>1000000000000</v>
      </c>
      <c r="BF70" s="179">
        <f ca="1">IF($D70&lt;&gt;"Serviço",0,IF(OR(AND(AUTOEVENTO="Manual",$M70=1),$M70&gt;(ROW(PLE.lastrow)-ROW(PLE.firstrow))),0,IF(OFFSET(PLE!$G$14,$M70,BF$13)="",10^12,OFFSET(PLE!$G$14,$M70,BF$13))))</f>
        <v>1000000000000</v>
      </c>
      <c r="BG70" s="179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25.5" x14ac:dyDescent="0.2">
      <c r="A71" s="7" t="str">
        <f t="shared" ca="1" si="8"/>
        <v>53</v>
      </c>
      <c r="B71" s="7" t="str">
        <f ca="1">OFFSET(ORÇAMENTO!C$15,ROW(B71)-ROW(B$15),0)</f>
        <v>S</v>
      </c>
      <c r="C71" s="7" t="str">
        <f ca="1">OFFSET(ORÇAMENTO!L$15,ROW(C71)-ROW(C$15),0)</f>
        <v/>
      </c>
      <c r="D71" s="115" t="str">
        <f ca="1">OFFSET(ORÇAMENTO!N$15,ROW(D71)-ROW(D$15),0)</f>
        <v>Serviço</v>
      </c>
      <c r="E71" s="116" t="str">
        <f ca="1">OFFSET(ORÇAMENTO!O$15,ROW(E71)-ROW(E$15),0)</f>
        <v>-</v>
      </c>
      <c r="F71" s="169" t="str">
        <f ca="1">OFFSET(ORÇAMENTO!R$15,ROW(F71)-ROW(F$15),0)</f>
        <v>(abra o arquivo 'Referência 10-2024.xlsm)</v>
      </c>
      <c r="G71" s="170" t="str">
        <f ca="1">IF($D71&lt;&gt;"Serviço","",OFFSET(ORÇAMENTO!S$15,ROW(G71)-ROW(G$15),0))</f>
        <v>-</v>
      </c>
      <c r="H71" s="121">
        <f ca="1">IF($D71&lt;&gt;"Serviço",0,IF(ACOMPANHAMENTO="BM",ROUND(OFFSET(ORÇAMENTO!AJ$15,ROW(H71)-ROW(H$15),0),15-13*ORÇAMENTO!$AF$7),SUMPRODUCT(($Q$12:$AA$12&lt;&gt;"")*ROUND($Q71:$AA71,15-13*ORÇAMENTO!$AF$7))))</f>
        <v>20</v>
      </c>
      <c r="I71" s="558" t="s">
        <v>561</v>
      </c>
      <c r="K71" s="171"/>
      <c r="L71" s="172" t="s">
        <v>255</v>
      </c>
      <c r="M71" s="173">
        <f ca="1">IF($D71&lt;&gt;"Serviço","",IF(AUTOEVENTO="manual",$A71,IF(ISERROR(MATCH($A71,$A$15:OFFSET($A71,-1,0),0)),MAX($M$15:OFFSET(M71,-1,0))+1,INDEX($M$15:OFFSET(M71,-1,0),MATCH($A71,$A$15:OFFSET($A71,-1,0),0)))))</f>
        <v>11</v>
      </c>
      <c r="N71" s="174" t="str">
        <f ca="1">IF($D71&lt;&gt;"Serviço","",IF(AUTOEVENTO="Manual",IF($A71=0,"&lt;-- defina o número do agrupador",OFFSET(EVENTOS!$D$14,$A71,0)),OFFSET($F$15,$A71,0)))</f>
        <v>REVESTIMENTO DE PISO</v>
      </c>
      <c r="O71" s="175"/>
      <c r="Q71" s="175"/>
      <c r="R71" s="176"/>
      <c r="S71" s="176"/>
      <c r="T71" s="176"/>
      <c r="U71" s="176"/>
      <c r="V71" s="176"/>
      <c r="W71" s="176"/>
      <c r="X71" s="176"/>
      <c r="Y71" s="176"/>
      <c r="Z71" s="177"/>
      <c r="AB71" s="541">
        <f ca="1">IF(AND($D71="Serviço",AB$12&lt;&gt;0,$H71&gt;0,OR(AUTOEVENTO&lt;&gt;"manual",$M71&lt;&gt;1)),
IF(Import.TipoArredondamento&lt;&gt;"TransfereGOV",
ROUND(OFFSET($P71,0,AB$13),15-13*ORÇAMENTO!$AF$7)/$H71*OFFSET(ORÇAMENTO!$X$15,ROW(AB71)-ROW(AB$15),0),
ROUND(ROUND(OFFSET($P71,0,AB$13),15-13*ORÇAMENTO!$AF$7)*OFFSET(ORÇAMENTO!$W$15,ROW(AB71)-ROW(AB$15),0),15-13*ORÇAMENTO!$AF$11)),0)</f>
        <v>0</v>
      </c>
      <c r="AC71" s="542">
        <f ca="1">IF(AND($D71="Serviço",AC$12&lt;&gt;0,$H71&gt;0,OR(AUTOEVENTO&lt;&gt;"manual",$M71&lt;&gt;1)),
IF(Import.TipoArredondamento&lt;&gt;"TransfereGOV",
ROUND(OFFSET($P71,0,AC$13),15-13*ORÇAMENTO!$AF$7)/$H71*OFFSET(ORÇAMENTO!$X$15,ROW(AC71)-ROW(AC$15),0),
ROUND(ROUND(OFFSET($P71,0,AC$13),15-13*ORÇAMENTO!$AF$7)*OFFSET(ORÇAMENTO!$W$15,ROW(AC71)-ROW(AC$15),0),15-13*ORÇAMENTO!$AF$11)),0)</f>
        <v>0</v>
      </c>
      <c r="AD71" s="542">
        <f ca="1">IF(AND($D71="Serviço",AD$12&lt;&gt;0,$H71&gt;0,OR(AUTOEVENTO&lt;&gt;"manual",$M71&lt;&gt;1)),
IF(Import.TipoArredondamento&lt;&gt;"TransfereGOV",
ROUND(OFFSET($P71,0,AD$13),15-13*ORÇAMENTO!$AF$7)/$H71*OFFSET(ORÇAMENTO!$X$15,ROW(AD71)-ROW(AD$15),0),
ROUND(ROUND(OFFSET($P71,0,AD$13),15-13*ORÇAMENTO!$AF$7)*OFFSET(ORÇAMENTO!$W$15,ROW(AD71)-ROW(AD$15),0),15-13*ORÇAMENTO!$AF$11)),0)</f>
        <v>0</v>
      </c>
      <c r="AE71" s="542">
        <f ca="1">IF(AND($D71="Serviço",AE$12&lt;&gt;0,$H71&gt;0,OR(AUTOEVENTO&lt;&gt;"manual",$M71&lt;&gt;1)),
IF(Import.TipoArredondamento&lt;&gt;"TransfereGOV",
ROUND(OFFSET($P71,0,AE$13),15-13*ORÇAMENTO!$AF$7)/$H71*OFFSET(ORÇAMENTO!$X$15,ROW(AE71)-ROW(AE$15),0),
ROUND(ROUND(OFFSET($P71,0,AE$13),15-13*ORÇAMENTO!$AF$7)*OFFSET(ORÇAMENTO!$W$15,ROW(AE71)-ROW(AE$15),0),15-13*ORÇAMENTO!$AF$11)),0)</f>
        <v>0</v>
      </c>
      <c r="AF71" s="542">
        <f ca="1">IF(AND($D71="Serviço",AF$12&lt;&gt;0,$H71&gt;0,OR(AUTOEVENTO&lt;&gt;"manual",$M71&lt;&gt;1)),
IF(Import.TipoArredondamento&lt;&gt;"TransfereGOV",
ROUND(OFFSET($P71,0,AF$13),15-13*ORÇAMENTO!$AF$7)/$H71*OFFSET(ORÇAMENTO!$X$15,ROW(AF71)-ROW(AF$15),0),
ROUND(ROUND(OFFSET($P71,0,AF$13),15-13*ORÇAMENTO!$AF$7)*OFFSET(ORÇAMENTO!$W$15,ROW(AF71)-ROW(AF$15),0),15-13*ORÇAMENTO!$AF$11)),0)</f>
        <v>0</v>
      </c>
      <c r="AG71" s="542">
        <f ca="1">IF(AND($D71="Serviço",AG$12&lt;&gt;0,$H71&gt;0,OR(AUTOEVENTO&lt;&gt;"manual",$M71&lt;&gt;1)),
IF(Import.TipoArredondamento&lt;&gt;"TransfereGOV",
ROUND(OFFSET($P71,0,AG$13),15-13*ORÇAMENTO!$AF$7)/$H71*OFFSET(ORÇAMENTO!$X$15,ROW(AG71)-ROW(AG$15),0),
ROUND(ROUND(OFFSET($P71,0,AG$13),15-13*ORÇAMENTO!$AF$7)*OFFSET(ORÇAMENTO!$W$15,ROW(AG71)-ROW(AG$15),0),15-13*ORÇAMENTO!$AF$11)),0)</f>
        <v>0</v>
      </c>
      <c r="AH71" s="542">
        <f ca="1">IF(AND($D71="Serviço",AH$12&lt;&gt;0,$H71&gt;0,OR(AUTOEVENTO&lt;&gt;"manual",$M71&lt;&gt;1)),
IF(Import.TipoArredondamento&lt;&gt;"TransfereGOV",
ROUND(OFFSET($P71,0,AH$13),15-13*ORÇAMENTO!$AF$7)/$H71*OFFSET(ORÇAMENTO!$X$15,ROW(AH71)-ROW(AH$15),0),
ROUND(ROUND(OFFSET($P71,0,AH$13),15-13*ORÇAMENTO!$AF$7)*OFFSET(ORÇAMENTO!$W$15,ROW(AH71)-ROW(AH$15),0),15-13*ORÇAMENTO!$AF$11)),0)</f>
        <v>0</v>
      </c>
      <c r="AI71" s="542">
        <f ca="1">IF(AND($D71="Serviço",AI$12&lt;&gt;0,$H71&gt;0,OR(AUTOEVENTO&lt;&gt;"manual",$M71&lt;&gt;1)),
IF(Import.TipoArredondamento&lt;&gt;"TransfereGOV",
ROUND(OFFSET($P71,0,AI$13),15-13*ORÇAMENTO!$AF$7)/$H71*OFFSET(ORÇAMENTO!$X$15,ROW(AI71)-ROW(AI$15),0),
ROUND(ROUND(OFFSET($P71,0,AI$13),15-13*ORÇAMENTO!$AF$7)*OFFSET(ORÇAMENTO!$W$15,ROW(AI71)-ROW(AI$15),0),15-13*ORÇAMENTO!$AF$11)),0)</f>
        <v>0</v>
      </c>
      <c r="AJ71" s="542">
        <f ca="1">IF(AND($D71="Serviço",AJ$12&lt;&gt;0,$H71&gt;0,OR(AUTOEVENTO&lt;&gt;"manual",$M71&lt;&gt;1)),
IF(Import.TipoArredondamento&lt;&gt;"TransfereGOV",
ROUND(OFFSET($P71,0,AJ$13),15-13*ORÇAMENTO!$AF$7)/$H71*OFFSET(ORÇAMENTO!$X$15,ROW(AJ71)-ROW(AJ$15),0),
ROUND(ROUND(OFFSET($P71,0,AJ$13),15-13*ORÇAMENTO!$AF$7)*OFFSET(ORÇAMENTO!$W$15,ROW(AJ71)-ROW(AJ$15),0),15-13*ORÇAMENTO!$AF$11)),0)</f>
        <v>0</v>
      </c>
      <c r="AK71" s="543">
        <f ca="1">IF(AND($D71="Serviço",AK$12&lt;&gt;0,$H71&gt;0,OR(AUTOEVENTO&lt;&gt;"manual",$M71&lt;&gt;1)),
IF(Import.TipoArredondamento&lt;&gt;"TransfereGOV",
ROUND(OFFSET($P71,0,AK$13),15-13*ORÇAMENTO!$AF$7)/$H71*OFFSET(ORÇAMENTO!$X$15,ROW(AK71)-ROW(AK$15),0),
ROUND(ROUND(OFFSET($P71,0,AK$13),15-13*ORÇAMENTO!$AF$7)*OFFSET(ORÇAMENTO!$W$15,ROW(AK71)-ROW(AK$15),0),15-13*ORÇAMENTO!$AF$11)),0)</f>
        <v>0</v>
      </c>
      <c r="AM71" s="178">
        <f ca="1">IF($D71&lt;&gt;"Serviço",0,IF(AND(AUTOEVENTO="Manual",$M71=1),0,IF(OFFSET(CRONOPLE!$F$14,$M71,AM$13)="",10^12,OFFSET(CRONOPLE!$F$14,$M71,AM$13))))</f>
        <v>1000000000000</v>
      </c>
      <c r="AN71" s="178">
        <f ca="1">IF($D71&lt;&gt;"Serviço",0,IF(AND(AUTOEVENTO="Manual",$M71=1),0,IF(OFFSET(CRONOPLE!$F$14,$M71,AN$13)="",10^12,OFFSET(CRONOPLE!$F$14,$M71,AN$13))))</f>
        <v>1000000000000</v>
      </c>
      <c r="AO71" s="178">
        <f ca="1">IF($D71&lt;&gt;"Serviço",0,IF(AND(AUTOEVENTO="Manual",$M71=1),0,IF(OFFSET(CRONOPLE!$F$14,$M71,AO$13)="",10^12,OFFSET(CRONOPLE!$F$14,$M71,AO$13))))</f>
        <v>1000000000000</v>
      </c>
      <c r="AP71" s="178">
        <f ca="1">IF($D71&lt;&gt;"Serviço",0,IF(AND(AUTOEVENTO="Manual",$M71=1),0,IF(OFFSET(CRONOPLE!$F$14,$M71,AP$13)="",10^12,OFFSET(CRONOPLE!$F$14,$M71,AP$13))))</f>
        <v>1000000000000</v>
      </c>
      <c r="AQ71" s="178">
        <f ca="1">IF($D71&lt;&gt;"Serviço",0,IF(AND(AUTOEVENTO="Manual",$M71=1),0,IF(OFFSET(CRONOPLE!$F$14,$M71,AQ$13)="",10^12,OFFSET(CRONOPLE!$F$14,$M71,AQ$13))))</f>
        <v>1000000000000</v>
      </c>
      <c r="AR71" s="178">
        <f ca="1">IF($D71&lt;&gt;"Serviço",0,IF(AND(AUTOEVENTO="Manual",$M71=1),0,IF(OFFSET(CRONOPLE!$F$14,$M71,AR$13)="",10^12,OFFSET(CRONOPLE!$F$14,$M71,AR$13))))</f>
        <v>1000000000000</v>
      </c>
      <c r="AS71" s="178">
        <f ca="1">IF($D71&lt;&gt;"Serviço",0,IF(AND(AUTOEVENTO="Manual",$M71=1),0,IF(OFFSET(CRONOPLE!$F$14,$M71,AS$13)="",10^12,OFFSET(CRONOPLE!$F$14,$M71,AS$13))))</f>
        <v>1000000000000</v>
      </c>
      <c r="AT71" s="178">
        <f ca="1">IF($D71&lt;&gt;"Serviço",0,IF(AND(AUTOEVENTO="Manual",$M71=1),0,IF(OFFSET(CRONOPLE!$F$14,$M71,AT$13)="",10^12,OFFSET(CRONOPLE!$F$14,$M71,AT$13))))</f>
        <v>1000000000000</v>
      </c>
      <c r="AU71" s="178">
        <f ca="1">IF($D71&lt;&gt;"Serviço",0,IF(AND(AUTOEVENTO="Manual",$M71=1),0,IF(OFFSET(CRONOPLE!$F$14,$M71,AU$13)="",10^12,OFFSET(CRONOPLE!$F$14,$M71,AU$13))))</f>
        <v>1000000000000</v>
      </c>
      <c r="AV71" s="178">
        <f ca="1">IF($D71&lt;&gt;"Serviço",0,IF(AND(AUTOEVENTO="Manual",$M71=1),0,IF(OFFSET(CRONOPLE!$F$14,$M71,AV$13)="",10^12,OFFSET(CRONOPLE!$F$14,$M71,AV$13))))</f>
        <v>1000000000000</v>
      </c>
      <c r="AX71" s="179">
        <f ca="1">IF($D71&lt;&gt;"Serviço",0,IF(OR(AND(AUTOEVENTO="Manual",$M71=1),$M71&gt;(ROW(PLE.lastrow)-ROW(PLE.firstrow))),0,IF(OFFSET(PLE!$G$14,$M71,AX$13)="",10^12,OFFSET(PLE!$G$14,$M71,AX$13))))</f>
        <v>1000000000000</v>
      </c>
      <c r="AY71" s="179">
        <f ca="1">IF($D71&lt;&gt;"Serviço",0,IF(OR(AND(AUTOEVENTO="Manual",$M71=1),$M71&gt;(ROW(PLE.lastrow)-ROW(PLE.firstrow))),0,IF(OFFSET(PLE!$G$14,$M71,AY$13)="",10^12,OFFSET(PLE!$G$14,$M71,AY$13))))</f>
        <v>1000000000000</v>
      </c>
      <c r="AZ71" s="179">
        <f ca="1">IF($D71&lt;&gt;"Serviço",0,IF(OR(AND(AUTOEVENTO="Manual",$M71=1),$M71&gt;(ROW(PLE.lastrow)-ROW(PLE.firstrow))),0,IF(OFFSET(PLE!$G$14,$M71,AZ$13)="",10^12,OFFSET(PLE!$G$14,$M71,AZ$13))))</f>
        <v>1000000000000</v>
      </c>
      <c r="BA71" s="179">
        <f ca="1">IF($D71&lt;&gt;"Serviço",0,IF(OR(AND(AUTOEVENTO="Manual",$M71=1),$M71&gt;(ROW(PLE.lastrow)-ROW(PLE.firstrow))),0,IF(OFFSET(PLE!$G$14,$M71,BA$13)="",10^12,OFFSET(PLE!$G$14,$M71,BA$13))))</f>
        <v>1000000000000</v>
      </c>
      <c r="BB71" s="179">
        <f ca="1">IF($D71&lt;&gt;"Serviço",0,IF(OR(AND(AUTOEVENTO="Manual",$M71=1),$M71&gt;(ROW(PLE.lastrow)-ROW(PLE.firstrow))),0,IF(OFFSET(PLE!$G$14,$M71,BB$13)="",10^12,OFFSET(PLE!$G$14,$M71,BB$13))))</f>
        <v>1000000000000</v>
      </c>
      <c r="BC71" s="179">
        <f ca="1">IF($D71&lt;&gt;"Serviço",0,IF(OR(AND(AUTOEVENTO="Manual",$M71=1),$M71&gt;(ROW(PLE.lastrow)-ROW(PLE.firstrow))),0,IF(OFFSET(PLE!$G$14,$M71,BC$13)="",10^12,OFFSET(PLE!$G$14,$M71,BC$13))))</f>
        <v>1000000000000</v>
      </c>
      <c r="BD71" s="179">
        <f ca="1">IF($D71&lt;&gt;"Serviço",0,IF(OR(AND(AUTOEVENTO="Manual",$M71=1),$M71&gt;(ROW(PLE.lastrow)-ROW(PLE.firstrow))),0,IF(OFFSET(PLE!$G$14,$M71,BD$13)="",10^12,OFFSET(PLE!$G$14,$M71,BD$13))))</f>
        <v>1000000000000</v>
      </c>
      <c r="BE71" s="179">
        <f ca="1">IF($D71&lt;&gt;"Serviço",0,IF(OR(AND(AUTOEVENTO="Manual",$M71=1),$M71&gt;(ROW(PLE.lastrow)-ROW(PLE.firstrow))),0,IF(OFFSET(PLE!$G$14,$M71,BE$13)="",10^12,OFFSET(PLE!$G$14,$M71,BE$13))))</f>
        <v>1000000000000</v>
      </c>
      <c r="BF71" s="179">
        <f ca="1">IF($D71&lt;&gt;"Serviço",0,IF(OR(AND(AUTOEVENTO="Manual",$M71=1),$M71&gt;(ROW(PLE.lastrow)-ROW(PLE.firstrow))),0,IF(OFFSET(PLE!$G$14,$M71,BF$13)="",10^12,OFFSET(PLE!$G$14,$M71,BF$13))))</f>
        <v>1000000000000</v>
      </c>
      <c r="BG71" s="179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7" t="str">
        <f t="shared" ca="1" si="8"/>
        <v>57.</v>
      </c>
      <c r="B72" s="7">
        <f ca="1">OFFSET(ORÇAMENTO!C$15,ROW(B72)-ROW(B$15),0)</f>
        <v>2</v>
      </c>
      <c r="C72" s="7" t="str">
        <f ca="1">OFFSET(ORÇAMENTO!L$15,ROW(C72)-ROW(C$15),0)</f>
        <v>F</v>
      </c>
      <c r="D72" s="115" t="str">
        <f ca="1">OFFSET(ORÇAMENTO!N$15,ROW(D72)-ROW(D$15),0)</f>
        <v>Nível 2</v>
      </c>
      <c r="E72" s="116" t="str">
        <f ca="1">OFFSET(ORÇAMENTO!O$15,ROW(E72)-ROW(E$15),0)</f>
        <v>1.11.</v>
      </c>
      <c r="F72" s="169" t="str">
        <f ca="1">OFFSET(ORÇAMENTO!R$15,ROW(F72)-ROW(F$15),0)</f>
        <v>ESQUADRIAS</v>
      </c>
      <c r="G72" s="170" t="str">
        <f ca="1">IF($D72&lt;&gt;"Serviço","",OFFSET(ORÇAMENTO!S$15,ROW(G72)-ROW(G$15),0))</f>
        <v/>
      </c>
      <c r="H72" s="121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558"/>
      <c r="K72" s="171"/>
      <c r="L72" s="172" t="s">
        <v>255</v>
      </c>
      <c r="M72" s="173" t="str">
        <f ca="1">IF($D72&lt;&gt;"Serviço","",IF(AUTOEVENTO="manual",$A72,IF(ISERROR(MATCH($A72,$A$15:OFFSET($A72,-1,0),0)),MAX($M$15:OFFSET(M72,-1,0))+1,INDEX($M$15:OFFSET(M72,-1,0),MATCH($A72,$A$15:OFFSET($A72,-1,0),0)))))</f>
        <v/>
      </c>
      <c r="N72" s="174" t="str">
        <f ca="1">IF($D72&lt;&gt;"Serviço","",IF(AUTOEVENTO="Manual",IF($A72=0,"&lt;-- defina o número do agrupador",OFFSET(EVENTOS!$D$14,$A72,0)),OFFSET($F$15,$A72,0)))</f>
        <v/>
      </c>
      <c r="O72" s="175"/>
      <c r="Q72" s="175"/>
      <c r="R72" s="176"/>
      <c r="S72" s="176"/>
      <c r="T72" s="176"/>
      <c r="U72" s="176"/>
      <c r="V72" s="176"/>
      <c r="W72" s="176"/>
      <c r="X72" s="176"/>
      <c r="Y72" s="176"/>
      <c r="Z72" s="177"/>
      <c r="AB72" s="541">
        <f ca="1">IF(AND($D72="Serviço",AB$12&lt;&gt;0,$H72&gt;0,OR(AUTOEVENTO&lt;&gt;"manual",$M72&lt;&gt;1)),
IF(Import.TipoArredondamento&lt;&gt;"TransfereGOV",
ROUND(OFFSET($P72,0,AB$13),15-13*ORÇAMENTO!$AF$7)/$H72*OFFSET(ORÇAMENTO!$X$15,ROW(AB72)-ROW(AB$15),0),
ROUND(ROUND(OFFSET($P72,0,AB$13),15-13*ORÇAMENTO!$AF$7)*OFFSET(ORÇAMENTO!$W$15,ROW(AB72)-ROW(AB$15),0),15-13*ORÇAMENTO!$AF$11)),0)</f>
        <v>0</v>
      </c>
      <c r="AC72" s="542">
        <f ca="1">IF(AND($D72="Serviço",AC$12&lt;&gt;0,$H72&gt;0,OR(AUTOEVENTO&lt;&gt;"manual",$M72&lt;&gt;1)),
IF(Import.TipoArredondamento&lt;&gt;"TransfereGOV",
ROUND(OFFSET($P72,0,AC$13),15-13*ORÇAMENTO!$AF$7)/$H72*OFFSET(ORÇAMENTO!$X$15,ROW(AC72)-ROW(AC$15),0),
ROUND(ROUND(OFFSET($P72,0,AC$13),15-13*ORÇAMENTO!$AF$7)*OFFSET(ORÇAMENTO!$W$15,ROW(AC72)-ROW(AC$15),0),15-13*ORÇAMENTO!$AF$11)),0)</f>
        <v>0</v>
      </c>
      <c r="AD72" s="542">
        <f ca="1">IF(AND($D72="Serviço",AD$12&lt;&gt;0,$H72&gt;0,OR(AUTOEVENTO&lt;&gt;"manual",$M72&lt;&gt;1)),
IF(Import.TipoArredondamento&lt;&gt;"TransfereGOV",
ROUND(OFFSET($P72,0,AD$13),15-13*ORÇAMENTO!$AF$7)/$H72*OFFSET(ORÇAMENTO!$X$15,ROW(AD72)-ROW(AD$15),0),
ROUND(ROUND(OFFSET($P72,0,AD$13),15-13*ORÇAMENTO!$AF$7)*OFFSET(ORÇAMENTO!$W$15,ROW(AD72)-ROW(AD$15),0),15-13*ORÇAMENTO!$AF$11)),0)</f>
        <v>0</v>
      </c>
      <c r="AE72" s="542">
        <f ca="1">IF(AND($D72="Serviço",AE$12&lt;&gt;0,$H72&gt;0,OR(AUTOEVENTO&lt;&gt;"manual",$M72&lt;&gt;1)),
IF(Import.TipoArredondamento&lt;&gt;"TransfereGOV",
ROUND(OFFSET($P72,0,AE$13),15-13*ORÇAMENTO!$AF$7)/$H72*OFFSET(ORÇAMENTO!$X$15,ROW(AE72)-ROW(AE$15),0),
ROUND(ROUND(OFFSET($P72,0,AE$13),15-13*ORÇAMENTO!$AF$7)*OFFSET(ORÇAMENTO!$W$15,ROW(AE72)-ROW(AE$15),0),15-13*ORÇAMENTO!$AF$11)),0)</f>
        <v>0</v>
      </c>
      <c r="AF72" s="542">
        <f ca="1">IF(AND($D72="Serviço",AF$12&lt;&gt;0,$H72&gt;0,OR(AUTOEVENTO&lt;&gt;"manual",$M72&lt;&gt;1)),
IF(Import.TipoArredondamento&lt;&gt;"TransfereGOV",
ROUND(OFFSET($P72,0,AF$13),15-13*ORÇAMENTO!$AF$7)/$H72*OFFSET(ORÇAMENTO!$X$15,ROW(AF72)-ROW(AF$15),0),
ROUND(ROUND(OFFSET($P72,0,AF$13),15-13*ORÇAMENTO!$AF$7)*OFFSET(ORÇAMENTO!$W$15,ROW(AF72)-ROW(AF$15),0),15-13*ORÇAMENTO!$AF$11)),0)</f>
        <v>0</v>
      </c>
      <c r="AG72" s="542">
        <f ca="1">IF(AND($D72="Serviço",AG$12&lt;&gt;0,$H72&gt;0,OR(AUTOEVENTO&lt;&gt;"manual",$M72&lt;&gt;1)),
IF(Import.TipoArredondamento&lt;&gt;"TransfereGOV",
ROUND(OFFSET($P72,0,AG$13),15-13*ORÇAMENTO!$AF$7)/$H72*OFFSET(ORÇAMENTO!$X$15,ROW(AG72)-ROW(AG$15),0),
ROUND(ROUND(OFFSET($P72,0,AG$13),15-13*ORÇAMENTO!$AF$7)*OFFSET(ORÇAMENTO!$W$15,ROW(AG72)-ROW(AG$15),0),15-13*ORÇAMENTO!$AF$11)),0)</f>
        <v>0</v>
      </c>
      <c r="AH72" s="542">
        <f ca="1">IF(AND($D72="Serviço",AH$12&lt;&gt;0,$H72&gt;0,OR(AUTOEVENTO&lt;&gt;"manual",$M72&lt;&gt;1)),
IF(Import.TipoArredondamento&lt;&gt;"TransfereGOV",
ROUND(OFFSET($P72,0,AH$13),15-13*ORÇAMENTO!$AF$7)/$H72*OFFSET(ORÇAMENTO!$X$15,ROW(AH72)-ROW(AH$15),0),
ROUND(ROUND(OFFSET($P72,0,AH$13),15-13*ORÇAMENTO!$AF$7)*OFFSET(ORÇAMENTO!$W$15,ROW(AH72)-ROW(AH$15),0),15-13*ORÇAMENTO!$AF$11)),0)</f>
        <v>0</v>
      </c>
      <c r="AI72" s="542">
        <f ca="1">IF(AND($D72="Serviço",AI$12&lt;&gt;0,$H72&gt;0,OR(AUTOEVENTO&lt;&gt;"manual",$M72&lt;&gt;1)),
IF(Import.TipoArredondamento&lt;&gt;"TransfereGOV",
ROUND(OFFSET($P72,0,AI$13),15-13*ORÇAMENTO!$AF$7)/$H72*OFFSET(ORÇAMENTO!$X$15,ROW(AI72)-ROW(AI$15),0),
ROUND(ROUND(OFFSET($P72,0,AI$13),15-13*ORÇAMENTO!$AF$7)*OFFSET(ORÇAMENTO!$W$15,ROW(AI72)-ROW(AI$15),0),15-13*ORÇAMENTO!$AF$11)),0)</f>
        <v>0</v>
      </c>
      <c r="AJ72" s="542">
        <f ca="1">IF(AND($D72="Serviço",AJ$12&lt;&gt;0,$H72&gt;0,OR(AUTOEVENTO&lt;&gt;"manual",$M72&lt;&gt;1)),
IF(Import.TipoArredondamento&lt;&gt;"TransfereGOV",
ROUND(OFFSET($P72,0,AJ$13),15-13*ORÇAMENTO!$AF$7)/$H72*OFFSET(ORÇAMENTO!$X$15,ROW(AJ72)-ROW(AJ$15),0),
ROUND(ROUND(OFFSET($P72,0,AJ$13),15-13*ORÇAMENTO!$AF$7)*OFFSET(ORÇAMENTO!$W$15,ROW(AJ72)-ROW(AJ$15),0),15-13*ORÇAMENTO!$AF$11)),0)</f>
        <v>0</v>
      </c>
      <c r="AK72" s="543">
        <f ca="1">IF(AND($D72="Serviço",AK$12&lt;&gt;0,$H72&gt;0,OR(AUTOEVENTO&lt;&gt;"manual",$M72&lt;&gt;1)),
IF(Import.TipoArredondamento&lt;&gt;"TransfereGOV",
ROUND(OFFSET($P72,0,AK$13),15-13*ORÇAMENTO!$AF$7)/$H72*OFFSET(ORÇAMENTO!$X$15,ROW(AK72)-ROW(AK$15),0),
ROUND(ROUND(OFFSET($P72,0,AK$13),15-13*ORÇAMENTO!$AF$7)*OFFSET(ORÇAMENTO!$W$15,ROW(AK72)-ROW(AK$15),0),15-13*ORÇAMENTO!$AF$11)),0)</f>
        <v>0</v>
      </c>
      <c r="AM72" s="178">
        <f ca="1">IF($D72&lt;&gt;"Serviço",0,IF(AND(AUTOEVENTO="Manual",$M72=1),0,IF(OFFSET(CRONOPLE!$F$14,$M72,AM$13)="",10^12,OFFSET(CRONOPLE!$F$14,$M72,AM$13))))</f>
        <v>0</v>
      </c>
      <c r="AN72" s="178">
        <f ca="1">IF($D72&lt;&gt;"Serviço",0,IF(AND(AUTOEVENTO="Manual",$M72=1),0,IF(OFFSET(CRONOPLE!$F$14,$M72,AN$13)="",10^12,OFFSET(CRONOPLE!$F$14,$M72,AN$13))))</f>
        <v>0</v>
      </c>
      <c r="AO72" s="178">
        <f ca="1">IF($D72&lt;&gt;"Serviço",0,IF(AND(AUTOEVENTO="Manual",$M72=1),0,IF(OFFSET(CRONOPLE!$F$14,$M72,AO$13)="",10^12,OFFSET(CRONOPLE!$F$14,$M72,AO$13))))</f>
        <v>0</v>
      </c>
      <c r="AP72" s="178">
        <f ca="1">IF($D72&lt;&gt;"Serviço",0,IF(AND(AUTOEVENTO="Manual",$M72=1),0,IF(OFFSET(CRONOPLE!$F$14,$M72,AP$13)="",10^12,OFFSET(CRONOPLE!$F$14,$M72,AP$13))))</f>
        <v>0</v>
      </c>
      <c r="AQ72" s="178">
        <f ca="1">IF($D72&lt;&gt;"Serviço",0,IF(AND(AUTOEVENTO="Manual",$M72=1),0,IF(OFFSET(CRONOPLE!$F$14,$M72,AQ$13)="",10^12,OFFSET(CRONOPLE!$F$14,$M72,AQ$13))))</f>
        <v>0</v>
      </c>
      <c r="AR72" s="178">
        <f ca="1">IF($D72&lt;&gt;"Serviço",0,IF(AND(AUTOEVENTO="Manual",$M72=1),0,IF(OFFSET(CRONOPLE!$F$14,$M72,AR$13)="",10^12,OFFSET(CRONOPLE!$F$14,$M72,AR$13))))</f>
        <v>0</v>
      </c>
      <c r="AS72" s="178">
        <f ca="1">IF($D72&lt;&gt;"Serviço",0,IF(AND(AUTOEVENTO="Manual",$M72=1),0,IF(OFFSET(CRONOPLE!$F$14,$M72,AS$13)="",10^12,OFFSET(CRONOPLE!$F$14,$M72,AS$13))))</f>
        <v>0</v>
      </c>
      <c r="AT72" s="178">
        <f ca="1">IF($D72&lt;&gt;"Serviço",0,IF(AND(AUTOEVENTO="Manual",$M72=1),0,IF(OFFSET(CRONOPLE!$F$14,$M72,AT$13)="",10^12,OFFSET(CRONOPLE!$F$14,$M72,AT$13))))</f>
        <v>0</v>
      </c>
      <c r="AU72" s="178">
        <f ca="1">IF($D72&lt;&gt;"Serviço",0,IF(AND(AUTOEVENTO="Manual",$M72=1),0,IF(OFFSET(CRONOPLE!$F$14,$M72,AU$13)="",10^12,OFFSET(CRONOPLE!$F$14,$M72,AU$13))))</f>
        <v>0</v>
      </c>
      <c r="AV72" s="178">
        <f ca="1">IF($D72&lt;&gt;"Serviço",0,IF(AND(AUTOEVENTO="Manual",$M72=1),0,IF(OFFSET(CRONOPLE!$F$14,$M72,AV$13)="",10^12,OFFSET(CRONOPLE!$F$14,$M72,AV$13))))</f>
        <v>0</v>
      </c>
      <c r="AX72" s="179">
        <f ca="1">IF($D72&lt;&gt;"Serviço",0,IF(OR(AND(AUTOEVENTO="Manual",$M72=1),$M72&gt;(ROW(PLE.lastrow)-ROW(PLE.firstrow))),0,IF(OFFSET(PLE!$G$14,$M72,AX$13)="",10^12,OFFSET(PLE!$G$14,$M72,AX$13))))</f>
        <v>0</v>
      </c>
      <c r="AY72" s="179">
        <f ca="1">IF($D72&lt;&gt;"Serviço",0,IF(OR(AND(AUTOEVENTO="Manual",$M72=1),$M72&gt;(ROW(PLE.lastrow)-ROW(PLE.firstrow))),0,IF(OFFSET(PLE!$G$14,$M72,AY$13)="",10^12,OFFSET(PLE!$G$14,$M72,AY$13))))</f>
        <v>0</v>
      </c>
      <c r="AZ72" s="179">
        <f ca="1">IF($D72&lt;&gt;"Serviço",0,IF(OR(AND(AUTOEVENTO="Manual",$M72=1),$M72&gt;(ROW(PLE.lastrow)-ROW(PLE.firstrow))),0,IF(OFFSET(PLE!$G$14,$M72,AZ$13)="",10^12,OFFSET(PLE!$G$14,$M72,AZ$13))))</f>
        <v>0</v>
      </c>
      <c r="BA72" s="179">
        <f ca="1">IF($D72&lt;&gt;"Serviço",0,IF(OR(AND(AUTOEVENTO="Manual",$M72=1),$M72&gt;(ROW(PLE.lastrow)-ROW(PLE.firstrow))),0,IF(OFFSET(PLE!$G$14,$M72,BA$13)="",10^12,OFFSET(PLE!$G$14,$M72,BA$13))))</f>
        <v>0</v>
      </c>
      <c r="BB72" s="179">
        <f ca="1">IF($D72&lt;&gt;"Serviço",0,IF(OR(AND(AUTOEVENTO="Manual",$M72=1),$M72&gt;(ROW(PLE.lastrow)-ROW(PLE.firstrow))),0,IF(OFFSET(PLE!$G$14,$M72,BB$13)="",10^12,OFFSET(PLE!$G$14,$M72,BB$13))))</f>
        <v>0</v>
      </c>
      <c r="BC72" s="179">
        <f ca="1">IF($D72&lt;&gt;"Serviço",0,IF(OR(AND(AUTOEVENTO="Manual",$M72=1),$M72&gt;(ROW(PLE.lastrow)-ROW(PLE.firstrow))),0,IF(OFFSET(PLE!$G$14,$M72,BC$13)="",10^12,OFFSET(PLE!$G$14,$M72,BC$13))))</f>
        <v>0</v>
      </c>
      <c r="BD72" s="179">
        <f ca="1">IF($D72&lt;&gt;"Serviço",0,IF(OR(AND(AUTOEVENTO="Manual",$M72=1),$M72&gt;(ROW(PLE.lastrow)-ROW(PLE.firstrow))),0,IF(OFFSET(PLE!$G$14,$M72,BD$13)="",10^12,OFFSET(PLE!$G$14,$M72,BD$13))))</f>
        <v>0</v>
      </c>
      <c r="BE72" s="179">
        <f ca="1">IF($D72&lt;&gt;"Serviço",0,IF(OR(AND(AUTOEVENTO="Manual",$M72=1),$M72&gt;(ROW(PLE.lastrow)-ROW(PLE.firstrow))),0,IF(OFFSET(PLE!$G$14,$M72,BE$13)="",10^12,OFFSET(PLE!$G$14,$M72,BE$13))))</f>
        <v>0</v>
      </c>
      <c r="BF72" s="179">
        <f ca="1">IF($D72&lt;&gt;"Serviço",0,IF(OR(AND(AUTOEVENTO="Manual",$M72=1),$M72&gt;(ROW(PLE.lastrow)-ROW(PLE.firstrow))),0,IF(OFFSET(PLE!$G$14,$M72,BF$13)="",10^12,OFFSET(PLE!$G$14,$M72,BF$13))))</f>
        <v>0</v>
      </c>
      <c r="BG72" s="179">
        <f ca="1">IF($D72&lt;&gt;"Serviço",0,IF(OR(AND(AUTOEVENTO="Manual",$M72=1),$M72&gt;(ROW(PLE.lastrow)-ROW(PLE.firstrow))),0,IF(OFFSET(PLE!$G$14,$M72,BG$13)="",10^12,OFFSET(PLE!$G$14,$M72,BG$13))))</f>
        <v>0</v>
      </c>
    </row>
    <row r="73" spans="1:59" ht="51" x14ac:dyDescent="0.2">
      <c r="A73" s="7" t="str">
        <f t="shared" ca="1" si="8"/>
        <v>57</v>
      </c>
      <c r="B73" s="7" t="str">
        <f ca="1">OFFSET(ORÇAMENTO!C$15,ROW(B73)-ROW(B$15),0)</f>
        <v>S</v>
      </c>
      <c r="C73" s="7" t="str">
        <f ca="1">OFFSET(ORÇAMENTO!L$15,ROW(C73)-ROW(C$15),0)</f>
        <v/>
      </c>
      <c r="D73" s="115" t="str">
        <f ca="1">OFFSET(ORÇAMENTO!N$15,ROW(D73)-ROW(D$15),0)</f>
        <v>Serviço</v>
      </c>
      <c r="E73" s="116" t="str">
        <f ca="1">OFFSET(ORÇAMENTO!O$15,ROW(E73)-ROW(E$15),0)</f>
        <v>-</v>
      </c>
      <c r="F73" s="169" t="str">
        <f ca="1">OFFSET(ORÇAMENTO!R$15,ROW(F73)-ROW(F$15),0)</f>
        <v>(abra o arquivo 'Referência 10-2024.xlsm)</v>
      </c>
      <c r="G73" s="170" t="str">
        <f ca="1">IF($D73&lt;&gt;"Serviço","",OFFSET(ORÇAMENTO!S$15,ROW(G73)-ROW(G$15),0))</f>
        <v>-</v>
      </c>
      <c r="H73" s="121">
        <f ca="1">IF($D73&lt;&gt;"Serviço",0,IF(ACOMPANHAMENTO="BM",ROUND(OFFSET(ORÇAMENTO!AJ$15,ROW(H73)-ROW(H$15),0),15-13*ORÇAMENTO!$AF$7),SUMPRODUCT(($Q$12:$AA$12&lt;&gt;"")*ROUND($Q73:$AA73,15-13*ORÇAMENTO!$AF$7))))</f>
        <v>1</v>
      </c>
      <c r="I73" s="558" t="s">
        <v>561</v>
      </c>
      <c r="K73" s="171"/>
      <c r="L73" s="172" t="s">
        <v>255</v>
      </c>
      <c r="M73" s="173">
        <f ca="1">IF($D73&lt;&gt;"Serviço","",IF(AUTOEVENTO="manual",$A73,IF(ISERROR(MATCH($A73,$A$15:OFFSET($A73,-1,0),0)),MAX($M$15:OFFSET(M73,-1,0))+1,INDEX($M$15:OFFSET(M73,-1,0),MATCH($A73,$A$15:OFFSET($A73,-1,0),0)))))</f>
        <v>12</v>
      </c>
      <c r="N73" s="174" t="str">
        <f ca="1">IF($D73&lt;&gt;"Serviço","",IF(AUTOEVENTO="Manual",IF($A73=0,"&lt;-- defina o número do agrupador",OFFSET(EVENTOS!$D$14,$A73,0)),OFFSET($F$15,$A73,0)))</f>
        <v>ESQUADRIAS</v>
      </c>
      <c r="O73" s="175"/>
      <c r="Q73" s="175"/>
      <c r="R73" s="176"/>
      <c r="S73" s="176"/>
      <c r="T73" s="176"/>
      <c r="U73" s="176"/>
      <c r="V73" s="176"/>
      <c r="W73" s="176"/>
      <c r="X73" s="176"/>
      <c r="Y73" s="176"/>
      <c r="Z73" s="177"/>
      <c r="AB73" s="541">
        <f ca="1">IF(AND($D73="Serviço",AB$12&lt;&gt;0,$H73&gt;0,OR(AUTOEVENTO&lt;&gt;"manual",$M73&lt;&gt;1)),
IF(Import.TipoArredondamento&lt;&gt;"TransfereGOV",
ROUND(OFFSET($P73,0,AB$13),15-13*ORÇAMENTO!$AF$7)/$H73*OFFSET(ORÇAMENTO!$X$15,ROW(AB73)-ROW(AB$15),0),
ROUND(ROUND(OFFSET($P73,0,AB$13),15-13*ORÇAMENTO!$AF$7)*OFFSET(ORÇAMENTO!$W$15,ROW(AB73)-ROW(AB$15),0),15-13*ORÇAMENTO!$AF$11)),0)</f>
        <v>0</v>
      </c>
      <c r="AC73" s="542">
        <f ca="1">IF(AND($D73="Serviço",AC$12&lt;&gt;0,$H73&gt;0,OR(AUTOEVENTO&lt;&gt;"manual",$M73&lt;&gt;1)),
IF(Import.TipoArredondamento&lt;&gt;"TransfereGOV",
ROUND(OFFSET($P73,0,AC$13),15-13*ORÇAMENTO!$AF$7)/$H73*OFFSET(ORÇAMENTO!$X$15,ROW(AC73)-ROW(AC$15),0),
ROUND(ROUND(OFFSET($P73,0,AC$13),15-13*ORÇAMENTO!$AF$7)*OFFSET(ORÇAMENTO!$W$15,ROW(AC73)-ROW(AC$15),0),15-13*ORÇAMENTO!$AF$11)),0)</f>
        <v>0</v>
      </c>
      <c r="AD73" s="542">
        <f ca="1">IF(AND($D73="Serviço",AD$12&lt;&gt;0,$H73&gt;0,OR(AUTOEVENTO&lt;&gt;"manual",$M73&lt;&gt;1)),
IF(Import.TipoArredondamento&lt;&gt;"TransfereGOV",
ROUND(OFFSET($P73,0,AD$13),15-13*ORÇAMENTO!$AF$7)/$H73*OFFSET(ORÇAMENTO!$X$15,ROW(AD73)-ROW(AD$15),0),
ROUND(ROUND(OFFSET($P73,0,AD$13),15-13*ORÇAMENTO!$AF$7)*OFFSET(ORÇAMENTO!$W$15,ROW(AD73)-ROW(AD$15),0),15-13*ORÇAMENTO!$AF$11)),0)</f>
        <v>0</v>
      </c>
      <c r="AE73" s="542">
        <f ca="1">IF(AND($D73="Serviço",AE$12&lt;&gt;0,$H73&gt;0,OR(AUTOEVENTO&lt;&gt;"manual",$M73&lt;&gt;1)),
IF(Import.TipoArredondamento&lt;&gt;"TransfereGOV",
ROUND(OFFSET($P73,0,AE$13),15-13*ORÇAMENTO!$AF$7)/$H73*OFFSET(ORÇAMENTO!$X$15,ROW(AE73)-ROW(AE$15),0),
ROUND(ROUND(OFFSET($P73,0,AE$13),15-13*ORÇAMENTO!$AF$7)*OFFSET(ORÇAMENTO!$W$15,ROW(AE73)-ROW(AE$15),0),15-13*ORÇAMENTO!$AF$11)),0)</f>
        <v>0</v>
      </c>
      <c r="AF73" s="542">
        <f ca="1">IF(AND($D73="Serviço",AF$12&lt;&gt;0,$H73&gt;0,OR(AUTOEVENTO&lt;&gt;"manual",$M73&lt;&gt;1)),
IF(Import.TipoArredondamento&lt;&gt;"TransfereGOV",
ROUND(OFFSET($P73,0,AF$13),15-13*ORÇAMENTO!$AF$7)/$H73*OFFSET(ORÇAMENTO!$X$15,ROW(AF73)-ROW(AF$15),0),
ROUND(ROUND(OFFSET($P73,0,AF$13),15-13*ORÇAMENTO!$AF$7)*OFFSET(ORÇAMENTO!$W$15,ROW(AF73)-ROW(AF$15),0),15-13*ORÇAMENTO!$AF$11)),0)</f>
        <v>0</v>
      </c>
      <c r="AG73" s="542">
        <f ca="1">IF(AND($D73="Serviço",AG$12&lt;&gt;0,$H73&gt;0,OR(AUTOEVENTO&lt;&gt;"manual",$M73&lt;&gt;1)),
IF(Import.TipoArredondamento&lt;&gt;"TransfereGOV",
ROUND(OFFSET($P73,0,AG$13),15-13*ORÇAMENTO!$AF$7)/$H73*OFFSET(ORÇAMENTO!$X$15,ROW(AG73)-ROW(AG$15),0),
ROUND(ROUND(OFFSET($P73,0,AG$13),15-13*ORÇAMENTO!$AF$7)*OFFSET(ORÇAMENTO!$W$15,ROW(AG73)-ROW(AG$15),0),15-13*ORÇAMENTO!$AF$11)),0)</f>
        <v>0</v>
      </c>
      <c r="AH73" s="542">
        <f ca="1">IF(AND($D73="Serviço",AH$12&lt;&gt;0,$H73&gt;0,OR(AUTOEVENTO&lt;&gt;"manual",$M73&lt;&gt;1)),
IF(Import.TipoArredondamento&lt;&gt;"TransfereGOV",
ROUND(OFFSET($P73,0,AH$13),15-13*ORÇAMENTO!$AF$7)/$H73*OFFSET(ORÇAMENTO!$X$15,ROW(AH73)-ROW(AH$15),0),
ROUND(ROUND(OFFSET($P73,0,AH$13),15-13*ORÇAMENTO!$AF$7)*OFFSET(ORÇAMENTO!$W$15,ROW(AH73)-ROW(AH$15),0),15-13*ORÇAMENTO!$AF$11)),0)</f>
        <v>0</v>
      </c>
      <c r="AI73" s="542">
        <f ca="1">IF(AND($D73="Serviço",AI$12&lt;&gt;0,$H73&gt;0,OR(AUTOEVENTO&lt;&gt;"manual",$M73&lt;&gt;1)),
IF(Import.TipoArredondamento&lt;&gt;"TransfereGOV",
ROUND(OFFSET($P73,0,AI$13),15-13*ORÇAMENTO!$AF$7)/$H73*OFFSET(ORÇAMENTO!$X$15,ROW(AI73)-ROW(AI$15),0),
ROUND(ROUND(OFFSET($P73,0,AI$13),15-13*ORÇAMENTO!$AF$7)*OFFSET(ORÇAMENTO!$W$15,ROW(AI73)-ROW(AI$15),0),15-13*ORÇAMENTO!$AF$11)),0)</f>
        <v>0</v>
      </c>
      <c r="AJ73" s="542">
        <f ca="1">IF(AND($D73="Serviço",AJ$12&lt;&gt;0,$H73&gt;0,OR(AUTOEVENTO&lt;&gt;"manual",$M73&lt;&gt;1)),
IF(Import.TipoArredondamento&lt;&gt;"TransfereGOV",
ROUND(OFFSET($P73,0,AJ$13),15-13*ORÇAMENTO!$AF$7)/$H73*OFFSET(ORÇAMENTO!$X$15,ROW(AJ73)-ROW(AJ$15),0),
ROUND(ROUND(OFFSET($P73,0,AJ$13),15-13*ORÇAMENTO!$AF$7)*OFFSET(ORÇAMENTO!$W$15,ROW(AJ73)-ROW(AJ$15),0),15-13*ORÇAMENTO!$AF$11)),0)</f>
        <v>0</v>
      </c>
      <c r="AK73" s="543">
        <f ca="1">IF(AND($D73="Serviço",AK$12&lt;&gt;0,$H73&gt;0,OR(AUTOEVENTO&lt;&gt;"manual",$M73&lt;&gt;1)),
IF(Import.TipoArredondamento&lt;&gt;"TransfereGOV",
ROUND(OFFSET($P73,0,AK$13),15-13*ORÇAMENTO!$AF$7)/$H73*OFFSET(ORÇAMENTO!$X$15,ROW(AK73)-ROW(AK$15),0),
ROUND(ROUND(OFFSET($P73,0,AK$13),15-13*ORÇAMENTO!$AF$7)*OFFSET(ORÇAMENTO!$W$15,ROW(AK73)-ROW(AK$15),0),15-13*ORÇAMENTO!$AF$11)),0)</f>
        <v>0</v>
      </c>
      <c r="AM73" s="178">
        <f ca="1">IF($D73&lt;&gt;"Serviço",0,IF(AND(AUTOEVENTO="Manual",$M73=1),0,IF(OFFSET(CRONOPLE!$F$14,$M73,AM$13)="",10^12,OFFSET(CRONOPLE!$F$14,$M73,AM$13))))</f>
        <v>1000000000000</v>
      </c>
      <c r="AN73" s="178">
        <f ca="1">IF($D73&lt;&gt;"Serviço",0,IF(AND(AUTOEVENTO="Manual",$M73=1),0,IF(OFFSET(CRONOPLE!$F$14,$M73,AN$13)="",10^12,OFFSET(CRONOPLE!$F$14,$M73,AN$13))))</f>
        <v>1000000000000</v>
      </c>
      <c r="AO73" s="178">
        <f ca="1">IF($D73&lt;&gt;"Serviço",0,IF(AND(AUTOEVENTO="Manual",$M73=1),0,IF(OFFSET(CRONOPLE!$F$14,$M73,AO$13)="",10^12,OFFSET(CRONOPLE!$F$14,$M73,AO$13))))</f>
        <v>1000000000000</v>
      </c>
      <c r="AP73" s="178">
        <f ca="1">IF($D73&lt;&gt;"Serviço",0,IF(AND(AUTOEVENTO="Manual",$M73=1),0,IF(OFFSET(CRONOPLE!$F$14,$M73,AP$13)="",10^12,OFFSET(CRONOPLE!$F$14,$M73,AP$13))))</f>
        <v>1000000000000</v>
      </c>
      <c r="AQ73" s="178">
        <f ca="1">IF($D73&lt;&gt;"Serviço",0,IF(AND(AUTOEVENTO="Manual",$M73=1),0,IF(OFFSET(CRONOPLE!$F$14,$M73,AQ$13)="",10^12,OFFSET(CRONOPLE!$F$14,$M73,AQ$13))))</f>
        <v>1000000000000</v>
      </c>
      <c r="AR73" s="178">
        <f ca="1">IF($D73&lt;&gt;"Serviço",0,IF(AND(AUTOEVENTO="Manual",$M73=1),0,IF(OFFSET(CRONOPLE!$F$14,$M73,AR$13)="",10^12,OFFSET(CRONOPLE!$F$14,$M73,AR$13))))</f>
        <v>1000000000000</v>
      </c>
      <c r="AS73" s="178">
        <f ca="1">IF($D73&lt;&gt;"Serviço",0,IF(AND(AUTOEVENTO="Manual",$M73=1),0,IF(OFFSET(CRONOPLE!$F$14,$M73,AS$13)="",10^12,OFFSET(CRONOPLE!$F$14,$M73,AS$13))))</f>
        <v>1000000000000</v>
      </c>
      <c r="AT73" s="178">
        <f ca="1">IF($D73&lt;&gt;"Serviço",0,IF(AND(AUTOEVENTO="Manual",$M73=1),0,IF(OFFSET(CRONOPLE!$F$14,$M73,AT$13)="",10^12,OFFSET(CRONOPLE!$F$14,$M73,AT$13))))</f>
        <v>1000000000000</v>
      </c>
      <c r="AU73" s="178">
        <f ca="1">IF($D73&lt;&gt;"Serviço",0,IF(AND(AUTOEVENTO="Manual",$M73=1),0,IF(OFFSET(CRONOPLE!$F$14,$M73,AU$13)="",10^12,OFFSET(CRONOPLE!$F$14,$M73,AU$13))))</f>
        <v>1000000000000</v>
      </c>
      <c r="AV73" s="178">
        <f ca="1">IF($D73&lt;&gt;"Serviço",0,IF(AND(AUTOEVENTO="Manual",$M73=1),0,IF(OFFSET(CRONOPLE!$F$14,$M73,AV$13)="",10^12,OFFSET(CRONOPLE!$F$14,$M73,AV$13))))</f>
        <v>1000000000000</v>
      </c>
      <c r="AX73" s="179">
        <f ca="1">IF($D73&lt;&gt;"Serviço",0,IF(OR(AND(AUTOEVENTO="Manual",$M73=1),$M73&gt;(ROW(PLE.lastrow)-ROW(PLE.firstrow))),0,IF(OFFSET(PLE!$G$14,$M73,AX$13)="",10^12,OFFSET(PLE!$G$14,$M73,AX$13))))</f>
        <v>1000000000000</v>
      </c>
      <c r="AY73" s="179">
        <f ca="1">IF($D73&lt;&gt;"Serviço",0,IF(OR(AND(AUTOEVENTO="Manual",$M73=1),$M73&gt;(ROW(PLE.lastrow)-ROW(PLE.firstrow))),0,IF(OFFSET(PLE!$G$14,$M73,AY$13)="",10^12,OFFSET(PLE!$G$14,$M73,AY$13))))</f>
        <v>1000000000000</v>
      </c>
      <c r="AZ73" s="179">
        <f ca="1">IF($D73&lt;&gt;"Serviço",0,IF(OR(AND(AUTOEVENTO="Manual",$M73=1),$M73&gt;(ROW(PLE.lastrow)-ROW(PLE.firstrow))),0,IF(OFFSET(PLE!$G$14,$M73,AZ$13)="",10^12,OFFSET(PLE!$G$14,$M73,AZ$13))))</f>
        <v>1000000000000</v>
      </c>
      <c r="BA73" s="179">
        <f ca="1">IF($D73&lt;&gt;"Serviço",0,IF(OR(AND(AUTOEVENTO="Manual",$M73=1),$M73&gt;(ROW(PLE.lastrow)-ROW(PLE.firstrow))),0,IF(OFFSET(PLE!$G$14,$M73,BA$13)="",10^12,OFFSET(PLE!$G$14,$M73,BA$13))))</f>
        <v>1000000000000</v>
      </c>
      <c r="BB73" s="179">
        <f ca="1">IF($D73&lt;&gt;"Serviço",0,IF(OR(AND(AUTOEVENTO="Manual",$M73=1),$M73&gt;(ROW(PLE.lastrow)-ROW(PLE.firstrow))),0,IF(OFFSET(PLE!$G$14,$M73,BB$13)="",10^12,OFFSET(PLE!$G$14,$M73,BB$13))))</f>
        <v>1000000000000</v>
      </c>
      <c r="BC73" s="179">
        <f ca="1">IF($D73&lt;&gt;"Serviço",0,IF(OR(AND(AUTOEVENTO="Manual",$M73=1),$M73&gt;(ROW(PLE.lastrow)-ROW(PLE.firstrow))),0,IF(OFFSET(PLE!$G$14,$M73,BC$13)="",10^12,OFFSET(PLE!$G$14,$M73,BC$13))))</f>
        <v>1000000000000</v>
      </c>
      <c r="BD73" s="179">
        <f ca="1">IF($D73&lt;&gt;"Serviço",0,IF(OR(AND(AUTOEVENTO="Manual",$M73=1),$M73&gt;(ROW(PLE.lastrow)-ROW(PLE.firstrow))),0,IF(OFFSET(PLE!$G$14,$M73,BD$13)="",10^12,OFFSET(PLE!$G$14,$M73,BD$13))))</f>
        <v>1000000000000</v>
      </c>
      <c r="BE73" s="179">
        <f ca="1">IF($D73&lt;&gt;"Serviço",0,IF(OR(AND(AUTOEVENTO="Manual",$M73=1),$M73&gt;(ROW(PLE.lastrow)-ROW(PLE.firstrow))),0,IF(OFFSET(PLE!$G$14,$M73,BE$13)="",10^12,OFFSET(PLE!$G$14,$M73,BE$13))))</f>
        <v>1000000000000</v>
      </c>
      <c r="BF73" s="179">
        <f ca="1">IF($D73&lt;&gt;"Serviço",0,IF(OR(AND(AUTOEVENTO="Manual",$M73=1),$M73&gt;(ROW(PLE.lastrow)-ROW(PLE.firstrow))),0,IF(OFFSET(PLE!$G$14,$M73,BF$13)="",10^12,OFFSET(PLE!$G$14,$M73,BF$13))))</f>
        <v>1000000000000</v>
      </c>
      <c r="BG73" s="179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51" x14ac:dyDescent="0.2">
      <c r="A74" s="7" t="str">
        <f t="shared" ca="1" si="8"/>
        <v>57</v>
      </c>
      <c r="B74" s="7" t="str">
        <f ca="1">OFFSET(ORÇAMENTO!C$15,ROW(B74)-ROW(B$15),0)</f>
        <v>S</v>
      </c>
      <c r="C74" s="7" t="str">
        <f ca="1">OFFSET(ORÇAMENTO!L$15,ROW(C74)-ROW(C$15),0)</f>
        <v/>
      </c>
      <c r="D74" s="115" t="str">
        <f ca="1">OFFSET(ORÇAMENTO!N$15,ROW(D74)-ROW(D$15),0)</f>
        <v>Serviço</v>
      </c>
      <c r="E74" s="116" t="str">
        <f ca="1">OFFSET(ORÇAMENTO!O$15,ROW(E74)-ROW(E$15),0)</f>
        <v>-</v>
      </c>
      <c r="F74" s="169" t="str">
        <f ca="1">OFFSET(ORÇAMENTO!R$15,ROW(F74)-ROW(F$15),0)</f>
        <v>(abra o arquivo 'Referência 10-2024.xlsm)</v>
      </c>
      <c r="G74" s="170" t="str">
        <f ca="1">IF($D74&lt;&gt;"Serviço","",OFFSET(ORÇAMENTO!S$15,ROW(G74)-ROW(G$15),0))</f>
        <v>-</v>
      </c>
      <c r="H74" s="121">
        <f ca="1">IF($D74&lt;&gt;"Serviço",0,IF(ACOMPANHAMENTO="BM",ROUND(OFFSET(ORÇAMENTO!AJ$15,ROW(H74)-ROW(H$15),0),15-13*ORÇAMENTO!$AF$7),SUMPRODUCT(($Q$12:$AA$12&lt;&gt;"")*ROUND($Q74:$AA74,15-13*ORÇAMENTO!$AF$7))))</f>
        <v>2</v>
      </c>
      <c r="I74" s="558" t="s">
        <v>561</v>
      </c>
      <c r="K74" s="171"/>
      <c r="L74" s="172" t="s">
        <v>255</v>
      </c>
      <c r="M74" s="173">
        <f ca="1">IF($D74&lt;&gt;"Serviço","",IF(AUTOEVENTO="manual",$A74,IF(ISERROR(MATCH($A74,$A$15:OFFSET($A74,-1,0),0)),MAX($M$15:OFFSET(M74,-1,0))+1,INDEX($M$15:OFFSET(M74,-1,0),MATCH($A74,$A$15:OFFSET($A74,-1,0),0)))))</f>
        <v>12</v>
      </c>
      <c r="N74" s="174" t="str">
        <f ca="1">IF($D74&lt;&gt;"Serviço","",IF(AUTOEVENTO="Manual",IF($A74=0,"&lt;-- defina o número do agrupador",OFFSET(EVENTOS!$D$14,$A74,0)),OFFSET($F$15,$A74,0)))</f>
        <v>ESQUADRIAS</v>
      </c>
      <c r="O74" s="175"/>
      <c r="Q74" s="175"/>
      <c r="R74" s="176"/>
      <c r="S74" s="176"/>
      <c r="T74" s="176"/>
      <c r="U74" s="176"/>
      <c r="V74" s="176"/>
      <c r="W74" s="176"/>
      <c r="X74" s="176"/>
      <c r="Y74" s="176"/>
      <c r="Z74" s="177"/>
      <c r="AB74" s="541">
        <f ca="1">IF(AND($D74="Serviço",AB$12&lt;&gt;0,$H74&gt;0,OR(AUTOEVENTO&lt;&gt;"manual",$M74&lt;&gt;1)),
IF(Import.TipoArredondamento&lt;&gt;"TransfereGOV",
ROUND(OFFSET($P74,0,AB$13),15-13*ORÇAMENTO!$AF$7)/$H74*OFFSET(ORÇAMENTO!$X$15,ROW(AB74)-ROW(AB$15),0),
ROUND(ROUND(OFFSET($P74,0,AB$13),15-13*ORÇAMENTO!$AF$7)*OFFSET(ORÇAMENTO!$W$15,ROW(AB74)-ROW(AB$15),0),15-13*ORÇAMENTO!$AF$11)),0)</f>
        <v>0</v>
      </c>
      <c r="AC74" s="542">
        <f ca="1">IF(AND($D74="Serviço",AC$12&lt;&gt;0,$H74&gt;0,OR(AUTOEVENTO&lt;&gt;"manual",$M74&lt;&gt;1)),
IF(Import.TipoArredondamento&lt;&gt;"TransfereGOV",
ROUND(OFFSET($P74,0,AC$13),15-13*ORÇAMENTO!$AF$7)/$H74*OFFSET(ORÇAMENTO!$X$15,ROW(AC74)-ROW(AC$15),0),
ROUND(ROUND(OFFSET($P74,0,AC$13),15-13*ORÇAMENTO!$AF$7)*OFFSET(ORÇAMENTO!$W$15,ROW(AC74)-ROW(AC$15),0),15-13*ORÇAMENTO!$AF$11)),0)</f>
        <v>0</v>
      </c>
      <c r="AD74" s="542">
        <f ca="1">IF(AND($D74="Serviço",AD$12&lt;&gt;0,$H74&gt;0,OR(AUTOEVENTO&lt;&gt;"manual",$M74&lt;&gt;1)),
IF(Import.TipoArredondamento&lt;&gt;"TransfereGOV",
ROUND(OFFSET($P74,0,AD$13),15-13*ORÇAMENTO!$AF$7)/$H74*OFFSET(ORÇAMENTO!$X$15,ROW(AD74)-ROW(AD$15),0),
ROUND(ROUND(OFFSET($P74,0,AD$13),15-13*ORÇAMENTO!$AF$7)*OFFSET(ORÇAMENTO!$W$15,ROW(AD74)-ROW(AD$15),0),15-13*ORÇAMENTO!$AF$11)),0)</f>
        <v>0</v>
      </c>
      <c r="AE74" s="542">
        <f ca="1">IF(AND($D74="Serviço",AE$12&lt;&gt;0,$H74&gt;0,OR(AUTOEVENTO&lt;&gt;"manual",$M74&lt;&gt;1)),
IF(Import.TipoArredondamento&lt;&gt;"TransfereGOV",
ROUND(OFFSET($P74,0,AE$13),15-13*ORÇAMENTO!$AF$7)/$H74*OFFSET(ORÇAMENTO!$X$15,ROW(AE74)-ROW(AE$15),0),
ROUND(ROUND(OFFSET($P74,0,AE$13),15-13*ORÇAMENTO!$AF$7)*OFFSET(ORÇAMENTO!$W$15,ROW(AE74)-ROW(AE$15),0),15-13*ORÇAMENTO!$AF$11)),0)</f>
        <v>0</v>
      </c>
      <c r="AF74" s="542">
        <f ca="1">IF(AND($D74="Serviço",AF$12&lt;&gt;0,$H74&gt;0,OR(AUTOEVENTO&lt;&gt;"manual",$M74&lt;&gt;1)),
IF(Import.TipoArredondamento&lt;&gt;"TransfereGOV",
ROUND(OFFSET($P74,0,AF$13),15-13*ORÇAMENTO!$AF$7)/$H74*OFFSET(ORÇAMENTO!$X$15,ROW(AF74)-ROW(AF$15),0),
ROUND(ROUND(OFFSET($P74,0,AF$13),15-13*ORÇAMENTO!$AF$7)*OFFSET(ORÇAMENTO!$W$15,ROW(AF74)-ROW(AF$15),0),15-13*ORÇAMENTO!$AF$11)),0)</f>
        <v>0</v>
      </c>
      <c r="AG74" s="542">
        <f ca="1">IF(AND($D74="Serviço",AG$12&lt;&gt;0,$H74&gt;0,OR(AUTOEVENTO&lt;&gt;"manual",$M74&lt;&gt;1)),
IF(Import.TipoArredondamento&lt;&gt;"TransfereGOV",
ROUND(OFFSET($P74,0,AG$13),15-13*ORÇAMENTO!$AF$7)/$H74*OFFSET(ORÇAMENTO!$X$15,ROW(AG74)-ROW(AG$15),0),
ROUND(ROUND(OFFSET($P74,0,AG$13),15-13*ORÇAMENTO!$AF$7)*OFFSET(ORÇAMENTO!$W$15,ROW(AG74)-ROW(AG$15),0),15-13*ORÇAMENTO!$AF$11)),0)</f>
        <v>0</v>
      </c>
      <c r="AH74" s="542">
        <f ca="1">IF(AND($D74="Serviço",AH$12&lt;&gt;0,$H74&gt;0,OR(AUTOEVENTO&lt;&gt;"manual",$M74&lt;&gt;1)),
IF(Import.TipoArredondamento&lt;&gt;"TransfereGOV",
ROUND(OFFSET($P74,0,AH$13),15-13*ORÇAMENTO!$AF$7)/$H74*OFFSET(ORÇAMENTO!$X$15,ROW(AH74)-ROW(AH$15),0),
ROUND(ROUND(OFFSET($P74,0,AH$13),15-13*ORÇAMENTO!$AF$7)*OFFSET(ORÇAMENTO!$W$15,ROW(AH74)-ROW(AH$15),0),15-13*ORÇAMENTO!$AF$11)),0)</f>
        <v>0</v>
      </c>
      <c r="AI74" s="542">
        <f ca="1">IF(AND($D74="Serviço",AI$12&lt;&gt;0,$H74&gt;0,OR(AUTOEVENTO&lt;&gt;"manual",$M74&lt;&gt;1)),
IF(Import.TipoArredondamento&lt;&gt;"TransfereGOV",
ROUND(OFFSET($P74,0,AI$13),15-13*ORÇAMENTO!$AF$7)/$H74*OFFSET(ORÇAMENTO!$X$15,ROW(AI74)-ROW(AI$15),0),
ROUND(ROUND(OFFSET($P74,0,AI$13),15-13*ORÇAMENTO!$AF$7)*OFFSET(ORÇAMENTO!$W$15,ROW(AI74)-ROW(AI$15),0),15-13*ORÇAMENTO!$AF$11)),0)</f>
        <v>0</v>
      </c>
      <c r="AJ74" s="542">
        <f ca="1">IF(AND($D74="Serviço",AJ$12&lt;&gt;0,$H74&gt;0,OR(AUTOEVENTO&lt;&gt;"manual",$M74&lt;&gt;1)),
IF(Import.TipoArredondamento&lt;&gt;"TransfereGOV",
ROUND(OFFSET($P74,0,AJ$13),15-13*ORÇAMENTO!$AF$7)/$H74*OFFSET(ORÇAMENTO!$X$15,ROW(AJ74)-ROW(AJ$15),0),
ROUND(ROUND(OFFSET($P74,0,AJ$13),15-13*ORÇAMENTO!$AF$7)*OFFSET(ORÇAMENTO!$W$15,ROW(AJ74)-ROW(AJ$15),0),15-13*ORÇAMENTO!$AF$11)),0)</f>
        <v>0</v>
      </c>
      <c r="AK74" s="543">
        <f ca="1">IF(AND($D74="Serviço",AK$12&lt;&gt;0,$H74&gt;0,OR(AUTOEVENTO&lt;&gt;"manual",$M74&lt;&gt;1)),
IF(Import.TipoArredondamento&lt;&gt;"TransfereGOV",
ROUND(OFFSET($P74,0,AK$13),15-13*ORÇAMENTO!$AF$7)/$H74*OFFSET(ORÇAMENTO!$X$15,ROW(AK74)-ROW(AK$15),0),
ROUND(ROUND(OFFSET($P74,0,AK$13),15-13*ORÇAMENTO!$AF$7)*OFFSET(ORÇAMENTO!$W$15,ROW(AK74)-ROW(AK$15),0),15-13*ORÇAMENTO!$AF$11)),0)</f>
        <v>0</v>
      </c>
      <c r="AM74" s="178">
        <f ca="1">IF($D74&lt;&gt;"Serviço",0,IF(AND(AUTOEVENTO="Manual",$M74=1),0,IF(OFFSET(CRONOPLE!$F$14,$M74,AM$13)="",10^12,OFFSET(CRONOPLE!$F$14,$M74,AM$13))))</f>
        <v>1000000000000</v>
      </c>
      <c r="AN74" s="178">
        <f ca="1">IF($D74&lt;&gt;"Serviço",0,IF(AND(AUTOEVENTO="Manual",$M74=1),0,IF(OFFSET(CRONOPLE!$F$14,$M74,AN$13)="",10^12,OFFSET(CRONOPLE!$F$14,$M74,AN$13))))</f>
        <v>1000000000000</v>
      </c>
      <c r="AO74" s="178">
        <f ca="1">IF($D74&lt;&gt;"Serviço",0,IF(AND(AUTOEVENTO="Manual",$M74=1),0,IF(OFFSET(CRONOPLE!$F$14,$M74,AO$13)="",10^12,OFFSET(CRONOPLE!$F$14,$M74,AO$13))))</f>
        <v>1000000000000</v>
      </c>
      <c r="AP74" s="178">
        <f ca="1">IF($D74&lt;&gt;"Serviço",0,IF(AND(AUTOEVENTO="Manual",$M74=1),0,IF(OFFSET(CRONOPLE!$F$14,$M74,AP$13)="",10^12,OFFSET(CRONOPLE!$F$14,$M74,AP$13))))</f>
        <v>1000000000000</v>
      </c>
      <c r="AQ74" s="178">
        <f ca="1">IF($D74&lt;&gt;"Serviço",0,IF(AND(AUTOEVENTO="Manual",$M74=1),0,IF(OFFSET(CRONOPLE!$F$14,$M74,AQ$13)="",10^12,OFFSET(CRONOPLE!$F$14,$M74,AQ$13))))</f>
        <v>1000000000000</v>
      </c>
      <c r="AR74" s="178">
        <f ca="1">IF($D74&lt;&gt;"Serviço",0,IF(AND(AUTOEVENTO="Manual",$M74=1),0,IF(OFFSET(CRONOPLE!$F$14,$M74,AR$13)="",10^12,OFFSET(CRONOPLE!$F$14,$M74,AR$13))))</f>
        <v>1000000000000</v>
      </c>
      <c r="AS74" s="178">
        <f ca="1">IF($D74&lt;&gt;"Serviço",0,IF(AND(AUTOEVENTO="Manual",$M74=1),0,IF(OFFSET(CRONOPLE!$F$14,$M74,AS$13)="",10^12,OFFSET(CRONOPLE!$F$14,$M74,AS$13))))</f>
        <v>1000000000000</v>
      </c>
      <c r="AT74" s="178">
        <f ca="1">IF($D74&lt;&gt;"Serviço",0,IF(AND(AUTOEVENTO="Manual",$M74=1),0,IF(OFFSET(CRONOPLE!$F$14,$M74,AT$13)="",10^12,OFFSET(CRONOPLE!$F$14,$M74,AT$13))))</f>
        <v>1000000000000</v>
      </c>
      <c r="AU74" s="178">
        <f ca="1">IF($D74&lt;&gt;"Serviço",0,IF(AND(AUTOEVENTO="Manual",$M74=1),0,IF(OFFSET(CRONOPLE!$F$14,$M74,AU$13)="",10^12,OFFSET(CRONOPLE!$F$14,$M74,AU$13))))</f>
        <v>1000000000000</v>
      </c>
      <c r="AV74" s="178">
        <f ca="1">IF($D74&lt;&gt;"Serviço",0,IF(AND(AUTOEVENTO="Manual",$M74=1),0,IF(OFFSET(CRONOPLE!$F$14,$M74,AV$13)="",10^12,OFFSET(CRONOPLE!$F$14,$M74,AV$13))))</f>
        <v>1000000000000</v>
      </c>
      <c r="AX74" s="179">
        <f ca="1">IF($D74&lt;&gt;"Serviço",0,IF(OR(AND(AUTOEVENTO="Manual",$M74=1),$M74&gt;(ROW(PLE.lastrow)-ROW(PLE.firstrow))),0,IF(OFFSET(PLE!$G$14,$M74,AX$13)="",10^12,OFFSET(PLE!$G$14,$M74,AX$13))))</f>
        <v>1000000000000</v>
      </c>
      <c r="AY74" s="179">
        <f ca="1">IF($D74&lt;&gt;"Serviço",0,IF(OR(AND(AUTOEVENTO="Manual",$M74=1),$M74&gt;(ROW(PLE.lastrow)-ROW(PLE.firstrow))),0,IF(OFFSET(PLE!$G$14,$M74,AY$13)="",10^12,OFFSET(PLE!$G$14,$M74,AY$13))))</f>
        <v>1000000000000</v>
      </c>
      <c r="AZ74" s="179">
        <f ca="1">IF($D74&lt;&gt;"Serviço",0,IF(OR(AND(AUTOEVENTO="Manual",$M74=1),$M74&gt;(ROW(PLE.lastrow)-ROW(PLE.firstrow))),0,IF(OFFSET(PLE!$G$14,$M74,AZ$13)="",10^12,OFFSET(PLE!$G$14,$M74,AZ$13))))</f>
        <v>1000000000000</v>
      </c>
      <c r="BA74" s="179">
        <f ca="1">IF($D74&lt;&gt;"Serviço",0,IF(OR(AND(AUTOEVENTO="Manual",$M74=1),$M74&gt;(ROW(PLE.lastrow)-ROW(PLE.firstrow))),0,IF(OFFSET(PLE!$G$14,$M74,BA$13)="",10^12,OFFSET(PLE!$G$14,$M74,BA$13))))</f>
        <v>1000000000000</v>
      </c>
      <c r="BB74" s="179">
        <f ca="1">IF($D74&lt;&gt;"Serviço",0,IF(OR(AND(AUTOEVENTO="Manual",$M74=1),$M74&gt;(ROW(PLE.lastrow)-ROW(PLE.firstrow))),0,IF(OFFSET(PLE!$G$14,$M74,BB$13)="",10^12,OFFSET(PLE!$G$14,$M74,BB$13))))</f>
        <v>1000000000000</v>
      </c>
      <c r="BC74" s="179">
        <f ca="1">IF($D74&lt;&gt;"Serviço",0,IF(OR(AND(AUTOEVENTO="Manual",$M74=1),$M74&gt;(ROW(PLE.lastrow)-ROW(PLE.firstrow))),0,IF(OFFSET(PLE!$G$14,$M74,BC$13)="",10^12,OFFSET(PLE!$G$14,$M74,BC$13))))</f>
        <v>1000000000000</v>
      </c>
      <c r="BD74" s="179">
        <f ca="1">IF($D74&lt;&gt;"Serviço",0,IF(OR(AND(AUTOEVENTO="Manual",$M74=1),$M74&gt;(ROW(PLE.lastrow)-ROW(PLE.firstrow))),0,IF(OFFSET(PLE!$G$14,$M74,BD$13)="",10^12,OFFSET(PLE!$G$14,$M74,BD$13))))</f>
        <v>1000000000000</v>
      </c>
      <c r="BE74" s="179">
        <f ca="1">IF($D74&lt;&gt;"Serviço",0,IF(OR(AND(AUTOEVENTO="Manual",$M74=1),$M74&gt;(ROW(PLE.lastrow)-ROW(PLE.firstrow))),0,IF(OFFSET(PLE!$G$14,$M74,BE$13)="",10^12,OFFSET(PLE!$G$14,$M74,BE$13))))</f>
        <v>1000000000000</v>
      </c>
      <c r="BF74" s="179">
        <f ca="1">IF($D74&lt;&gt;"Serviço",0,IF(OR(AND(AUTOEVENTO="Manual",$M74=1),$M74&gt;(ROW(PLE.lastrow)-ROW(PLE.firstrow))),0,IF(OFFSET(PLE!$G$14,$M74,BF$13)="",10^12,OFFSET(PLE!$G$14,$M74,BF$13))))</f>
        <v>1000000000000</v>
      </c>
      <c r="BG74" s="179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51" x14ac:dyDescent="0.2">
      <c r="A75" s="7" t="str">
        <f ca="1">IF(AUTOEVENTO="Manual",IF(K75&lt;&gt;"",MIN(VALUE(LEFT(K75,FIND(".",K75)-1)),COUNTA(EVENTOS.Lista)),0),IF(OR($B75&gt;AUTOEVENTO,$B75="S",$B75=0),SUBSTITUTE(OFFSET($A75,-1,0),IF($D75="Serviço",".",""),""),ROW(A75)-ROW($A$15)&amp;"."))</f>
        <v>57</v>
      </c>
      <c r="B75" s="7" t="str">
        <f ca="1">OFFSET(ORÇAMENTO!C$15,ROW(B75)-ROW(B$15),0)</f>
        <v>S</v>
      </c>
      <c r="C75" s="7" t="str">
        <f ca="1">OFFSET(ORÇAMENTO!L$15,ROW(C75)-ROW(C$15),0)</f>
        <v/>
      </c>
      <c r="D75" s="115" t="str">
        <f ca="1">OFFSET(ORÇAMENTO!N$15,ROW(D75)-ROW(D$15),0)</f>
        <v>Serviço</v>
      </c>
      <c r="E75" s="116" t="str">
        <f ca="1">OFFSET(ORÇAMENTO!O$15,ROW(E75)-ROW(E$15),0)</f>
        <v>-</v>
      </c>
      <c r="F75" s="169" t="str">
        <f ca="1">OFFSET(ORÇAMENTO!R$15,ROW(F75)-ROW(F$15),0)</f>
        <v>(abra o arquivo 'Referência 10-2024.xlsm)</v>
      </c>
      <c r="G75" s="170" t="str">
        <f ca="1">IF($D75&lt;&gt;"Serviço","",OFFSET(ORÇAMENTO!S$15,ROW(G75)-ROW(G$15),0))</f>
        <v>-</v>
      </c>
      <c r="H75" s="121">
        <f ca="1">IF($D75&lt;&gt;"Serviço",0,IF(ACOMPANHAMENTO="BM",ROUND(OFFSET(ORÇAMENTO!AJ$15,ROW(H75)-ROW(H$15),0),15-13*ORÇAMENTO!$AF$7),SUMPRODUCT(($Q$12:$AA$12&lt;&gt;"")*ROUND($Q75:$AA75,15-13*ORÇAMENTO!$AF$7))))</f>
        <v>4</v>
      </c>
      <c r="I75" s="558" t="s">
        <v>561</v>
      </c>
      <c r="K75" s="171"/>
      <c r="L75" s="172" t="s">
        <v>255</v>
      </c>
      <c r="M75" s="173">
        <f ca="1">IF($D75&lt;&gt;"Serviço","",IF(AUTOEVENTO="manual",$A75,IF(ISERROR(MATCH($A75,$A$15:OFFSET($A75,-1,0),0)),MAX($M$15:OFFSET(M75,-1,0))+1,INDEX($M$15:OFFSET(M75,-1,0),MATCH($A75,$A$15:OFFSET($A75,-1,0),0)))))</f>
        <v>12</v>
      </c>
      <c r="N75" s="174" t="str">
        <f ca="1">IF($D75&lt;&gt;"Serviço","",IF(AUTOEVENTO="Manual",IF($A75=0,"&lt;-- defina o número do agrupador",OFFSET(EVENTOS!$D$14,$A75,0)),OFFSET($F$15,$A75,0)))</f>
        <v>ESQUADRIAS</v>
      </c>
      <c r="O75" s="175"/>
      <c r="Q75" s="175"/>
      <c r="R75" s="176"/>
      <c r="S75" s="176"/>
      <c r="T75" s="176"/>
      <c r="U75" s="176"/>
      <c r="V75" s="176"/>
      <c r="W75" s="176"/>
      <c r="X75" s="176"/>
      <c r="Y75" s="176"/>
      <c r="Z75" s="177"/>
      <c r="AB75" s="541">
        <f ca="1">IF(AND($D75="Serviço",AB$12&lt;&gt;0,$H75&gt;0,OR(AUTOEVENTO&lt;&gt;"manual",$M75&lt;&gt;1)),
IF(Import.TipoArredondamento&lt;&gt;"TransfereGOV",
ROUND(OFFSET($P75,0,AB$13),15-13*ORÇAMENTO!$AF$7)/$H75*OFFSET(ORÇAMENTO!$X$15,ROW(AB75)-ROW(AB$15),0),
ROUND(ROUND(OFFSET($P75,0,AB$13),15-13*ORÇAMENTO!$AF$7)*OFFSET(ORÇAMENTO!$W$15,ROW(AB75)-ROW(AB$15),0),15-13*ORÇAMENTO!$AF$11)),0)</f>
        <v>0</v>
      </c>
      <c r="AC75" s="542">
        <f ca="1">IF(AND($D75="Serviço",AC$12&lt;&gt;0,$H75&gt;0,OR(AUTOEVENTO&lt;&gt;"manual",$M75&lt;&gt;1)),
IF(Import.TipoArredondamento&lt;&gt;"TransfereGOV",
ROUND(OFFSET($P75,0,AC$13),15-13*ORÇAMENTO!$AF$7)/$H75*OFFSET(ORÇAMENTO!$X$15,ROW(AC75)-ROW(AC$15),0),
ROUND(ROUND(OFFSET($P75,0,AC$13),15-13*ORÇAMENTO!$AF$7)*OFFSET(ORÇAMENTO!$W$15,ROW(AC75)-ROW(AC$15),0),15-13*ORÇAMENTO!$AF$11)),0)</f>
        <v>0</v>
      </c>
      <c r="AD75" s="542">
        <f ca="1">IF(AND($D75="Serviço",AD$12&lt;&gt;0,$H75&gt;0,OR(AUTOEVENTO&lt;&gt;"manual",$M75&lt;&gt;1)),
IF(Import.TipoArredondamento&lt;&gt;"TransfereGOV",
ROUND(OFFSET($P75,0,AD$13),15-13*ORÇAMENTO!$AF$7)/$H75*OFFSET(ORÇAMENTO!$X$15,ROW(AD75)-ROW(AD$15),0),
ROUND(ROUND(OFFSET($P75,0,AD$13),15-13*ORÇAMENTO!$AF$7)*OFFSET(ORÇAMENTO!$W$15,ROW(AD75)-ROW(AD$15),0),15-13*ORÇAMENTO!$AF$11)),0)</f>
        <v>0</v>
      </c>
      <c r="AE75" s="542">
        <f ca="1">IF(AND($D75="Serviço",AE$12&lt;&gt;0,$H75&gt;0,OR(AUTOEVENTO&lt;&gt;"manual",$M75&lt;&gt;1)),
IF(Import.TipoArredondamento&lt;&gt;"TransfereGOV",
ROUND(OFFSET($P75,0,AE$13),15-13*ORÇAMENTO!$AF$7)/$H75*OFFSET(ORÇAMENTO!$X$15,ROW(AE75)-ROW(AE$15),0),
ROUND(ROUND(OFFSET($P75,0,AE$13),15-13*ORÇAMENTO!$AF$7)*OFFSET(ORÇAMENTO!$W$15,ROW(AE75)-ROW(AE$15),0),15-13*ORÇAMENTO!$AF$11)),0)</f>
        <v>0</v>
      </c>
      <c r="AF75" s="542">
        <f ca="1">IF(AND($D75="Serviço",AF$12&lt;&gt;0,$H75&gt;0,OR(AUTOEVENTO&lt;&gt;"manual",$M75&lt;&gt;1)),
IF(Import.TipoArredondamento&lt;&gt;"TransfereGOV",
ROUND(OFFSET($P75,0,AF$13),15-13*ORÇAMENTO!$AF$7)/$H75*OFFSET(ORÇAMENTO!$X$15,ROW(AF75)-ROW(AF$15),0),
ROUND(ROUND(OFFSET($P75,0,AF$13),15-13*ORÇAMENTO!$AF$7)*OFFSET(ORÇAMENTO!$W$15,ROW(AF75)-ROW(AF$15),0),15-13*ORÇAMENTO!$AF$11)),0)</f>
        <v>0</v>
      </c>
      <c r="AG75" s="542">
        <f ca="1">IF(AND($D75="Serviço",AG$12&lt;&gt;0,$H75&gt;0,OR(AUTOEVENTO&lt;&gt;"manual",$M75&lt;&gt;1)),
IF(Import.TipoArredondamento&lt;&gt;"TransfereGOV",
ROUND(OFFSET($P75,0,AG$13),15-13*ORÇAMENTO!$AF$7)/$H75*OFFSET(ORÇAMENTO!$X$15,ROW(AG75)-ROW(AG$15),0),
ROUND(ROUND(OFFSET($P75,0,AG$13),15-13*ORÇAMENTO!$AF$7)*OFFSET(ORÇAMENTO!$W$15,ROW(AG75)-ROW(AG$15),0),15-13*ORÇAMENTO!$AF$11)),0)</f>
        <v>0</v>
      </c>
      <c r="AH75" s="542">
        <f ca="1">IF(AND($D75="Serviço",AH$12&lt;&gt;0,$H75&gt;0,OR(AUTOEVENTO&lt;&gt;"manual",$M75&lt;&gt;1)),
IF(Import.TipoArredondamento&lt;&gt;"TransfereGOV",
ROUND(OFFSET($P75,0,AH$13),15-13*ORÇAMENTO!$AF$7)/$H75*OFFSET(ORÇAMENTO!$X$15,ROW(AH75)-ROW(AH$15),0),
ROUND(ROUND(OFFSET($P75,0,AH$13),15-13*ORÇAMENTO!$AF$7)*OFFSET(ORÇAMENTO!$W$15,ROW(AH75)-ROW(AH$15),0),15-13*ORÇAMENTO!$AF$11)),0)</f>
        <v>0</v>
      </c>
      <c r="AI75" s="542">
        <f ca="1">IF(AND($D75="Serviço",AI$12&lt;&gt;0,$H75&gt;0,OR(AUTOEVENTO&lt;&gt;"manual",$M75&lt;&gt;1)),
IF(Import.TipoArredondamento&lt;&gt;"TransfereGOV",
ROUND(OFFSET($P75,0,AI$13),15-13*ORÇAMENTO!$AF$7)/$H75*OFFSET(ORÇAMENTO!$X$15,ROW(AI75)-ROW(AI$15),0),
ROUND(ROUND(OFFSET($P75,0,AI$13),15-13*ORÇAMENTO!$AF$7)*OFFSET(ORÇAMENTO!$W$15,ROW(AI75)-ROW(AI$15),0),15-13*ORÇAMENTO!$AF$11)),0)</f>
        <v>0</v>
      </c>
      <c r="AJ75" s="542">
        <f ca="1">IF(AND($D75="Serviço",AJ$12&lt;&gt;0,$H75&gt;0,OR(AUTOEVENTO&lt;&gt;"manual",$M75&lt;&gt;1)),
IF(Import.TipoArredondamento&lt;&gt;"TransfereGOV",
ROUND(OFFSET($P75,0,AJ$13),15-13*ORÇAMENTO!$AF$7)/$H75*OFFSET(ORÇAMENTO!$X$15,ROW(AJ75)-ROW(AJ$15),0),
ROUND(ROUND(OFFSET($P75,0,AJ$13),15-13*ORÇAMENTO!$AF$7)*OFFSET(ORÇAMENTO!$W$15,ROW(AJ75)-ROW(AJ$15),0),15-13*ORÇAMENTO!$AF$11)),0)</f>
        <v>0</v>
      </c>
      <c r="AK75" s="543">
        <f ca="1">IF(AND($D75="Serviço",AK$12&lt;&gt;0,$H75&gt;0,OR(AUTOEVENTO&lt;&gt;"manual",$M75&lt;&gt;1)),
IF(Import.TipoArredondamento&lt;&gt;"TransfereGOV",
ROUND(OFFSET($P75,0,AK$13),15-13*ORÇAMENTO!$AF$7)/$H75*OFFSET(ORÇAMENTO!$X$15,ROW(AK75)-ROW(AK$15),0),
ROUND(ROUND(OFFSET($P75,0,AK$13),15-13*ORÇAMENTO!$AF$7)*OFFSET(ORÇAMENTO!$W$15,ROW(AK75)-ROW(AK$15),0),15-13*ORÇAMENTO!$AF$11)),0)</f>
        <v>0</v>
      </c>
      <c r="AM75" s="178">
        <f ca="1">IF($D75&lt;&gt;"Serviço",0,IF(AND(AUTOEVENTO="Manual",$M75=1),0,IF(OFFSET(CRONOPLE!$F$14,$M75,AM$13)="",10^12,OFFSET(CRONOPLE!$F$14,$M75,AM$13))))</f>
        <v>1000000000000</v>
      </c>
      <c r="AN75" s="178">
        <f ca="1">IF($D75&lt;&gt;"Serviço",0,IF(AND(AUTOEVENTO="Manual",$M75=1),0,IF(OFFSET(CRONOPLE!$F$14,$M75,AN$13)="",10^12,OFFSET(CRONOPLE!$F$14,$M75,AN$13))))</f>
        <v>1000000000000</v>
      </c>
      <c r="AO75" s="178">
        <f ca="1">IF($D75&lt;&gt;"Serviço",0,IF(AND(AUTOEVENTO="Manual",$M75=1),0,IF(OFFSET(CRONOPLE!$F$14,$M75,AO$13)="",10^12,OFFSET(CRONOPLE!$F$14,$M75,AO$13))))</f>
        <v>1000000000000</v>
      </c>
      <c r="AP75" s="178">
        <f ca="1">IF($D75&lt;&gt;"Serviço",0,IF(AND(AUTOEVENTO="Manual",$M75=1),0,IF(OFFSET(CRONOPLE!$F$14,$M75,AP$13)="",10^12,OFFSET(CRONOPLE!$F$14,$M75,AP$13))))</f>
        <v>1000000000000</v>
      </c>
      <c r="AQ75" s="178">
        <f ca="1">IF($D75&lt;&gt;"Serviço",0,IF(AND(AUTOEVENTO="Manual",$M75=1),0,IF(OFFSET(CRONOPLE!$F$14,$M75,AQ$13)="",10^12,OFFSET(CRONOPLE!$F$14,$M75,AQ$13))))</f>
        <v>1000000000000</v>
      </c>
      <c r="AR75" s="178">
        <f ca="1">IF($D75&lt;&gt;"Serviço",0,IF(AND(AUTOEVENTO="Manual",$M75=1),0,IF(OFFSET(CRONOPLE!$F$14,$M75,AR$13)="",10^12,OFFSET(CRONOPLE!$F$14,$M75,AR$13))))</f>
        <v>1000000000000</v>
      </c>
      <c r="AS75" s="178">
        <f ca="1">IF($D75&lt;&gt;"Serviço",0,IF(AND(AUTOEVENTO="Manual",$M75=1),0,IF(OFFSET(CRONOPLE!$F$14,$M75,AS$13)="",10^12,OFFSET(CRONOPLE!$F$14,$M75,AS$13))))</f>
        <v>1000000000000</v>
      </c>
      <c r="AT75" s="178">
        <f ca="1">IF($D75&lt;&gt;"Serviço",0,IF(AND(AUTOEVENTO="Manual",$M75=1),0,IF(OFFSET(CRONOPLE!$F$14,$M75,AT$13)="",10^12,OFFSET(CRONOPLE!$F$14,$M75,AT$13))))</f>
        <v>1000000000000</v>
      </c>
      <c r="AU75" s="178">
        <f ca="1">IF($D75&lt;&gt;"Serviço",0,IF(AND(AUTOEVENTO="Manual",$M75=1),0,IF(OFFSET(CRONOPLE!$F$14,$M75,AU$13)="",10^12,OFFSET(CRONOPLE!$F$14,$M75,AU$13))))</f>
        <v>1000000000000</v>
      </c>
      <c r="AV75" s="178">
        <f ca="1">IF($D75&lt;&gt;"Serviço",0,IF(AND(AUTOEVENTO="Manual",$M75=1),0,IF(OFFSET(CRONOPLE!$F$14,$M75,AV$13)="",10^12,OFFSET(CRONOPLE!$F$14,$M75,AV$13))))</f>
        <v>1000000000000</v>
      </c>
      <c r="AX75" s="179">
        <f ca="1">IF($D75&lt;&gt;"Serviço",0,IF(OR(AND(AUTOEVENTO="Manual",$M75=1),$M75&gt;(ROW(PLE.lastrow)-ROW(PLE.firstrow))),0,IF(OFFSET(PLE!$G$14,$M75,AX$13)="",10^12,OFFSET(PLE!$G$14,$M75,AX$13))))</f>
        <v>1000000000000</v>
      </c>
      <c r="AY75" s="179">
        <f ca="1">IF($D75&lt;&gt;"Serviço",0,IF(OR(AND(AUTOEVENTO="Manual",$M75=1),$M75&gt;(ROW(PLE.lastrow)-ROW(PLE.firstrow))),0,IF(OFFSET(PLE!$G$14,$M75,AY$13)="",10^12,OFFSET(PLE!$G$14,$M75,AY$13))))</f>
        <v>1000000000000</v>
      </c>
      <c r="AZ75" s="179">
        <f ca="1">IF($D75&lt;&gt;"Serviço",0,IF(OR(AND(AUTOEVENTO="Manual",$M75=1),$M75&gt;(ROW(PLE.lastrow)-ROW(PLE.firstrow))),0,IF(OFFSET(PLE!$G$14,$M75,AZ$13)="",10^12,OFFSET(PLE!$G$14,$M75,AZ$13))))</f>
        <v>1000000000000</v>
      </c>
      <c r="BA75" s="179">
        <f ca="1">IF($D75&lt;&gt;"Serviço",0,IF(OR(AND(AUTOEVENTO="Manual",$M75=1),$M75&gt;(ROW(PLE.lastrow)-ROW(PLE.firstrow))),0,IF(OFFSET(PLE!$G$14,$M75,BA$13)="",10^12,OFFSET(PLE!$G$14,$M75,BA$13))))</f>
        <v>1000000000000</v>
      </c>
      <c r="BB75" s="179">
        <f ca="1">IF($D75&lt;&gt;"Serviço",0,IF(OR(AND(AUTOEVENTO="Manual",$M75=1),$M75&gt;(ROW(PLE.lastrow)-ROW(PLE.firstrow))),0,IF(OFFSET(PLE!$G$14,$M75,BB$13)="",10^12,OFFSET(PLE!$G$14,$M75,BB$13))))</f>
        <v>1000000000000</v>
      </c>
      <c r="BC75" s="179">
        <f ca="1">IF($D75&lt;&gt;"Serviço",0,IF(OR(AND(AUTOEVENTO="Manual",$M75=1),$M75&gt;(ROW(PLE.lastrow)-ROW(PLE.firstrow))),0,IF(OFFSET(PLE!$G$14,$M75,BC$13)="",10^12,OFFSET(PLE!$G$14,$M75,BC$13))))</f>
        <v>1000000000000</v>
      </c>
      <c r="BD75" s="179">
        <f ca="1">IF($D75&lt;&gt;"Serviço",0,IF(OR(AND(AUTOEVENTO="Manual",$M75=1),$M75&gt;(ROW(PLE.lastrow)-ROW(PLE.firstrow))),0,IF(OFFSET(PLE!$G$14,$M75,BD$13)="",10^12,OFFSET(PLE!$G$14,$M75,BD$13))))</f>
        <v>1000000000000</v>
      </c>
      <c r="BE75" s="179">
        <f ca="1">IF($D75&lt;&gt;"Serviço",0,IF(OR(AND(AUTOEVENTO="Manual",$M75=1),$M75&gt;(ROW(PLE.lastrow)-ROW(PLE.firstrow))),0,IF(OFFSET(PLE!$G$14,$M75,BE$13)="",10^12,OFFSET(PLE!$G$14,$M75,BE$13))))</f>
        <v>1000000000000</v>
      </c>
      <c r="BF75" s="179">
        <f ca="1">IF($D75&lt;&gt;"Serviço",0,IF(OR(AND(AUTOEVENTO="Manual",$M75=1),$M75&gt;(ROW(PLE.lastrow)-ROW(PLE.firstrow))),0,IF(OFFSET(PLE!$G$14,$M75,BF$13)="",10^12,OFFSET(PLE!$G$14,$M75,BF$13))))</f>
        <v>1000000000000</v>
      </c>
      <c r="BG75" s="179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51" x14ac:dyDescent="0.2">
      <c r="A76" s="7" t="str">
        <f t="shared" ca="1" si="8"/>
        <v>57</v>
      </c>
      <c r="B76" s="7" t="str">
        <f ca="1">OFFSET(ORÇAMENTO!C$15,ROW(B76)-ROW(B$15),0)</f>
        <v>S</v>
      </c>
      <c r="C76" s="7" t="str">
        <f ca="1">OFFSET(ORÇAMENTO!L$15,ROW(C76)-ROW(C$15),0)</f>
        <v/>
      </c>
      <c r="D76" s="115" t="str">
        <f ca="1">OFFSET(ORÇAMENTO!N$15,ROW(D76)-ROW(D$15),0)</f>
        <v>Serviço</v>
      </c>
      <c r="E76" s="116" t="str">
        <f ca="1">OFFSET(ORÇAMENTO!O$15,ROW(E76)-ROW(E$15),0)</f>
        <v>-</v>
      </c>
      <c r="F76" s="169" t="str">
        <f ca="1">OFFSET(ORÇAMENTO!R$15,ROW(F76)-ROW(F$15),0)</f>
        <v>(abra o arquivo 'Referência 10-2024.xlsm)</v>
      </c>
      <c r="G76" s="170" t="str">
        <f ca="1">IF($D76&lt;&gt;"Serviço","",OFFSET(ORÇAMENTO!S$15,ROW(G76)-ROW(G$15),0))</f>
        <v>-</v>
      </c>
      <c r="H76" s="121">
        <f ca="1">IF($D76&lt;&gt;"Serviço",0,IF(ACOMPANHAMENTO="BM",ROUND(OFFSET(ORÇAMENTO!AJ$15,ROW(H76)-ROW(H$15),0),15-13*ORÇAMENTO!$AF$7),SUMPRODUCT(($Q$12:$AA$12&lt;&gt;"")*ROUND($Q76:$AA76,15-13*ORÇAMENTO!$AF$7))))</f>
        <v>3.49</v>
      </c>
      <c r="I76" s="558" t="s">
        <v>561</v>
      </c>
      <c r="K76" s="171"/>
      <c r="L76" s="172" t="s">
        <v>255</v>
      </c>
      <c r="M76" s="173">
        <f ca="1">IF($D76&lt;&gt;"Serviço","",IF(AUTOEVENTO="manual",$A76,IF(ISERROR(MATCH($A76,$A$15:OFFSET($A76,-1,0),0)),MAX($M$15:OFFSET(M76,-1,0))+1,INDEX($M$15:OFFSET(M76,-1,0),MATCH($A76,$A$15:OFFSET($A76,-1,0),0)))))</f>
        <v>12</v>
      </c>
      <c r="N76" s="174" t="str">
        <f ca="1">IF($D76&lt;&gt;"Serviço","",IF(AUTOEVENTO="Manual",IF($A76=0,"&lt;-- defina o número do agrupador",OFFSET(EVENTOS!$D$14,$A76,0)),OFFSET($F$15,$A76,0)))</f>
        <v>ESQUADRIAS</v>
      </c>
      <c r="O76" s="175"/>
      <c r="Q76" s="175"/>
      <c r="R76" s="176"/>
      <c r="S76" s="176"/>
      <c r="T76" s="176"/>
      <c r="U76" s="176"/>
      <c r="V76" s="176"/>
      <c r="W76" s="176"/>
      <c r="X76" s="176"/>
      <c r="Y76" s="176"/>
      <c r="Z76" s="177"/>
      <c r="AB76" s="541">
        <f ca="1">IF(AND($D76="Serviço",AB$12&lt;&gt;0,$H76&gt;0,OR(AUTOEVENTO&lt;&gt;"manual",$M76&lt;&gt;1)),
IF(Import.TipoArredondamento&lt;&gt;"TransfereGOV",
ROUND(OFFSET($P76,0,AB$13),15-13*ORÇAMENTO!$AF$7)/$H76*OFFSET(ORÇAMENTO!$X$15,ROW(AB76)-ROW(AB$15),0),
ROUND(ROUND(OFFSET($P76,0,AB$13),15-13*ORÇAMENTO!$AF$7)*OFFSET(ORÇAMENTO!$W$15,ROW(AB76)-ROW(AB$15),0),15-13*ORÇAMENTO!$AF$11)),0)</f>
        <v>0</v>
      </c>
      <c r="AC76" s="542">
        <f ca="1">IF(AND($D76="Serviço",AC$12&lt;&gt;0,$H76&gt;0,OR(AUTOEVENTO&lt;&gt;"manual",$M76&lt;&gt;1)),
IF(Import.TipoArredondamento&lt;&gt;"TransfereGOV",
ROUND(OFFSET($P76,0,AC$13),15-13*ORÇAMENTO!$AF$7)/$H76*OFFSET(ORÇAMENTO!$X$15,ROW(AC76)-ROW(AC$15),0),
ROUND(ROUND(OFFSET($P76,0,AC$13),15-13*ORÇAMENTO!$AF$7)*OFFSET(ORÇAMENTO!$W$15,ROW(AC76)-ROW(AC$15),0),15-13*ORÇAMENTO!$AF$11)),0)</f>
        <v>0</v>
      </c>
      <c r="AD76" s="542">
        <f ca="1">IF(AND($D76="Serviço",AD$12&lt;&gt;0,$H76&gt;0,OR(AUTOEVENTO&lt;&gt;"manual",$M76&lt;&gt;1)),
IF(Import.TipoArredondamento&lt;&gt;"TransfereGOV",
ROUND(OFFSET($P76,0,AD$13),15-13*ORÇAMENTO!$AF$7)/$H76*OFFSET(ORÇAMENTO!$X$15,ROW(AD76)-ROW(AD$15),0),
ROUND(ROUND(OFFSET($P76,0,AD$13),15-13*ORÇAMENTO!$AF$7)*OFFSET(ORÇAMENTO!$W$15,ROW(AD76)-ROW(AD$15),0),15-13*ORÇAMENTO!$AF$11)),0)</f>
        <v>0</v>
      </c>
      <c r="AE76" s="542">
        <f ca="1">IF(AND($D76="Serviço",AE$12&lt;&gt;0,$H76&gt;0,OR(AUTOEVENTO&lt;&gt;"manual",$M76&lt;&gt;1)),
IF(Import.TipoArredondamento&lt;&gt;"TransfereGOV",
ROUND(OFFSET($P76,0,AE$13),15-13*ORÇAMENTO!$AF$7)/$H76*OFFSET(ORÇAMENTO!$X$15,ROW(AE76)-ROW(AE$15),0),
ROUND(ROUND(OFFSET($P76,0,AE$13),15-13*ORÇAMENTO!$AF$7)*OFFSET(ORÇAMENTO!$W$15,ROW(AE76)-ROW(AE$15),0),15-13*ORÇAMENTO!$AF$11)),0)</f>
        <v>0</v>
      </c>
      <c r="AF76" s="542">
        <f ca="1">IF(AND($D76="Serviço",AF$12&lt;&gt;0,$H76&gt;0,OR(AUTOEVENTO&lt;&gt;"manual",$M76&lt;&gt;1)),
IF(Import.TipoArredondamento&lt;&gt;"TransfereGOV",
ROUND(OFFSET($P76,0,AF$13),15-13*ORÇAMENTO!$AF$7)/$H76*OFFSET(ORÇAMENTO!$X$15,ROW(AF76)-ROW(AF$15),0),
ROUND(ROUND(OFFSET($P76,0,AF$13),15-13*ORÇAMENTO!$AF$7)*OFFSET(ORÇAMENTO!$W$15,ROW(AF76)-ROW(AF$15),0),15-13*ORÇAMENTO!$AF$11)),0)</f>
        <v>0</v>
      </c>
      <c r="AG76" s="542">
        <f ca="1">IF(AND($D76="Serviço",AG$12&lt;&gt;0,$H76&gt;0,OR(AUTOEVENTO&lt;&gt;"manual",$M76&lt;&gt;1)),
IF(Import.TipoArredondamento&lt;&gt;"TransfereGOV",
ROUND(OFFSET($P76,0,AG$13),15-13*ORÇAMENTO!$AF$7)/$H76*OFFSET(ORÇAMENTO!$X$15,ROW(AG76)-ROW(AG$15),0),
ROUND(ROUND(OFFSET($P76,0,AG$13),15-13*ORÇAMENTO!$AF$7)*OFFSET(ORÇAMENTO!$W$15,ROW(AG76)-ROW(AG$15),0),15-13*ORÇAMENTO!$AF$11)),0)</f>
        <v>0</v>
      </c>
      <c r="AH76" s="542">
        <f ca="1">IF(AND($D76="Serviço",AH$12&lt;&gt;0,$H76&gt;0,OR(AUTOEVENTO&lt;&gt;"manual",$M76&lt;&gt;1)),
IF(Import.TipoArredondamento&lt;&gt;"TransfereGOV",
ROUND(OFFSET($P76,0,AH$13),15-13*ORÇAMENTO!$AF$7)/$H76*OFFSET(ORÇAMENTO!$X$15,ROW(AH76)-ROW(AH$15),0),
ROUND(ROUND(OFFSET($P76,0,AH$13),15-13*ORÇAMENTO!$AF$7)*OFFSET(ORÇAMENTO!$W$15,ROW(AH76)-ROW(AH$15),0),15-13*ORÇAMENTO!$AF$11)),0)</f>
        <v>0</v>
      </c>
      <c r="AI76" s="542">
        <f ca="1">IF(AND($D76="Serviço",AI$12&lt;&gt;0,$H76&gt;0,OR(AUTOEVENTO&lt;&gt;"manual",$M76&lt;&gt;1)),
IF(Import.TipoArredondamento&lt;&gt;"TransfereGOV",
ROUND(OFFSET($P76,0,AI$13),15-13*ORÇAMENTO!$AF$7)/$H76*OFFSET(ORÇAMENTO!$X$15,ROW(AI76)-ROW(AI$15),0),
ROUND(ROUND(OFFSET($P76,0,AI$13),15-13*ORÇAMENTO!$AF$7)*OFFSET(ORÇAMENTO!$W$15,ROW(AI76)-ROW(AI$15),0),15-13*ORÇAMENTO!$AF$11)),0)</f>
        <v>0</v>
      </c>
      <c r="AJ76" s="542">
        <f ca="1">IF(AND($D76="Serviço",AJ$12&lt;&gt;0,$H76&gt;0,OR(AUTOEVENTO&lt;&gt;"manual",$M76&lt;&gt;1)),
IF(Import.TipoArredondamento&lt;&gt;"TransfereGOV",
ROUND(OFFSET($P76,0,AJ$13),15-13*ORÇAMENTO!$AF$7)/$H76*OFFSET(ORÇAMENTO!$X$15,ROW(AJ76)-ROW(AJ$15),0),
ROUND(ROUND(OFFSET($P76,0,AJ$13),15-13*ORÇAMENTO!$AF$7)*OFFSET(ORÇAMENTO!$W$15,ROW(AJ76)-ROW(AJ$15),0),15-13*ORÇAMENTO!$AF$11)),0)</f>
        <v>0</v>
      </c>
      <c r="AK76" s="543">
        <f ca="1">IF(AND($D76="Serviço",AK$12&lt;&gt;0,$H76&gt;0,OR(AUTOEVENTO&lt;&gt;"manual",$M76&lt;&gt;1)),
IF(Import.TipoArredondamento&lt;&gt;"TransfereGOV",
ROUND(OFFSET($P76,0,AK$13),15-13*ORÇAMENTO!$AF$7)/$H76*OFFSET(ORÇAMENTO!$X$15,ROW(AK76)-ROW(AK$15),0),
ROUND(ROUND(OFFSET($P76,0,AK$13),15-13*ORÇAMENTO!$AF$7)*OFFSET(ORÇAMENTO!$W$15,ROW(AK76)-ROW(AK$15),0),15-13*ORÇAMENTO!$AF$11)),0)</f>
        <v>0</v>
      </c>
      <c r="AM76" s="178">
        <f ca="1">IF($D76&lt;&gt;"Serviço",0,IF(AND(AUTOEVENTO="Manual",$M76=1),0,IF(OFFSET(CRONOPLE!$F$14,$M76,AM$13)="",10^12,OFFSET(CRONOPLE!$F$14,$M76,AM$13))))</f>
        <v>1000000000000</v>
      </c>
      <c r="AN76" s="178">
        <f ca="1">IF($D76&lt;&gt;"Serviço",0,IF(AND(AUTOEVENTO="Manual",$M76=1),0,IF(OFFSET(CRONOPLE!$F$14,$M76,AN$13)="",10^12,OFFSET(CRONOPLE!$F$14,$M76,AN$13))))</f>
        <v>1000000000000</v>
      </c>
      <c r="AO76" s="178">
        <f ca="1">IF($D76&lt;&gt;"Serviço",0,IF(AND(AUTOEVENTO="Manual",$M76=1),0,IF(OFFSET(CRONOPLE!$F$14,$M76,AO$13)="",10^12,OFFSET(CRONOPLE!$F$14,$M76,AO$13))))</f>
        <v>1000000000000</v>
      </c>
      <c r="AP76" s="178">
        <f ca="1">IF($D76&lt;&gt;"Serviço",0,IF(AND(AUTOEVENTO="Manual",$M76=1),0,IF(OFFSET(CRONOPLE!$F$14,$M76,AP$13)="",10^12,OFFSET(CRONOPLE!$F$14,$M76,AP$13))))</f>
        <v>1000000000000</v>
      </c>
      <c r="AQ76" s="178">
        <f ca="1">IF($D76&lt;&gt;"Serviço",0,IF(AND(AUTOEVENTO="Manual",$M76=1),0,IF(OFFSET(CRONOPLE!$F$14,$M76,AQ$13)="",10^12,OFFSET(CRONOPLE!$F$14,$M76,AQ$13))))</f>
        <v>1000000000000</v>
      </c>
      <c r="AR76" s="178">
        <f ca="1">IF($D76&lt;&gt;"Serviço",0,IF(AND(AUTOEVENTO="Manual",$M76=1),0,IF(OFFSET(CRONOPLE!$F$14,$M76,AR$13)="",10^12,OFFSET(CRONOPLE!$F$14,$M76,AR$13))))</f>
        <v>1000000000000</v>
      </c>
      <c r="AS76" s="178">
        <f ca="1">IF($D76&lt;&gt;"Serviço",0,IF(AND(AUTOEVENTO="Manual",$M76=1),0,IF(OFFSET(CRONOPLE!$F$14,$M76,AS$13)="",10^12,OFFSET(CRONOPLE!$F$14,$M76,AS$13))))</f>
        <v>1000000000000</v>
      </c>
      <c r="AT76" s="178">
        <f ca="1">IF($D76&lt;&gt;"Serviço",0,IF(AND(AUTOEVENTO="Manual",$M76=1),0,IF(OFFSET(CRONOPLE!$F$14,$M76,AT$13)="",10^12,OFFSET(CRONOPLE!$F$14,$M76,AT$13))))</f>
        <v>1000000000000</v>
      </c>
      <c r="AU76" s="178">
        <f ca="1">IF($D76&lt;&gt;"Serviço",0,IF(AND(AUTOEVENTO="Manual",$M76=1),0,IF(OFFSET(CRONOPLE!$F$14,$M76,AU$13)="",10^12,OFFSET(CRONOPLE!$F$14,$M76,AU$13))))</f>
        <v>1000000000000</v>
      </c>
      <c r="AV76" s="178">
        <f ca="1">IF($D76&lt;&gt;"Serviço",0,IF(AND(AUTOEVENTO="Manual",$M76=1),0,IF(OFFSET(CRONOPLE!$F$14,$M76,AV$13)="",10^12,OFFSET(CRONOPLE!$F$14,$M76,AV$13))))</f>
        <v>1000000000000</v>
      </c>
      <c r="AX76" s="179">
        <f ca="1">IF($D76&lt;&gt;"Serviço",0,IF(OR(AND(AUTOEVENTO="Manual",$M76=1),$M76&gt;(ROW(PLE.lastrow)-ROW(PLE.firstrow))),0,IF(OFFSET(PLE!$G$14,$M76,AX$13)="",10^12,OFFSET(PLE!$G$14,$M76,AX$13))))</f>
        <v>1000000000000</v>
      </c>
      <c r="AY76" s="179">
        <f ca="1">IF($D76&lt;&gt;"Serviço",0,IF(OR(AND(AUTOEVENTO="Manual",$M76=1),$M76&gt;(ROW(PLE.lastrow)-ROW(PLE.firstrow))),0,IF(OFFSET(PLE!$G$14,$M76,AY$13)="",10^12,OFFSET(PLE!$G$14,$M76,AY$13))))</f>
        <v>1000000000000</v>
      </c>
      <c r="AZ76" s="179">
        <f ca="1">IF($D76&lt;&gt;"Serviço",0,IF(OR(AND(AUTOEVENTO="Manual",$M76=1),$M76&gt;(ROW(PLE.lastrow)-ROW(PLE.firstrow))),0,IF(OFFSET(PLE!$G$14,$M76,AZ$13)="",10^12,OFFSET(PLE!$G$14,$M76,AZ$13))))</f>
        <v>1000000000000</v>
      </c>
      <c r="BA76" s="179">
        <f ca="1">IF($D76&lt;&gt;"Serviço",0,IF(OR(AND(AUTOEVENTO="Manual",$M76=1),$M76&gt;(ROW(PLE.lastrow)-ROW(PLE.firstrow))),0,IF(OFFSET(PLE!$G$14,$M76,BA$13)="",10^12,OFFSET(PLE!$G$14,$M76,BA$13))))</f>
        <v>1000000000000</v>
      </c>
      <c r="BB76" s="179">
        <f ca="1">IF($D76&lt;&gt;"Serviço",0,IF(OR(AND(AUTOEVENTO="Manual",$M76=1),$M76&gt;(ROW(PLE.lastrow)-ROW(PLE.firstrow))),0,IF(OFFSET(PLE!$G$14,$M76,BB$13)="",10^12,OFFSET(PLE!$G$14,$M76,BB$13))))</f>
        <v>1000000000000</v>
      </c>
      <c r="BC76" s="179">
        <f ca="1">IF($D76&lt;&gt;"Serviço",0,IF(OR(AND(AUTOEVENTO="Manual",$M76=1),$M76&gt;(ROW(PLE.lastrow)-ROW(PLE.firstrow))),0,IF(OFFSET(PLE!$G$14,$M76,BC$13)="",10^12,OFFSET(PLE!$G$14,$M76,BC$13))))</f>
        <v>1000000000000</v>
      </c>
      <c r="BD76" s="179">
        <f ca="1">IF($D76&lt;&gt;"Serviço",0,IF(OR(AND(AUTOEVENTO="Manual",$M76=1),$M76&gt;(ROW(PLE.lastrow)-ROW(PLE.firstrow))),0,IF(OFFSET(PLE!$G$14,$M76,BD$13)="",10^12,OFFSET(PLE!$G$14,$M76,BD$13))))</f>
        <v>1000000000000</v>
      </c>
      <c r="BE76" s="179">
        <f ca="1">IF($D76&lt;&gt;"Serviço",0,IF(OR(AND(AUTOEVENTO="Manual",$M76=1),$M76&gt;(ROW(PLE.lastrow)-ROW(PLE.firstrow))),0,IF(OFFSET(PLE!$G$14,$M76,BE$13)="",10^12,OFFSET(PLE!$G$14,$M76,BE$13))))</f>
        <v>1000000000000</v>
      </c>
      <c r="BF76" s="179">
        <f ca="1">IF($D76&lt;&gt;"Serviço",0,IF(OR(AND(AUTOEVENTO="Manual",$M76=1),$M76&gt;(ROW(PLE.lastrow)-ROW(PLE.firstrow))),0,IF(OFFSET(PLE!$G$14,$M76,BF$13)="",10^12,OFFSET(PLE!$G$14,$M76,BF$13))))</f>
        <v>1000000000000</v>
      </c>
      <c r="BG76" s="179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38.25" x14ac:dyDescent="0.2">
      <c r="A77" s="7" t="str">
        <f t="shared" ca="1" si="8"/>
        <v>57</v>
      </c>
      <c r="B77" s="7" t="str">
        <f ca="1">OFFSET(ORÇAMENTO!C$15,ROW(B77)-ROW(B$15),0)</f>
        <v>S</v>
      </c>
      <c r="C77" s="7" t="str">
        <f ca="1">OFFSET(ORÇAMENTO!L$15,ROW(C77)-ROW(C$15),0)</f>
        <v/>
      </c>
      <c r="D77" s="115" t="str">
        <f ca="1">OFFSET(ORÇAMENTO!N$15,ROW(D77)-ROW(D$15),0)</f>
        <v>Serviço</v>
      </c>
      <c r="E77" s="116" t="str">
        <f ca="1">OFFSET(ORÇAMENTO!O$15,ROW(E77)-ROW(E$15),0)</f>
        <v>-</v>
      </c>
      <c r="F77" s="169" t="str">
        <f ca="1">OFFSET(ORÇAMENTO!R$15,ROW(F77)-ROW(F$15),0)</f>
        <v>(abra o arquivo 'Referência 10-2024.xlsm)</v>
      </c>
      <c r="G77" s="170" t="str">
        <f ca="1">IF($D77&lt;&gt;"Serviço","",OFFSET(ORÇAMENTO!S$15,ROW(G77)-ROW(G$15),0))</f>
        <v>-</v>
      </c>
      <c r="H77" s="121">
        <f ca="1">IF($D77&lt;&gt;"Serviço",0,IF(ACOMPANHAMENTO="BM",ROUND(OFFSET(ORÇAMENTO!AJ$15,ROW(H77)-ROW(H$15),0),15-13*ORÇAMENTO!$AF$7),SUMPRODUCT(($Q$12:$AA$12&lt;&gt;"")*ROUND($Q77:$AA77,15-13*ORÇAMENTO!$AF$7))))</f>
        <v>0.36</v>
      </c>
      <c r="I77" s="558" t="s">
        <v>561</v>
      </c>
      <c r="K77" s="171"/>
      <c r="L77" s="172" t="s">
        <v>255</v>
      </c>
      <c r="M77" s="173">
        <f ca="1">IF($D77&lt;&gt;"Serviço","",IF(AUTOEVENTO="manual",$A77,IF(ISERROR(MATCH($A77,$A$15:OFFSET($A77,-1,0),0)),MAX($M$15:OFFSET(M77,-1,0))+1,INDEX($M$15:OFFSET(M77,-1,0),MATCH($A77,$A$15:OFFSET($A77,-1,0),0)))))</f>
        <v>12</v>
      </c>
      <c r="N77" s="174" t="str">
        <f ca="1">IF($D77&lt;&gt;"Serviço","",IF(AUTOEVENTO="Manual",IF($A77=0,"&lt;-- defina o número do agrupador",OFFSET(EVENTOS!$D$14,$A77,0)),OFFSET($F$15,$A77,0)))</f>
        <v>ESQUADRIAS</v>
      </c>
      <c r="O77" s="175"/>
      <c r="Q77" s="175"/>
      <c r="R77" s="176"/>
      <c r="S77" s="176"/>
      <c r="T77" s="176"/>
      <c r="U77" s="176"/>
      <c r="V77" s="176"/>
      <c r="W77" s="176"/>
      <c r="X77" s="176"/>
      <c r="Y77" s="176"/>
      <c r="Z77" s="177"/>
      <c r="AB77" s="541">
        <f ca="1">IF(AND($D77="Serviço",AB$12&lt;&gt;0,$H77&gt;0,OR(AUTOEVENTO&lt;&gt;"manual",$M77&lt;&gt;1)),
IF(Import.TipoArredondamento&lt;&gt;"TransfereGOV",
ROUND(OFFSET($P77,0,AB$13),15-13*ORÇAMENTO!$AF$7)/$H77*OFFSET(ORÇAMENTO!$X$15,ROW(AB77)-ROW(AB$15),0),
ROUND(ROUND(OFFSET($P77,0,AB$13),15-13*ORÇAMENTO!$AF$7)*OFFSET(ORÇAMENTO!$W$15,ROW(AB77)-ROW(AB$15),0),15-13*ORÇAMENTO!$AF$11)),0)</f>
        <v>0</v>
      </c>
      <c r="AC77" s="542">
        <f ca="1">IF(AND($D77="Serviço",AC$12&lt;&gt;0,$H77&gt;0,OR(AUTOEVENTO&lt;&gt;"manual",$M77&lt;&gt;1)),
IF(Import.TipoArredondamento&lt;&gt;"TransfereGOV",
ROUND(OFFSET($P77,0,AC$13),15-13*ORÇAMENTO!$AF$7)/$H77*OFFSET(ORÇAMENTO!$X$15,ROW(AC77)-ROW(AC$15),0),
ROUND(ROUND(OFFSET($P77,0,AC$13),15-13*ORÇAMENTO!$AF$7)*OFFSET(ORÇAMENTO!$W$15,ROW(AC77)-ROW(AC$15),0),15-13*ORÇAMENTO!$AF$11)),0)</f>
        <v>0</v>
      </c>
      <c r="AD77" s="542">
        <f ca="1">IF(AND($D77="Serviço",AD$12&lt;&gt;0,$H77&gt;0,OR(AUTOEVENTO&lt;&gt;"manual",$M77&lt;&gt;1)),
IF(Import.TipoArredondamento&lt;&gt;"TransfereGOV",
ROUND(OFFSET($P77,0,AD$13),15-13*ORÇAMENTO!$AF$7)/$H77*OFFSET(ORÇAMENTO!$X$15,ROW(AD77)-ROW(AD$15),0),
ROUND(ROUND(OFFSET($P77,0,AD$13),15-13*ORÇAMENTO!$AF$7)*OFFSET(ORÇAMENTO!$W$15,ROW(AD77)-ROW(AD$15),0),15-13*ORÇAMENTO!$AF$11)),0)</f>
        <v>0</v>
      </c>
      <c r="AE77" s="542">
        <f ca="1">IF(AND($D77="Serviço",AE$12&lt;&gt;0,$H77&gt;0,OR(AUTOEVENTO&lt;&gt;"manual",$M77&lt;&gt;1)),
IF(Import.TipoArredondamento&lt;&gt;"TransfereGOV",
ROUND(OFFSET($P77,0,AE$13),15-13*ORÇAMENTO!$AF$7)/$H77*OFFSET(ORÇAMENTO!$X$15,ROW(AE77)-ROW(AE$15),0),
ROUND(ROUND(OFFSET($P77,0,AE$13),15-13*ORÇAMENTO!$AF$7)*OFFSET(ORÇAMENTO!$W$15,ROW(AE77)-ROW(AE$15),0),15-13*ORÇAMENTO!$AF$11)),0)</f>
        <v>0</v>
      </c>
      <c r="AF77" s="542">
        <f ca="1">IF(AND($D77="Serviço",AF$12&lt;&gt;0,$H77&gt;0,OR(AUTOEVENTO&lt;&gt;"manual",$M77&lt;&gt;1)),
IF(Import.TipoArredondamento&lt;&gt;"TransfereGOV",
ROUND(OFFSET($P77,0,AF$13),15-13*ORÇAMENTO!$AF$7)/$H77*OFFSET(ORÇAMENTO!$X$15,ROW(AF77)-ROW(AF$15),0),
ROUND(ROUND(OFFSET($P77,0,AF$13),15-13*ORÇAMENTO!$AF$7)*OFFSET(ORÇAMENTO!$W$15,ROW(AF77)-ROW(AF$15),0),15-13*ORÇAMENTO!$AF$11)),0)</f>
        <v>0</v>
      </c>
      <c r="AG77" s="542">
        <f ca="1">IF(AND($D77="Serviço",AG$12&lt;&gt;0,$H77&gt;0,OR(AUTOEVENTO&lt;&gt;"manual",$M77&lt;&gt;1)),
IF(Import.TipoArredondamento&lt;&gt;"TransfereGOV",
ROUND(OFFSET($P77,0,AG$13),15-13*ORÇAMENTO!$AF$7)/$H77*OFFSET(ORÇAMENTO!$X$15,ROW(AG77)-ROW(AG$15),0),
ROUND(ROUND(OFFSET($P77,0,AG$13),15-13*ORÇAMENTO!$AF$7)*OFFSET(ORÇAMENTO!$W$15,ROW(AG77)-ROW(AG$15),0),15-13*ORÇAMENTO!$AF$11)),0)</f>
        <v>0</v>
      </c>
      <c r="AH77" s="542">
        <f ca="1">IF(AND($D77="Serviço",AH$12&lt;&gt;0,$H77&gt;0,OR(AUTOEVENTO&lt;&gt;"manual",$M77&lt;&gt;1)),
IF(Import.TipoArredondamento&lt;&gt;"TransfereGOV",
ROUND(OFFSET($P77,0,AH$13),15-13*ORÇAMENTO!$AF$7)/$H77*OFFSET(ORÇAMENTO!$X$15,ROW(AH77)-ROW(AH$15),0),
ROUND(ROUND(OFFSET($P77,0,AH$13),15-13*ORÇAMENTO!$AF$7)*OFFSET(ORÇAMENTO!$W$15,ROW(AH77)-ROW(AH$15),0),15-13*ORÇAMENTO!$AF$11)),0)</f>
        <v>0</v>
      </c>
      <c r="AI77" s="542">
        <f ca="1">IF(AND($D77="Serviço",AI$12&lt;&gt;0,$H77&gt;0,OR(AUTOEVENTO&lt;&gt;"manual",$M77&lt;&gt;1)),
IF(Import.TipoArredondamento&lt;&gt;"TransfereGOV",
ROUND(OFFSET($P77,0,AI$13),15-13*ORÇAMENTO!$AF$7)/$H77*OFFSET(ORÇAMENTO!$X$15,ROW(AI77)-ROW(AI$15),0),
ROUND(ROUND(OFFSET($P77,0,AI$13),15-13*ORÇAMENTO!$AF$7)*OFFSET(ORÇAMENTO!$W$15,ROW(AI77)-ROW(AI$15),0),15-13*ORÇAMENTO!$AF$11)),0)</f>
        <v>0</v>
      </c>
      <c r="AJ77" s="542">
        <f ca="1">IF(AND($D77="Serviço",AJ$12&lt;&gt;0,$H77&gt;0,OR(AUTOEVENTO&lt;&gt;"manual",$M77&lt;&gt;1)),
IF(Import.TipoArredondamento&lt;&gt;"TransfereGOV",
ROUND(OFFSET($P77,0,AJ$13),15-13*ORÇAMENTO!$AF$7)/$H77*OFFSET(ORÇAMENTO!$X$15,ROW(AJ77)-ROW(AJ$15),0),
ROUND(ROUND(OFFSET($P77,0,AJ$13),15-13*ORÇAMENTO!$AF$7)*OFFSET(ORÇAMENTO!$W$15,ROW(AJ77)-ROW(AJ$15),0),15-13*ORÇAMENTO!$AF$11)),0)</f>
        <v>0</v>
      </c>
      <c r="AK77" s="543">
        <f ca="1">IF(AND($D77="Serviço",AK$12&lt;&gt;0,$H77&gt;0,OR(AUTOEVENTO&lt;&gt;"manual",$M77&lt;&gt;1)),
IF(Import.TipoArredondamento&lt;&gt;"TransfereGOV",
ROUND(OFFSET($P77,0,AK$13),15-13*ORÇAMENTO!$AF$7)/$H77*OFFSET(ORÇAMENTO!$X$15,ROW(AK77)-ROW(AK$15),0),
ROUND(ROUND(OFFSET($P77,0,AK$13),15-13*ORÇAMENTO!$AF$7)*OFFSET(ORÇAMENTO!$W$15,ROW(AK77)-ROW(AK$15),0),15-13*ORÇAMENTO!$AF$11)),0)</f>
        <v>0</v>
      </c>
      <c r="AM77" s="178">
        <f ca="1">IF($D77&lt;&gt;"Serviço",0,IF(AND(AUTOEVENTO="Manual",$M77=1),0,IF(OFFSET(CRONOPLE!$F$14,$M77,AM$13)="",10^12,OFFSET(CRONOPLE!$F$14,$M77,AM$13))))</f>
        <v>1000000000000</v>
      </c>
      <c r="AN77" s="178">
        <f ca="1">IF($D77&lt;&gt;"Serviço",0,IF(AND(AUTOEVENTO="Manual",$M77=1),0,IF(OFFSET(CRONOPLE!$F$14,$M77,AN$13)="",10^12,OFFSET(CRONOPLE!$F$14,$M77,AN$13))))</f>
        <v>1000000000000</v>
      </c>
      <c r="AO77" s="178">
        <f ca="1">IF($D77&lt;&gt;"Serviço",0,IF(AND(AUTOEVENTO="Manual",$M77=1),0,IF(OFFSET(CRONOPLE!$F$14,$M77,AO$13)="",10^12,OFFSET(CRONOPLE!$F$14,$M77,AO$13))))</f>
        <v>1000000000000</v>
      </c>
      <c r="AP77" s="178">
        <f ca="1">IF($D77&lt;&gt;"Serviço",0,IF(AND(AUTOEVENTO="Manual",$M77=1),0,IF(OFFSET(CRONOPLE!$F$14,$M77,AP$13)="",10^12,OFFSET(CRONOPLE!$F$14,$M77,AP$13))))</f>
        <v>1000000000000</v>
      </c>
      <c r="AQ77" s="178">
        <f ca="1">IF($D77&lt;&gt;"Serviço",0,IF(AND(AUTOEVENTO="Manual",$M77=1),0,IF(OFFSET(CRONOPLE!$F$14,$M77,AQ$13)="",10^12,OFFSET(CRONOPLE!$F$14,$M77,AQ$13))))</f>
        <v>1000000000000</v>
      </c>
      <c r="AR77" s="178">
        <f ca="1">IF($D77&lt;&gt;"Serviço",0,IF(AND(AUTOEVENTO="Manual",$M77=1),0,IF(OFFSET(CRONOPLE!$F$14,$M77,AR$13)="",10^12,OFFSET(CRONOPLE!$F$14,$M77,AR$13))))</f>
        <v>1000000000000</v>
      </c>
      <c r="AS77" s="178">
        <f ca="1">IF($D77&lt;&gt;"Serviço",0,IF(AND(AUTOEVENTO="Manual",$M77=1),0,IF(OFFSET(CRONOPLE!$F$14,$M77,AS$13)="",10^12,OFFSET(CRONOPLE!$F$14,$M77,AS$13))))</f>
        <v>1000000000000</v>
      </c>
      <c r="AT77" s="178">
        <f ca="1">IF($D77&lt;&gt;"Serviço",0,IF(AND(AUTOEVENTO="Manual",$M77=1),0,IF(OFFSET(CRONOPLE!$F$14,$M77,AT$13)="",10^12,OFFSET(CRONOPLE!$F$14,$M77,AT$13))))</f>
        <v>1000000000000</v>
      </c>
      <c r="AU77" s="178">
        <f ca="1">IF($D77&lt;&gt;"Serviço",0,IF(AND(AUTOEVENTO="Manual",$M77=1),0,IF(OFFSET(CRONOPLE!$F$14,$M77,AU$13)="",10^12,OFFSET(CRONOPLE!$F$14,$M77,AU$13))))</f>
        <v>1000000000000</v>
      </c>
      <c r="AV77" s="178">
        <f ca="1">IF($D77&lt;&gt;"Serviço",0,IF(AND(AUTOEVENTO="Manual",$M77=1),0,IF(OFFSET(CRONOPLE!$F$14,$M77,AV$13)="",10^12,OFFSET(CRONOPLE!$F$14,$M77,AV$13))))</f>
        <v>1000000000000</v>
      </c>
      <c r="AX77" s="179">
        <f ca="1">IF($D77&lt;&gt;"Serviço",0,IF(OR(AND(AUTOEVENTO="Manual",$M77=1),$M77&gt;(ROW(PLE.lastrow)-ROW(PLE.firstrow))),0,IF(OFFSET(PLE!$G$14,$M77,AX$13)="",10^12,OFFSET(PLE!$G$14,$M77,AX$13))))</f>
        <v>1000000000000</v>
      </c>
      <c r="AY77" s="179">
        <f ca="1">IF($D77&lt;&gt;"Serviço",0,IF(OR(AND(AUTOEVENTO="Manual",$M77=1),$M77&gt;(ROW(PLE.lastrow)-ROW(PLE.firstrow))),0,IF(OFFSET(PLE!$G$14,$M77,AY$13)="",10^12,OFFSET(PLE!$G$14,$M77,AY$13))))</f>
        <v>1000000000000</v>
      </c>
      <c r="AZ77" s="179">
        <f ca="1">IF($D77&lt;&gt;"Serviço",0,IF(OR(AND(AUTOEVENTO="Manual",$M77=1),$M77&gt;(ROW(PLE.lastrow)-ROW(PLE.firstrow))),0,IF(OFFSET(PLE!$G$14,$M77,AZ$13)="",10^12,OFFSET(PLE!$G$14,$M77,AZ$13))))</f>
        <v>1000000000000</v>
      </c>
      <c r="BA77" s="179">
        <f ca="1">IF($D77&lt;&gt;"Serviço",0,IF(OR(AND(AUTOEVENTO="Manual",$M77=1),$M77&gt;(ROW(PLE.lastrow)-ROW(PLE.firstrow))),0,IF(OFFSET(PLE!$G$14,$M77,BA$13)="",10^12,OFFSET(PLE!$G$14,$M77,BA$13))))</f>
        <v>1000000000000</v>
      </c>
      <c r="BB77" s="179">
        <f ca="1">IF($D77&lt;&gt;"Serviço",0,IF(OR(AND(AUTOEVENTO="Manual",$M77=1),$M77&gt;(ROW(PLE.lastrow)-ROW(PLE.firstrow))),0,IF(OFFSET(PLE!$G$14,$M77,BB$13)="",10^12,OFFSET(PLE!$G$14,$M77,BB$13))))</f>
        <v>1000000000000</v>
      </c>
      <c r="BC77" s="179">
        <f ca="1">IF($D77&lt;&gt;"Serviço",0,IF(OR(AND(AUTOEVENTO="Manual",$M77=1),$M77&gt;(ROW(PLE.lastrow)-ROW(PLE.firstrow))),0,IF(OFFSET(PLE!$G$14,$M77,BC$13)="",10^12,OFFSET(PLE!$G$14,$M77,BC$13))))</f>
        <v>1000000000000</v>
      </c>
      <c r="BD77" s="179">
        <f ca="1">IF($D77&lt;&gt;"Serviço",0,IF(OR(AND(AUTOEVENTO="Manual",$M77=1),$M77&gt;(ROW(PLE.lastrow)-ROW(PLE.firstrow))),0,IF(OFFSET(PLE!$G$14,$M77,BD$13)="",10^12,OFFSET(PLE!$G$14,$M77,BD$13))))</f>
        <v>1000000000000</v>
      </c>
      <c r="BE77" s="179">
        <f ca="1">IF($D77&lt;&gt;"Serviço",0,IF(OR(AND(AUTOEVENTO="Manual",$M77=1),$M77&gt;(ROW(PLE.lastrow)-ROW(PLE.firstrow))),0,IF(OFFSET(PLE!$G$14,$M77,BE$13)="",10^12,OFFSET(PLE!$G$14,$M77,BE$13))))</f>
        <v>1000000000000</v>
      </c>
      <c r="BF77" s="179">
        <f ca="1">IF($D77&lt;&gt;"Serviço",0,IF(OR(AND(AUTOEVENTO="Manual",$M77=1),$M77&gt;(ROW(PLE.lastrow)-ROW(PLE.firstrow))),0,IF(OFFSET(PLE!$G$14,$M77,BF$13)="",10^12,OFFSET(PLE!$G$14,$M77,BF$13))))</f>
        <v>1000000000000</v>
      </c>
      <c r="BG77" s="179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38.25" x14ac:dyDescent="0.2">
      <c r="A78" s="7" t="str">
        <f t="shared" ca="1" si="8"/>
        <v>57</v>
      </c>
      <c r="B78" s="7" t="str">
        <f ca="1">OFFSET(ORÇAMENTO!C$15,ROW(B78)-ROW(B$15),0)</f>
        <v>S</v>
      </c>
      <c r="C78" s="7" t="str">
        <f ca="1">OFFSET(ORÇAMENTO!L$15,ROW(C78)-ROW(C$15),0)</f>
        <v/>
      </c>
      <c r="D78" s="115" t="str">
        <f ca="1">OFFSET(ORÇAMENTO!N$15,ROW(D78)-ROW(D$15),0)</f>
        <v>Serviço</v>
      </c>
      <c r="E78" s="116" t="str">
        <f ca="1">OFFSET(ORÇAMENTO!O$15,ROW(E78)-ROW(E$15),0)</f>
        <v>-</v>
      </c>
      <c r="F78" s="169" t="str">
        <f ca="1">OFFSET(ORÇAMENTO!R$15,ROW(F78)-ROW(F$15),0)</f>
        <v>(abra o arquivo 'Referência 10-2024.xlsm)</v>
      </c>
      <c r="G78" s="170" t="str">
        <f ca="1">IF($D78&lt;&gt;"Serviço","",OFFSET(ORÇAMENTO!S$15,ROW(G78)-ROW(G$15),0))</f>
        <v>-</v>
      </c>
      <c r="H78" s="121">
        <f ca="1">IF($D78&lt;&gt;"Serviço",0,IF(ACOMPANHAMENTO="BM",ROUND(OFFSET(ORÇAMENTO!AJ$15,ROW(H78)-ROW(H$15),0),15-13*ORÇAMENTO!$AF$7),SUMPRODUCT(($Q$12:$AA$12&lt;&gt;"")*ROUND($Q78:$AA78,15-13*ORÇAMENTO!$AF$7))))</f>
        <v>1.05</v>
      </c>
      <c r="I78" s="558" t="s">
        <v>561</v>
      </c>
      <c r="K78" s="171"/>
      <c r="L78" s="172" t="s">
        <v>255</v>
      </c>
      <c r="M78" s="173">
        <f ca="1">IF($D78&lt;&gt;"Serviço","",IF(AUTOEVENTO="manual",$A78,IF(ISERROR(MATCH($A78,$A$15:OFFSET($A78,-1,0),0)),MAX($M$15:OFFSET(M78,-1,0))+1,INDEX($M$15:OFFSET(M78,-1,0),MATCH($A78,$A$15:OFFSET($A78,-1,0),0)))))</f>
        <v>12</v>
      </c>
      <c r="N78" s="174" t="str">
        <f ca="1">IF($D78&lt;&gt;"Serviço","",IF(AUTOEVENTO="Manual",IF($A78=0,"&lt;-- defina o número do agrupador",OFFSET(EVENTOS!$D$14,$A78,0)),OFFSET($F$15,$A78,0)))</f>
        <v>ESQUADRIAS</v>
      </c>
      <c r="O78" s="175"/>
      <c r="Q78" s="175"/>
      <c r="R78" s="176"/>
      <c r="S78" s="176"/>
      <c r="T78" s="176"/>
      <c r="U78" s="176"/>
      <c r="V78" s="176"/>
      <c r="W78" s="176"/>
      <c r="X78" s="176"/>
      <c r="Y78" s="176"/>
      <c r="Z78" s="177"/>
      <c r="AB78" s="541">
        <f ca="1">IF(AND($D78="Serviço",AB$12&lt;&gt;0,$H78&gt;0,OR(AUTOEVENTO&lt;&gt;"manual",$M78&lt;&gt;1)),
IF(Import.TipoArredondamento&lt;&gt;"TransfereGOV",
ROUND(OFFSET($P78,0,AB$13),15-13*ORÇAMENTO!$AF$7)/$H78*OFFSET(ORÇAMENTO!$X$15,ROW(AB78)-ROW(AB$15),0),
ROUND(ROUND(OFFSET($P78,0,AB$13),15-13*ORÇAMENTO!$AF$7)*OFFSET(ORÇAMENTO!$W$15,ROW(AB78)-ROW(AB$15),0),15-13*ORÇAMENTO!$AF$11)),0)</f>
        <v>0</v>
      </c>
      <c r="AC78" s="542">
        <f ca="1">IF(AND($D78="Serviço",AC$12&lt;&gt;0,$H78&gt;0,OR(AUTOEVENTO&lt;&gt;"manual",$M78&lt;&gt;1)),
IF(Import.TipoArredondamento&lt;&gt;"TransfereGOV",
ROUND(OFFSET($P78,0,AC$13),15-13*ORÇAMENTO!$AF$7)/$H78*OFFSET(ORÇAMENTO!$X$15,ROW(AC78)-ROW(AC$15),0),
ROUND(ROUND(OFFSET($P78,0,AC$13),15-13*ORÇAMENTO!$AF$7)*OFFSET(ORÇAMENTO!$W$15,ROW(AC78)-ROW(AC$15),0),15-13*ORÇAMENTO!$AF$11)),0)</f>
        <v>0</v>
      </c>
      <c r="AD78" s="542">
        <f ca="1">IF(AND($D78="Serviço",AD$12&lt;&gt;0,$H78&gt;0,OR(AUTOEVENTO&lt;&gt;"manual",$M78&lt;&gt;1)),
IF(Import.TipoArredondamento&lt;&gt;"TransfereGOV",
ROUND(OFFSET($P78,0,AD$13),15-13*ORÇAMENTO!$AF$7)/$H78*OFFSET(ORÇAMENTO!$X$15,ROW(AD78)-ROW(AD$15),0),
ROUND(ROUND(OFFSET($P78,0,AD$13),15-13*ORÇAMENTO!$AF$7)*OFFSET(ORÇAMENTO!$W$15,ROW(AD78)-ROW(AD$15),0),15-13*ORÇAMENTO!$AF$11)),0)</f>
        <v>0</v>
      </c>
      <c r="AE78" s="542">
        <f ca="1">IF(AND($D78="Serviço",AE$12&lt;&gt;0,$H78&gt;0,OR(AUTOEVENTO&lt;&gt;"manual",$M78&lt;&gt;1)),
IF(Import.TipoArredondamento&lt;&gt;"TransfereGOV",
ROUND(OFFSET($P78,0,AE$13),15-13*ORÇAMENTO!$AF$7)/$H78*OFFSET(ORÇAMENTO!$X$15,ROW(AE78)-ROW(AE$15),0),
ROUND(ROUND(OFFSET($P78,0,AE$13),15-13*ORÇAMENTO!$AF$7)*OFFSET(ORÇAMENTO!$W$15,ROW(AE78)-ROW(AE$15),0),15-13*ORÇAMENTO!$AF$11)),0)</f>
        <v>0</v>
      </c>
      <c r="AF78" s="542">
        <f ca="1">IF(AND($D78="Serviço",AF$12&lt;&gt;0,$H78&gt;0,OR(AUTOEVENTO&lt;&gt;"manual",$M78&lt;&gt;1)),
IF(Import.TipoArredondamento&lt;&gt;"TransfereGOV",
ROUND(OFFSET($P78,0,AF$13),15-13*ORÇAMENTO!$AF$7)/$H78*OFFSET(ORÇAMENTO!$X$15,ROW(AF78)-ROW(AF$15),0),
ROUND(ROUND(OFFSET($P78,0,AF$13),15-13*ORÇAMENTO!$AF$7)*OFFSET(ORÇAMENTO!$W$15,ROW(AF78)-ROW(AF$15),0),15-13*ORÇAMENTO!$AF$11)),0)</f>
        <v>0</v>
      </c>
      <c r="AG78" s="542">
        <f ca="1">IF(AND($D78="Serviço",AG$12&lt;&gt;0,$H78&gt;0,OR(AUTOEVENTO&lt;&gt;"manual",$M78&lt;&gt;1)),
IF(Import.TipoArredondamento&lt;&gt;"TransfereGOV",
ROUND(OFFSET($P78,0,AG$13),15-13*ORÇAMENTO!$AF$7)/$H78*OFFSET(ORÇAMENTO!$X$15,ROW(AG78)-ROW(AG$15),0),
ROUND(ROUND(OFFSET($P78,0,AG$13),15-13*ORÇAMENTO!$AF$7)*OFFSET(ORÇAMENTO!$W$15,ROW(AG78)-ROW(AG$15),0),15-13*ORÇAMENTO!$AF$11)),0)</f>
        <v>0</v>
      </c>
      <c r="AH78" s="542">
        <f ca="1">IF(AND($D78="Serviço",AH$12&lt;&gt;0,$H78&gt;0,OR(AUTOEVENTO&lt;&gt;"manual",$M78&lt;&gt;1)),
IF(Import.TipoArredondamento&lt;&gt;"TransfereGOV",
ROUND(OFFSET($P78,0,AH$13),15-13*ORÇAMENTO!$AF$7)/$H78*OFFSET(ORÇAMENTO!$X$15,ROW(AH78)-ROW(AH$15),0),
ROUND(ROUND(OFFSET($P78,0,AH$13),15-13*ORÇAMENTO!$AF$7)*OFFSET(ORÇAMENTO!$W$15,ROW(AH78)-ROW(AH$15),0),15-13*ORÇAMENTO!$AF$11)),0)</f>
        <v>0</v>
      </c>
      <c r="AI78" s="542">
        <f ca="1">IF(AND($D78="Serviço",AI$12&lt;&gt;0,$H78&gt;0,OR(AUTOEVENTO&lt;&gt;"manual",$M78&lt;&gt;1)),
IF(Import.TipoArredondamento&lt;&gt;"TransfereGOV",
ROUND(OFFSET($P78,0,AI$13),15-13*ORÇAMENTO!$AF$7)/$H78*OFFSET(ORÇAMENTO!$X$15,ROW(AI78)-ROW(AI$15),0),
ROUND(ROUND(OFFSET($P78,0,AI$13),15-13*ORÇAMENTO!$AF$7)*OFFSET(ORÇAMENTO!$W$15,ROW(AI78)-ROW(AI$15),0),15-13*ORÇAMENTO!$AF$11)),0)</f>
        <v>0</v>
      </c>
      <c r="AJ78" s="542">
        <f ca="1">IF(AND($D78="Serviço",AJ$12&lt;&gt;0,$H78&gt;0,OR(AUTOEVENTO&lt;&gt;"manual",$M78&lt;&gt;1)),
IF(Import.TipoArredondamento&lt;&gt;"TransfereGOV",
ROUND(OFFSET($P78,0,AJ$13),15-13*ORÇAMENTO!$AF$7)/$H78*OFFSET(ORÇAMENTO!$X$15,ROW(AJ78)-ROW(AJ$15),0),
ROUND(ROUND(OFFSET($P78,0,AJ$13),15-13*ORÇAMENTO!$AF$7)*OFFSET(ORÇAMENTO!$W$15,ROW(AJ78)-ROW(AJ$15),0),15-13*ORÇAMENTO!$AF$11)),0)</f>
        <v>0</v>
      </c>
      <c r="AK78" s="543">
        <f ca="1">IF(AND($D78="Serviço",AK$12&lt;&gt;0,$H78&gt;0,OR(AUTOEVENTO&lt;&gt;"manual",$M78&lt;&gt;1)),
IF(Import.TipoArredondamento&lt;&gt;"TransfereGOV",
ROUND(OFFSET($P78,0,AK$13),15-13*ORÇAMENTO!$AF$7)/$H78*OFFSET(ORÇAMENTO!$X$15,ROW(AK78)-ROW(AK$15),0),
ROUND(ROUND(OFFSET($P78,0,AK$13),15-13*ORÇAMENTO!$AF$7)*OFFSET(ORÇAMENTO!$W$15,ROW(AK78)-ROW(AK$15),0),15-13*ORÇAMENTO!$AF$11)),0)</f>
        <v>0</v>
      </c>
      <c r="AM78" s="178">
        <f ca="1">IF($D78&lt;&gt;"Serviço",0,IF(AND(AUTOEVENTO="Manual",$M78=1),0,IF(OFFSET(CRONOPLE!$F$14,$M78,AM$13)="",10^12,OFFSET(CRONOPLE!$F$14,$M78,AM$13))))</f>
        <v>1000000000000</v>
      </c>
      <c r="AN78" s="178">
        <f ca="1">IF($D78&lt;&gt;"Serviço",0,IF(AND(AUTOEVENTO="Manual",$M78=1),0,IF(OFFSET(CRONOPLE!$F$14,$M78,AN$13)="",10^12,OFFSET(CRONOPLE!$F$14,$M78,AN$13))))</f>
        <v>1000000000000</v>
      </c>
      <c r="AO78" s="178">
        <f ca="1">IF($D78&lt;&gt;"Serviço",0,IF(AND(AUTOEVENTO="Manual",$M78=1),0,IF(OFFSET(CRONOPLE!$F$14,$M78,AO$13)="",10^12,OFFSET(CRONOPLE!$F$14,$M78,AO$13))))</f>
        <v>1000000000000</v>
      </c>
      <c r="AP78" s="178">
        <f ca="1">IF($D78&lt;&gt;"Serviço",0,IF(AND(AUTOEVENTO="Manual",$M78=1),0,IF(OFFSET(CRONOPLE!$F$14,$M78,AP$13)="",10^12,OFFSET(CRONOPLE!$F$14,$M78,AP$13))))</f>
        <v>1000000000000</v>
      </c>
      <c r="AQ78" s="178">
        <f ca="1">IF($D78&lt;&gt;"Serviço",0,IF(AND(AUTOEVENTO="Manual",$M78=1),0,IF(OFFSET(CRONOPLE!$F$14,$M78,AQ$13)="",10^12,OFFSET(CRONOPLE!$F$14,$M78,AQ$13))))</f>
        <v>1000000000000</v>
      </c>
      <c r="AR78" s="178">
        <f ca="1">IF($D78&lt;&gt;"Serviço",0,IF(AND(AUTOEVENTO="Manual",$M78=1),0,IF(OFFSET(CRONOPLE!$F$14,$M78,AR$13)="",10^12,OFFSET(CRONOPLE!$F$14,$M78,AR$13))))</f>
        <v>1000000000000</v>
      </c>
      <c r="AS78" s="178">
        <f ca="1">IF($D78&lt;&gt;"Serviço",0,IF(AND(AUTOEVENTO="Manual",$M78=1),0,IF(OFFSET(CRONOPLE!$F$14,$M78,AS$13)="",10^12,OFFSET(CRONOPLE!$F$14,$M78,AS$13))))</f>
        <v>1000000000000</v>
      </c>
      <c r="AT78" s="178">
        <f ca="1">IF($D78&lt;&gt;"Serviço",0,IF(AND(AUTOEVENTO="Manual",$M78=1),0,IF(OFFSET(CRONOPLE!$F$14,$M78,AT$13)="",10^12,OFFSET(CRONOPLE!$F$14,$M78,AT$13))))</f>
        <v>1000000000000</v>
      </c>
      <c r="AU78" s="178">
        <f ca="1">IF($D78&lt;&gt;"Serviço",0,IF(AND(AUTOEVENTO="Manual",$M78=1),0,IF(OFFSET(CRONOPLE!$F$14,$M78,AU$13)="",10^12,OFFSET(CRONOPLE!$F$14,$M78,AU$13))))</f>
        <v>1000000000000</v>
      </c>
      <c r="AV78" s="178">
        <f ca="1">IF($D78&lt;&gt;"Serviço",0,IF(AND(AUTOEVENTO="Manual",$M78=1),0,IF(OFFSET(CRONOPLE!$F$14,$M78,AV$13)="",10^12,OFFSET(CRONOPLE!$F$14,$M78,AV$13))))</f>
        <v>1000000000000</v>
      </c>
      <c r="AX78" s="179">
        <f ca="1">IF($D78&lt;&gt;"Serviço",0,IF(OR(AND(AUTOEVENTO="Manual",$M78=1),$M78&gt;(ROW(PLE.lastrow)-ROW(PLE.firstrow))),0,IF(OFFSET(PLE!$G$14,$M78,AX$13)="",10^12,OFFSET(PLE!$G$14,$M78,AX$13))))</f>
        <v>1000000000000</v>
      </c>
      <c r="AY78" s="179">
        <f ca="1">IF($D78&lt;&gt;"Serviço",0,IF(OR(AND(AUTOEVENTO="Manual",$M78=1),$M78&gt;(ROW(PLE.lastrow)-ROW(PLE.firstrow))),0,IF(OFFSET(PLE!$G$14,$M78,AY$13)="",10^12,OFFSET(PLE!$G$14,$M78,AY$13))))</f>
        <v>1000000000000</v>
      </c>
      <c r="AZ78" s="179">
        <f ca="1">IF($D78&lt;&gt;"Serviço",0,IF(OR(AND(AUTOEVENTO="Manual",$M78=1),$M78&gt;(ROW(PLE.lastrow)-ROW(PLE.firstrow))),0,IF(OFFSET(PLE!$G$14,$M78,AZ$13)="",10^12,OFFSET(PLE!$G$14,$M78,AZ$13))))</f>
        <v>1000000000000</v>
      </c>
      <c r="BA78" s="179">
        <f ca="1">IF($D78&lt;&gt;"Serviço",0,IF(OR(AND(AUTOEVENTO="Manual",$M78=1),$M78&gt;(ROW(PLE.lastrow)-ROW(PLE.firstrow))),0,IF(OFFSET(PLE!$G$14,$M78,BA$13)="",10^12,OFFSET(PLE!$G$14,$M78,BA$13))))</f>
        <v>1000000000000</v>
      </c>
      <c r="BB78" s="179">
        <f ca="1">IF($D78&lt;&gt;"Serviço",0,IF(OR(AND(AUTOEVENTO="Manual",$M78=1),$M78&gt;(ROW(PLE.lastrow)-ROW(PLE.firstrow))),0,IF(OFFSET(PLE!$G$14,$M78,BB$13)="",10^12,OFFSET(PLE!$G$14,$M78,BB$13))))</f>
        <v>1000000000000</v>
      </c>
      <c r="BC78" s="179">
        <f ca="1">IF($D78&lt;&gt;"Serviço",0,IF(OR(AND(AUTOEVENTO="Manual",$M78=1),$M78&gt;(ROW(PLE.lastrow)-ROW(PLE.firstrow))),0,IF(OFFSET(PLE!$G$14,$M78,BC$13)="",10^12,OFFSET(PLE!$G$14,$M78,BC$13))))</f>
        <v>1000000000000</v>
      </c>
      <c r="BD78" s="179">
        <f ca="1">IF($D78&lt;&gt;"Serviço",0,IF(OR(AND(AUTOEVENTO="Manual",$M78=1),$M78&gt;(ROW(PLE.lastrow)-ROW(PLE.firstrow))),0,IF(OFFSET(PLE!$G$14,$M78,BD$13)="",10^12,OFFSET(PLE!$G$14,$M78,BD$13))))</f>
        <v>1000000000000</v>
      </c>
      <c r="BE78" s="179">
        <f ca="1">IF($D78&lt;&gt;"Serviço",0,IF(OR(AND(AUTOEVENTO="Manual",$M78=1),$M78&gt;(ROW(PLE.lastrow)-ROW(PLE.firstrow))),0,IF(OFFSET(PLE!$G$14,$M78,BE$13)="",10^12,OFFSET(PLE!$G$14,$M78,BE$13))))</f>
        <v>1000000000000</v>
      </c>
      <c r="BF78" s="179">
        <f ca="1">IF($D78&lt;&gt;"Serviço",0,IF(OR(AND(AUTOEVENTO="Manual",$M78=1),$M78&gt;(ROW(PLE.lastrow)-ROW(PLE.firstrow))),0,IF(OFFSET(PLE!$G$14,$M78,BF$13)="",10^12,OFFSET(PLE!$G$14,$M78,BF$13))))</f>
        <v>1000000000000</v>
      </c>
      <c r="BG78" s="179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7" t="str">
        <f t="shared" ca="1" si="8"/>
        <v>64.</v>
      </c>
      <c r="B79" s="7">
        <f ca="1">OFFSET(ORÇAMENTO!C$15,ROW(B79)-ROW(B$15),0)</f>
        <v>2</v>
      </c>
      <c r="C79" s="7" t="str">
        <f ca="1">OFFSET(ORÇAMENTO!L$15,ROW(C79)-ROW(C$15),0)</f>
        <v>F</v>
      </c>
      <c r="D79" s="115" t="str">
        <f ca="1">OFFSET(ORÇAMENTO!N$15,ROW(D79)-ROW(D$15),0)</f>
        <v>Nível 2</v>
      </c>
      <c r="E79" s="116" t="str">
        <f ca="1">OFFSET(ORÇAMENTO!O$15,ROW(E79)-ROW(E$15),0)</f>
        <v>1.12.</v>
      </c>
      <c r="F79" s="169" t="str">
        <f ca="1">OFFSET(ORÇAMENTO!R$15,ROW(F79)-ROW(F$15),0)</f>
        <v>LOUÇAS, METAIS E ACESSÓRIOS</v>
      </c>
      <c r="G79" s="170" t="str">
        <f ca="1">IF($D79&lt;&gt;"Serviço","",OFFSET(ORÇAMENTO!S$15,ROW(G79)-ROW(G$15),0))</f>
        <v/>
      </c>
      <c r="H79" s="121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558"/>
      <c r="K79" s="171"/>
      <c r="L79" s="172" t="s">
        <v>255</v>
      </c>
      <c r="M79" s="173" t="str">
        <f ca="1">IF($D79&lt;&gt;"Serviço","",IF(AUTOEVENTO="manual",$A79,IF(ISERROR(MATCH($A79,$A$15:OFFSET($A79,-1,0),0)),MAX($M$15:OFFSET(M79,-1,0))+1,INDEX($M$15:OFFSET(M79,-1,0),MATCH($A79,$A$15:OFFSET($A79,-1,0),0)))))</f>
        <v/>
      </c>
      <c r="N79" s="174" t="str">
        <f ca="1">IF($D79&lt;&gt;"Serviço","",IF(AUTOEVENTO="Manual",IF($A79=0,"&lt;-- defina o número do agrupador",OFFSET(EVENTOS!$D$14,$A79,0)),OFFSET($F$15,$A79,0)))</f>
        <v/>
      </c>
      <c r="O79" s="175"/>
      <c r="Q79" s="175"/>
      <c r="R79" s="176"/>
      <c r="S79" s="176"/>
      <c r="T79" s="176"/>
      <c r="U79" s="176"/>
      <c r="V79" s="176"/>
      <c r="W79" s="176"/>
      <c r="X79" s="176"/>
      <c r="Y79" s="176"/>
      <c r="Z79" s="177"/>
      <c r="AB79" s="541">
        <f ca="1">IF(AND($D79="Serviço",AB$12&lt;&gt;0,$H79&gt;0,OR(AUTOEVENTO&lt;&gt;"manual",$M79&lt;&gt;1)),
IF(Import.TipoArredondamento&lt;&gt;"TransfereGOV",
ROUND(OFFSET($P79,0,AB$13),15-13*ORÇAMENTO!$AF$7)/$H79*OFFSET(ORÇAMENTO!$X$15,ROW(AB79)-ROW(AB$15),0),
ROUND(ROUND(OFFSET($P79,0,AB$13),15-13*ORÇAMENTO!$AF$7)*OFFSET(ORÇAMENTO!$W$15,ROW(AB79)-ROW(AB$15),0),15-13*ORÇAMENTO!$AF$11)),0)</f>
        <v>0</v>
      </c>
      <c r="AC79" s="542">
        <f ca="1">IF(AND($D79="Serviço",AC$12&lt;&gt;0,$H79&gt;0,OR(AUTOEVENTO&lt;&gt;"manual",$M79&lt;&gt;1)),
IF(Import.TipoArredondamento&lt;&gt;"TransfereGOV",
ROUND(OFFSET($P79,0,AC$13),15-13*ORÇAMENTO!$AF$7)/$H79*OFFSET(ORÇAMENTO!$X$15,ROW(AC79)-ROW(AC$15),0),
ROUND(ROUND(OFFSET($P79,0,AC$13),15-13*ORÇAMENTO!$AF$7)*OFFSET(ORÇAMENTO!$W$15,ROW(AC79)-ROW(AC$15),0),15-13*ORÇAMENTO!$AF$11)),0)</f>
        <v>0</v>
      </c>
      <c r="AD79" s="542">
        <f ca="1">IF(AND($D79="Serviço",AD$12&lt;&gt;0,$H79&gt;0,OR(AUTOEVENTO&lt;&gt;"manual",$M79&lt;&gt;1)),
IF(Import.TipoArredondamento&lt;&gt;"TransfereGOV",
ROUND(OFFSET($P79,0,AD$13),15-13*ORÇAMENTO!$AF$7)/$H79*OFFSET(ORÇAMENTO!$X$15,ROW(AD79)-ROW(AD$15),0),
ROUND(ROUND(OFFSET($P79,0,AD$13),15-13*ORÇAMENTO!$AF$7)*OFFSET(ORÇAMENTO!$W$15,ROW(AD79)-ROW(AD$15),0),15-13*ORÇAMENTO!$AF$11)),0)</f>
        <v>0</v>
      </c>
      <c r="AE79" s="542">
        <f ca="1">IF(AND($D79="Serviço",AE$12&lt;&gt;0,$H79&gt;0,OR(AUTOEVENTO&lt;&gt;"manual",$M79&lt;&gt;1)),
IF(Import.TipoArredondamento&lt;&gt;"TransfereGOV",
ROUND(OFFSET($P79,0,AE$13),15-13*ORÇAMENTO!$AF$7)/$H79*OFFSET(ORÇAMENTO!$X$15,ROW(AE79)-ROW(AE$15),0),
ROUND(ROUND(OFFSET($P79,0,AE$13),15-13*ORÇAMENTO!$AF$7)*OFFSET(ORÇAMENTO!$W$15,ROW(AE79)-ROW(AE$15),0),15-13*ORÇAMENTO!$AF$11)),0)</f>
        <v>0</v>
      </c>
      <c r="AF79" s="542">
        <f ca="1">IF(AND($D79="Serviço",AF$12&lt;&gt;0,$H79&gt;0,OR(AUTOEVENTO&lt;&gt;"manual",$M79&lt;&gt;1)),
IF(Import.TipoArredondamento&lt;&gt;"TransfereGOV",
ROUND(OFFSET($P79,0,AF$13),15-13*ORÇAMENTO!$AF$7)/$H79*OFFSET(ORÇAMENTO!$X$15,ROW(AF79)-ROW(AF$15),0),
ROUND(ROUND(OFFSET($P79,0,AF$13),15-13*ORÇAMENTO!$AF$7)*OFFSET(ORÇAMENTO!$W$15,ROW(AF79)-ROW(AF$15),0),15-13*ORÇAMENTO!$AF$11)),0)</f>
        <v>0</v>
      </c>
      <c r="AG79" s="542">
        <f ca="1">IF(AND($D79="Serviço",AG$12&lt;&gt;0,$H79&gt;0,OR(AUTOEVENTO&lt;&gt;"manual",$M79&lt;&gt;1)),
IF(Import.TipoArredondamento&lt;&gt;"TransfereGOV",
ROUND(OFFSET($P79,0,AG$13),15-13*ORÇAMENTO!$AF$7)/$H79*OFFSET(ORÇAMENTO!$X$15,ROW(AG79)-ROW(AG$15),0),
ROUND(ROUND(OFFSET($P79,0,AG$13),15-13*ORÇAMENTO!$AF$7)*OFFSET(ORÇAMENTO!$W$15,ROW(AG79)-ROW(AG$15),0),15-13*ORÇAMENTO!$AF$11)),0)</f>
        <v>0</v>
      </c>
      <c r="AH79" s="542">
        <f ca="1">IF(AND($D79="Serviço",AH$12&lt;&gt;0,$H79&gt;0,OR(AUTOEVENTO&lt;&gt;"manual",$M79&lt;&gt;1)),
IF(Import.TipoArredondamento&lt;&gt;"TransfereGOV",
ROUND(OFFSET($P79,0,AH$13),15-13*ORÇAMENTO!$AF$7)/$H79*OFFSET(ORÇAMENTO!$X$15,ROW(AH79)-ROW(AH$15),0),
ROUND(ROUND(OFFSET($P79,0,AH$13),15-13*ORÇAMENTO!$AF$7)*OFFSET(ORÇAMENTO!$W$15,ROW(AH79)-ROW(AH$15),0),15-13*ORÇAMENTO!$AF$11)),0)</f>
        <v>0</v>
      </c>
      <c r="AI79" s="542">
        <f ca="1">IF(AND($D79="Serviço",AI$12&lt;&gt;0,$H79&gt;0,OR(AUTOEVENTO&lt;&gt;"manual",$M79&lt;&gt;1)),
IF(Import.TipoArredondamento&lt;&gt;"TransfereGOV",
ROUND(OFFSET($P79,0,AI$13),15-13*ORÇAMENTO!$AF$7)/$H79*OFFSET(ORÇAMENTO!$X$15,ROW(AI79)-ROW(AI$15),0),
ROUND(ROUND(OFFSET($P79,0,AI$13),15-13*ORÇAMENTO!$AF$7)*OFFSET(ORÇAMENTO!$W$15,ROW(AI79)-ROW(AI$15),0),15-13*ORÇAMENTO!$AF$11)),0)</f>
        <v>0</v>
      </c>
      <c r="AJ79" s="542">
        <f ca="1">IF(AND($D79="Serviço",AJ$12&lt;&gt;0,$H79&gt;0,OR(AUTOEVENTO&lt;&gt;"manual",$M79&lt;&gt;1)),
IF(Import.TipoArredondamento&lt;&gt;"TransfereGOV",
ROUND(OFFSET($P79,0,AJ$13),15-13*ORÇAMENTO!$AF$7)/$H79*OFFSET(ORÇAMENTO!$X$15,ROW(AJ79)-ROW(AJ$15),0),
ROUND(ROUND(OFFSET($P79,0,AJ$13),15-13*ORÇAMENTO!$AF$7)*OFFSET(ORÇAMENTO!$W$15,ROW(AJ79)-ROW(AJ$15),0),15-13*ORÇAMENTO!$AF$11)),0)</f>
        <v>0</v>
      </c>
      <c r="AK79" s="543">
        <f ca="1">IF(AND($D79="Serviço",AK$12&lt;&gt;0,$H79&gt;0,OR(AUTOEVENTO&lt;&gt;"manual",$M79&lt;&gt;1)),
IF(Import.TipoArredondamento&lt;&gt;"TransfereGOV",
ROUND(OFFSET($P79,0,AK$13),15-13*ORÇAMENTO!$AF$7)/$H79*OFFSET(ORÇAMENTO!$X$15,ROW(AK79)-ROW(AK$15),0),
ROUND(ROUND(OFFSET($P79,0,AK$13),15-13*ORÇAMENTO!$AF$7)*OFFSET(ORÇAMENTO!$W$15,ROW(AK79)-ROW(AK$15),0),15-13*ORÇAMENTO!$AF$11)),0)</f>
        <v>0</v>
      </c>
      <c r="AM79" s="178">
        <f ca="1">IF($D79&lt;&gt;"Serviço",0,IF(AND(AUTOEVENTO="Manual",$M79=1),0,IF(OFFSET(CRONOPLE!$F$14,$M79,AM$13)="",10^12,OFFSET(CRONOPLE!$F$14,$M79,AM$13))))</f>
        <v>0</v>
      </c>
      <c r="AN79" s="178">
        <f ca="1">IF($D79&lt;&gt;"Serviço",0,IF(AND(AUTOEVENTO="Manual",$M79=1),0,IF(OFFSET(CRONOPLE!$F$14,$M79,AN$13)="",10^12,OFFSET(CRONOPLE!$F$14,$M79,AN$13))))</f>
        <v>0</v>
      </c>
      <c r="AO79" s="178">
        <f ca="1">IF($D79&lt;&gt;"Serviço",0,IF(AND(AUTOEVENTO="Manual",$M79=1),0,IF(OFFSET(CRONOPLE!$F$14,$M79,AO$13)="",10^12,OFFSET(CRONOPLE!$F$14,$M79,AO$13))))</f>
        <v>0</v>
      </c>
      <c r="AP79" s="178">
        <f ca="1">IF($D79&lt;&gt;"Serviço",0,IF(AND(AUTOEVENTO="Manual",$M79=1),0,IF(OFFSET(CRONOPLE!$F$14,$M79,AP$13)="",10^12,OFFSET(CRONOPLE!$F$14,$M79,AP$13))))</f>
        <v>0</v>
      </c>
      <c r="AQ79" s="178">
        <f ca="1">IF($D79&lt;&gt;"Serviço",0,IF(AND(AUTOEVENTO="Manual",$M79=1),0,IF(OFFSET(CRONOPLE!$F$14,$M79,AQ$13)="",10^12,OFFSET(CRONOPLE!$F$14,$M79,AQ$13))))</f>
        <v>0</v>
      </c>
      <c r="AR79" s="178">
        <f ca="1">IF($D79&lt;&gt;"Serviço",0,IF(AND(AUTOEVENTO="Manual",$M79=1),0,IF(OFFSET(CRONOPLE!$F$14,$M79,AR$13)="",10^12,OFFSET(CRONOPLE!$F$14,$M79,AR$13))))</f>
        <v>0</v>
      </c>
      <c r="AS79" s="178">
        <f ca="1">IF($D79&lt;&gt;"Serviço",0,IF(AND(AUTOEVENTO="Manual",$M79=1),0,IF(OFFSET(CRONOPLE!$F$14,$M79,AS$13)="",10^12,OFFSET(CRONOPLE!$F$14,$M79,AS$13))))</f>
        <v>0</v>
      </c>
      <c r="AT79" s="178">
        <f ca="1">IF($D79&lt;&gt;"Serviço",0,IF(AND(AUTOEVENTO="Manual",$M79=1),0,IF(OFFSET(CRONOPLE!$F$14,$M79,AT$13)="",10^12,OFFSET(CRONOPLE!$F$14,$M79,AT$13))))</f>
        <v>0</v>
      </c>
      <c r="AU79" s="178">
        <f ca="1">IF($D79&lt;&gt;"Serviço",0,IF(AND(AUTOEVENTO="Manual",$M79=1),0,IF(OFFSET(CRONOPLE!$F$14,$M79,AU$13)="",10^12,OFFSET(CRONOPLE!$F$14,$M79,AU$13))))</f>
        <v>0</v>
      </c>
      <c r="AV79" s="178">
        <f ca="1">IF($D79&lt;&gt;"Serviço",0,IF(AND(AUTOEVENTO="Manual",$M79=1),0,IF(OFFSET(CRONOPLE!$F$14,$M79,AV$13)="",10^12,OFFSET(CRONOPLE!$F$14,$M79,AV$13))))</f>
        <v>0</v>
      </c>
      <c r="AX79" s="179">
        <f ca="1">IF($D79&lt;&gt;"Serviço",0,IF(OR(AND(AUTOEVENTO="Manual",$M79=1),$M79&gt;(ROW(PLE.lastrow)-ROW(PLE.firstrow))),0,IF(OFFSET(PLE!$G$14,$M79,AX$13)="",10^12,OFFSET(PLE!$G$14,$M79,AX$13))))</f>
        <v>0</v>
      </c>
      <c r="AY79" s="179">
        <f ca="1">IF($D79&lt;&gt;"Serviço",0,IF(OR(AND(AUTOEVENTO="Manual",$M79=1),$M79&gt;(ROW(PLE.lastrow)-ROW(PLE.firstrow))),0,IF(OFFSET(PLE!$G$14,$M79,AY$13)="",10^12,OFFSET(PLE!$G$14,$M79,AY$13))))</f>
        <v>0</v>
      </c>
      <c r="AZ79" s="179">
        <f ca="1">IF($D79&lt;&gt;"Serviço",0,IF(OR(AND(AUTOEVENTO="Manual",$M79=1),$M79&gt;(ROW(PLE.lastrow)-ROW(PLE.firstrow))),0,IF(OFFSET(PLE!$G$14,$M79,AZ$13)="",10^12,OFFSET(PLE!$G$14,$M79,AZ$13))))</f>
        <v>0</v>
      </c>
      <c r="BA79" s="179">
        <f ca="1">IF($D79&lt;&gt;"Serviço",0,IF(OR(AND(AUTOEVENTO="Manual",$M79=1),$M79&gt;(ROW(PLE.lastrow)-ROW(PLE.firstrow))),0,IF(OFFSET(PLE!$G$14,$M79,BA$13)="",10^12,OFFSET(PLE!$G$14,$M79,BA$13))))</f>
        <v>0</v>
      </c>
      <c r="BB79" s="179">
        <f ca="1">IF($D79&lt;&gt;"Serviço",0,IF(OR(AND(AUTOEVENTO="Manual",$M79=1),$M79&gt;(ROW(PLE.lastrow)-ROW(PLE.firstrow))),0,IF(OFFSET(PLE!$G$14,$M79,BB$13)="",10^12,OFFSET(PLE!$G$14,$M79,BB$13))))</f>
        <v>0</v>
      </c>
      <c r="BC79" s="179">
        <f ca="1">IF($D79&lt;&gt;"Serviço",0,IF(OR(AND(AUTOEVENTO="Manual",$M79=1),$M79&gt;(ROW(PLE.lastrow)-ROW(PLE.firstrow))),0,IF(OFFSET(PLE!$G$14,$M79,BC$13)="",10^12,OFFSET(PLE!$G$14,$M79,BC$13))))</f>
        <v>0</v>
      </c>
      <c r="BD79" s="179">
        <f ca="1">IF($D79&lt;&gt;"Serviço",0,IF(OR(AND(AUTOEVENTO="Manual",$M79=1),$M79&gt;(ROW(PLE.lastrow)-ROW(PLE.firstrow))),0,IF(OFFSET(PLE!$G$14,$M79,BD$13)="",10^12,OFFSET(PLE!$G$14,$M79,BD$13))))</f>
        <v>0</v>
      </c>
      <c r="BE79" s="179">
        <f ca="1">IF($D79&lt;&gt;"Serviço",0,IF(OR(AND(AUTOEVENTO="Manual",$M79=1),$M79&gt;(ROW(PLE.lastrow)-ROW(PLE.firstrow))),0,IF(OFFSET(PLE!$G$14,$M79,BE$13)="",10^12,OFFSET(PLE!$G$14,$M79,BE$13))))</f>
        <v>0</v>
      </c>
      <c r="BF79" s="179">
        <f ca="1">IF($D79&lt;&gt;"Serviço",0,IF(OR(AND(AUTOEVENTO="Manual",$M79=1),$M79&gt;(ROW(PLE.lastrow)-ROW(PLE.firstrow))),0,IF(OFFSET(PLE!$G$14,$M79,BF$13)="",10^12,OFFSET(PLE!$G$14,$M79,BF$13))))</f>
        <v>0</v>
      </c>
      <c r="BG79" s="179">
        <f ca="1">IF($D79&lt;&gt;"Serviço",0,IF(OR(AND(AUTOEVENTO="Manual",$M79=1),$M79&gt;(ROW(PLE.lastrow)-ROW(PLE.firstrow))),0,IF(OFFSET(PLE!$G$14,$M79,BG$13)="",10^12,OFFSET(PLE!$G$14,$M79,BG$13))))</f>
        <v>0</v>
      </c>
    </row>
    <row r="80" spans="1:59" ht="25.5" x14ac:dyDescent="0.2">
      <c r="A80" s="7" t="str">
        <f t="shared" ca="1" si="8"/>
        <v>64</v>
      </c>
      <c r="B80" s="7" t="str">
        <f ca="1">OFFSET(ORÇAMENTO!C$15,ROW(B80)-ROW(B$15),0)</f>
        <v>S</v>
      </c>
      <c r="C80" s="7" t="str">
        <f ca="1">OFFSET(ORÇAMENTO!L$15,ROW(C80)-ROW(C$15),0)</f>
        <v/>
      </c>
      <c r="D80" s="115" t="str">
        <f ca="1">OFFSET(ORÇAMENTO!N$15,ROW(D80)-ROW(D$15),0)</f>
        <v>Serviço</v>
      </c>
      <c r="E80" s="116" t="str">
        <f ca="1">OFFSET(ORÇAMENTO!O$15,ROW(E80)-ROW(E$15),0)</f>
        <v>-</v>
      </c>
      <c r="F80" s="169" t="str">
        <f ca="1">OFFSET(ORÇAMENTO!R$15,ROW(F80)-ROW(F$15),0)</f>
        <v>(abra o arquivo 'Referência 10-2024.xlsm)</v>
      </c>
      <c r="G80" s="170" t="str">
        <f ca="1">IF($D80&lt;&gt;"Serviço","",OFFSET(ORÇAMENTO!S$15,ROW(G80)-ROW(G$15),0))</f>
        <v>-</v>
      </c>
      <c r="H80" s="121">
        <f ca="1">IF($D80&lt;&gt;"Serviço",0,IF(ACOMPANHAMENTO="BM",ROUND(OFFSET(ORÇAMENTO!AJ$15,ROW(H80)-ROW(H$15),0),15-13*ORÇAMENTO!$AF$7),SUMPRODUCT(($Q$12:$AA$12&lt;&gt;"")*ROUND($Q80:$AA80,15-13*ORÇAMENTO!$AF$7))))</f>
        <v>4</v>
      </c>
      <c r="I80" s="558" t="s">
        <v>561</v>
      </c>
      <c r="K80" s="171"/>
      <c r="L80" s="172" t="s">
        <v>255</v>
      </c>
      <c r="M80" s="173">
        <f ca="1">IF($D80&lt;&gt;"Serviço","",IF(AUTOEVENTO="manual",$A80,IF(ISERROR(MATCH($A80,$A$15:OFFSET($A80,-1,0),0)),MAX($M$15:OFFSET(M80,-1,0))+1,INDEX($M$15:OFFSET(M80,-1,0),MATCH($A80,$A$15:OFFSET($A80,-1,0),0)))))</f>
        <v>13</v>
      </c>
      <c r="N80" s="174" t="str">
        <f ca="1">IF($D80&lt;&gt;"Serviço","",IF(AUTOEVENTO="Manual",IF($A80=0,"&lt;-- defina o número do agrupador",OFFSET(EVENTOS!$D$14,$A80,0)),OFFSET($F$15,$A80,0)))</f>
        <v>LOUÇAS, METAIS E ACESSÓRIOS</v>
      </c>
      <c r="O80" s="175"/>
      <c r="Q80" s="175"/>
      <c r="R80" s="176"/>
      <c r="S80" s="176"/>
      <c r="T80" s="176"/>
      <c r="U80" s="176"/>
      <c r="V80" s="176"/>
      <c r="W80" s="176"/>
      <c r="X80" s="176"/>
      <c r="Y80" s="176"/>
      <c r="Z80" s="177"/>
      <c r="AB80" s="541">
        <f ca="1">IF(AND($D80="Serviço",AB$12&lt;&gt;0,$H80&gt;0,OR(AUTOEVENTO&lt;&gt;"manual",$M80&lt;&gt;1)),
IF(Import.TipoArredondamento&lt;&gt;"TransfereGOV",
ROUND(OFFSET($P80,0,AB$13),15-13*ORÇAMENTO!$AF$7)/$H80*OFFSET(ORÇAMENTO!$X$15,ROW(AB80)-ROW(AB$15),0),
ROUND(ROUND(OFFSET($P80,0,AB$13),15-13*ORÇAMENTO!$AF$7)*OFFSET(ORÇAMENTO!$W$15,ROW(AB80)-ROW(AB$15),0),15-13*ORÇAMENTO!$AF$11)),0)</f>
        <v>0</v>
      </c>
      <c r="AC80" s="542">
        <f ca="1">IF(AND($D80="Serviço",AC$12&lt;&gt;0,$H80&gt;0,OR(AUTOEVENTO&lt;&gt;"manual",$M80&lt;&gt;1)),
IF(Import.TipoArredondamento&lt;&gt;"TransfereGOV",
ROUND(OFFSET($P80,0,AC$13),15-13*ORÇAMENTO!$AF$7)/$H80*OFFSET(ORÇAMENTO!$X$15,ROW(AC80)-ROW(AC$15),0),
ROUND(ROUND(OFFSET($P80,0,AC$13),15-13*ORÇAMENTO!$AF$7)*OFFSET(ORÇAMENTO!$W$15,ROW(AC80)-ROW(AC$15),0),15-13*ORÇAMENTO!$AF$11)),0)</f>
        <v>0</v>
      </c>
      <c r="AD80" s="542">
        <f ca="1">IF(AND($D80="Serviço",AD$12&lt;&gt;0,$H80&gt;0,OR(AUTOEVENTO&lt;&gt;"manual",$M80&lt;&gt;1)),
IF(Import.TipoArredondamento&lt;&gt;"TransfereGOV",
ROUND(OFFSET($P80,0,AD$13),15-13*ORÇAMENTO!$AF$7)/$H80*OFFSET(ORÇAMENTO!$X$15,ROW(AD80)-ROW(AD$15),0),
ROUND(ROUND(OFFSET($P80,0,AD$13),15-13*ORÇAMENTO!$AF$7)*OFFSET(ORÇAMENTO!$W$15,ROW(AD80)-ROW(AD$15),0),15-13*ORÇAMENTO!$AF$11)),0)</f>
        <v>0</v>
      </c>
      <c r="AE80" s="542">
        <f ca="1">IF(AND($D80="Serviço",AE$12&lt;&gt;0,$H80&gt;0,OR(AUTOEVENTO&lt;&gt;"manual",$M80&lt;&gt;1)),
IF(Import.TipoArredondamento&lt;&gt;"TransfereGOV",
ROUND(OFFSET($P80,0,AE$13),15-13*ORÇAMENTO!$AF$7)/$H80*OFFSET(ORÇAMENTO!$X$15,ROW(AE80)-ROW(AE$15),0),
ROUND(ROUND(OFFSET($P80,0,AE$13),15-13*ORÇAMENTO!$AF$7)*OFFSET(ORÇAMENTO!$W$15,ROW(AE80)-ROW(AE$15),0),15-13*ORÇAMENTO!$AF$11)),0)</f>
        <v>0</v>
      </c>
      <c r="AF80" s="542">
        <f ca="1">IF(AND($D80="Serviço",AF$12&lt;&gt;0,$H80&gt;0,OR(AUTOEVENTO&lt;&gt;"manual",$M80&lt;&gt;1)),
IF(Import.TipoArredondamento&lt;&gt;"TransfereGOV",
ROUND(OFFSET($P80,0,AF$13),15-13*ORÇAMENTO!$AF$7)/$H80*OFFSET(ORÇAMENTO!$X$15,ROW(AF80)-ROW(AF$15),0),
ROUND(ROUND(OFFSET($P80,0,AF$13),15-13*ORÇAMENTO!$AF$7)*OFFSET(ORÇAMENTO!$W$15,ROW(AF80)-ROW(AF$15),0),15-13*ORÇAMENTO!$AF$11)),0)</f>
        <v>0</v>
      </c>
      <c r="AG80" s="542">
        <f ca="1">IF(AND($D80="Serviço",AG$12&lt;&gt;0,$H80&gt;0,OR(AUTOEVENTO&lt;&gt;"manual",$M80&lt;&gt;1)),
IF(Import.TipoArredondamento&lt;&gt;"TransfereGOV",
ROUND(OFFSET($P80,0,AG$13),15-13*ORÇAMENTO!$AF$7)/$H80*OFFSET(ORÇAMENTO!$X$15,ROW(AG80)-ROW(AG$15),0),
ROUND(ROUND(OFFSET($P80,0,AG$13),15-13*ORÇAMENTO!$AF$7)*OFFSET(ORÇAMENTO!$W$15,ROW(AG80)-ROW(AG$15),0),15-13*ORÇAMENTO!$AF$11)),0)</f>
        <v>0</v>
      </c>
      <c r="AH80" s="542">
        <f ca="1">IF(AND($D80="Serviço",AH$12&lt;&gt;0,$H80&gt;0,OR(AUTOEVENTO&lt;&gt;"manual",$M80&lt;&gt;1)),
IF(Import.TipoArredondamento&lt;&gt;"TransfereGOV",
ROUND(OFFSET($P80,0,AH$13),15-13*ORÇAMENTO!$AF$7)/$H80*OFFSET(ORÇAMENTO!$X$15,ROW(AH80)-ROW(AH$15),0),
ROUND(ROUND(OFFSET($P80,0,AH$13),15-13*ORÇAMENTO!$AF$7)*OFFSET(ORÇAMENTO!$W$15,ROW(AH80)-ROW(AH$15),0),15-13*ORÇAMENTO!$AF$11)),0)</f>
        <v>0</v>
      </c>
      <c r="AI80" s="542">
        <f ca="1">IF(AND($D80="Serviço",AI$12&lt;&gt;0,$H80&gt;0,OR(AUTOEVENTO&lt;&gt;"manual",$M80&lt;&gt;1)),
IF(Import.TipoArredondamento&lt;&gt;"TransfereGOV",
ROUND(OFFSET($P80,0,AI$13),15-13*ORÇAMENTO!$AF$7)/$H80*OFFSET(ORÇAMENTO!$X$15,ROW(AI80)-ROW(AI$15),0),
ROUND(ROUND(OFFSET($P80,0,AI$13),15-13*ORÇAMENTO!$AF$7)*OFFSET(ORÇAMENTO!$W$15,ROW(AI80)-ROW(AI$15),0),15-13*ORÇAMENTO!$AF$11)),0)</f>
        <v>0</v>
      </c>
      <c r="AJ80" s="542">
        <f ca="1">IF(AND($D80="Serviço",AJ$12&lt;&gt;0,$H80&gt;0,OR(AUTOEVENTO&lt;&gt;"manual",$M80&lt;&gt;1)),
IF(Import.TipoArredondamento&lt;&gt;"TransfereGOV",
ROUND(OFFSET($P80,0,AJ$13),15-13*ORÇAMENTO!$AF$7)/$H80*OFFSET(ORÇAMENTO!$X$15,ROW(AJ80)-ROW(AJ$15),0),
ROUND(ROUND(OFFSET($P80,0,AJ$13),15-13*ORÇAMENTO!$AF$7)*OFFSET(ORÇAMENTO!$W$15,ROW(AJ80)-ROW(AJ$15),0),15-13*ORÇAMENTO!$AF$11)),0)</f>
        <v>0</v>
      </c>
      <c r="AK80" s="543">
        <f ca="1">IF(AND($D80="Serviço",AK$12&lt;&gt;0,$H80&gt;0,OR(AUTOEVENTO&lt;&gt;"manual",$M80&lt;&gt;1)),
IF(Import.TipoArredondamento&lt;&gt;"TransfereGOV",
ROUND(OFFSET($P80,0,AK$13),15-13*ORÇAMENTO!$AF$7)/$H80*OFFSET(ORÇAMENTO!$X$15,ROW(AK80)-ROW(AK$15),0),
ROUND(ROUND(OFFSET($P80,0,AK$13),15-13*ORÇAMENTO!$AF$7)*OFFSET(ORÇAMENTO!$W$15,ROW(AK80)-ROW(AK$15),0),15-13*ORÇAMENTO!$AF$11)),0)</f>
        <v>0</v>
      </c>
      <c r="AM80" s="178">
        <f ca="1">IF($D80&lt;&gt;"Serviço",0,IF(AND(AUTOEVENTO="Manual",$M80=1),0,IF(OFFSET(CRONOPLE!$F$14,$M80,AM$13)="",10^12,OFFSET(CRONOPLE!$F$14,$M80,AM$13))))</f>
        <v>1000000000000</v>
      </c>
      <c r="AN80" s="178">
        <f ca="1">IF($D80&lt;&gt;"Serviço",0,IF(AND(AUTOEVENTO="Manual",$M80=1),0,IF(OFFSET(CRONOPLE!$F$14,$M80,AN$13)="",10^12,OFFSET(CRONOPLE!$F$14,$M80,AN$13))))</f>
        <v>1000000000000</v>
      </c>
      <c r="AO80" s="178">
        <f ca="1">IF($D80&lt;&gt;"Serviço",0,IF(AND(AUTOEVENTO="Manual",$M80=1),0,IF(OFFSET(CRONOPLE!$F$14,$M80,AO$13)="",10^12,OFFSET(CRONOPLE!$F$14,$M80,AO$13))))</f>
        <v>1000000000000</v>
      </c>
      <c r="AP80" s="178">
        <f ca="1">IF($D80&lt;&gt;"Serviço",0,IF(AND(AUTOEVENTO="Manual",$M80=1),0,IF(OFFSET(CRONOPLE!$F$14,$M80,AP$13)="",10^12,OFFSET(CRONOPLE!$F$14,$M80,AP$13))))</f>
        <v>1000000000000</v>
      </c>
      <c r="AQ80" s="178">
        <f ca="1">IF($D80&lt;&gt;"Serviço",0,IF(AND(AUTOEVENTO="Manual",$M80=1),0,IF(OFFSET(CRONOPLE!$F$14,$M80,AQ$13)="",10^12,OFFSET(CRONOPLE!$F$14,$M80,AQ$13))))</f>
        <v>1000000000000</v>
      </c>
      <c r="AR80" s="178">
        <f ca="1">IF($D80&lt;&gt;"Serviço",0,IF(AND(AUTOEVENTO="Manual",$M80=1),0,IF(OFFSET(CRONOPLE!$F$14,$M80,AR$13)="",10^12,OFFSET(CRONOPLE!$F$14,$M80,AR$13))))</f>
        <v>1000000000000</v>
      </c>
      <c r="AS80" s="178">
        <f ca="1">IF($D80&lt;&gt;"Serviço",0,IF(AND(AUTOEVENTO="Manual",$M80=1),0,IF(OFFSET(CRONOPLE!$F$14,$M80,AS$13)="",10^12,OFFSET(CRONOPLE!$F$14,$M80,AS$13))))</f>
        <v>1000000000000</v>
      </c>
      <c r="AT80" s="178">
        <f ca="1">IF($D80&lt;&gt;"Serviço",0,IF(AND(AUTOEVENTO="Manual",$M80=1),0,IF(OFFSET(CRONOPLE!$F$14,$M80,AT$13)="",10^12,OFFSET(CRONOPLE!$F$14,$M80,AT$13))))</f>
        <v>1000000000000</v>
      </c>
      <c r="AU80" s="178">
        <f ca="1">IF($D80&lt;&gt;"Serviço",0,IF(AND(AUTOEVENTO="Manual",$M80=1),0,IF(OFFSET(CRONOPLE!$F$14,$M80,AU$13)="",10^12,OFFSET(CRONOPLE!$F$14,$M80,AU$13))))</f>
        <v>1000000000000</v>
      </c>
      <c r="AV80" s="178">
        <f ca="1">IF($D80&lt;&gt;"Serviço",0,IF(AND(AUTOEVENTO="Manual",$M80=1),0,IF(OFFSET(CRONOPLE!$F$14,$M80,AV$13)="",10^12,OFFSET(CRONOPLE!$F$14,$M80,AV$13))))</f>
        <v>1000000000000</v>
      </c>
      <c r="AX80" s="179">
        <f ca="1">IF($D80&lt;&gt;"Serviço",0,IF(OR(AND(AUTOEVENTO="Manual",$M80=1),$M80&gt;(ROW(PLE.lastrow)-ROW(PLE.firstrow))),0,IF(OFFSET(PLE!$G$14,$M80,AX$13)="",10^12,OFFSET(PLE!$G$14,$M80,AX$13))))</f>
        <v>1000000000000</v>
      </c>
      <c r="AY80" s="179">
        <f ca="1">IF($D80&lt;&gt;"Serviço",0,IF(OR(AND(AUTOEVENTO="Manual",$M80=1),$M80&gt;(ROW(PLE.lastrow)-ROW(PLE.firstrow))),0,IF(OFFSET(PLE!$G$14,$M80,AY$13)="",10^12,OFFSET(PLE!$G$14,$M80,AY$13))))</f>
        <v>1000000000000</v>
      </c>
      <c r="AZ80" s="179">
        <f ca="1">IF($D80&lt;&gt;"Serviço",0,IF(OR(AND(AUTOEVENTO="Manual",$M80=1),$M80&gt;(ROW(PLE.lastrow)-ROW(PLE.firstrow))),0,IF(OFFSET(PLE!$G$14,$M80,AZ$13)="",10^12,OFFSET(PLE!$G$14,$M80,AZ$13))))</f>
        <v>1000000000000</v>
      </c>
      <c r="BA80" s="179">
        <f ca="1">IF($D80&lt;&gt;"Serviço",0,IF(OR(AND(AUTOEVENTO="Manual",$M80=1),$M80&gt;(ROW(PLE.lastrow)-ROW(PLE.firstrow))),0,IF(OFFSET(PLE!$G$14,$M80,BA$13)="",10^12,OFFSET(PLE!$G$14,$M80,BA$13))))</f>
        <v>1000000000000</v>
      </c>
      <c r="BB80" s="179">
        <f ca="1">IF($D80&lt;&gt;"Serviço",0,IF(OR(AND(AUTOEVENTO="Manual",$M80=1),$M80&gt;(ROW(PLE.lastrow)-ROW(PLE.firstrow))),0,IF(OFFSET(PLE!$G$14,$M80,BB$13)="",10^12,OFFSET(PLE!$G$14,$M80,BB$13))))</f>
        <v>1000000000000</v>
      </c>
      <c r="BC80" s="179">
        <f ca="1">IF($D80&lt;&gt;"Serviço",0,IF(OR(AND(AUTOEVENTO="Manual",$M80=1),$M80&gt;(ROW(PLE.lastrow)-ROW(PLE.firstrow))),0,IF(OFFSET(PLE!$G$14,$M80,BC$13)="",10^12,OFFSET(PLE!$G$14,$M80,BC$13))))</f>
        <v>1000000000000</v>
      </c>
      <c r="BD80" s="179">
        <f ca="1">IF($D80&lt;&gt;"Serviço",0,IF(OR(AND(AUTOEVENTO="Manual",$M80=1),$M80&gt;(ROW(PLE.lastrow)-ROW(PLE.firstrow))),0,IF(OFFSET(PLE!$G$14,$M80,BD$13)="",10^12,OFFSET(PLE!$G$14,$M80,BD$13))))</f>
        <v>1000000000000</v>
      </c>
      <c r="BE80" s="179">
        <f ca="1">IF($D80&lt;&gt;"Serviço",0,IF(OR(AND(AUTOEVENTO="Manual",$M80=1),$M80&gt;(ROW(PLE.lastrow)-ROW(PLE.firstrow))),0,IF(OFFSET(PLE!$G$14,$M80,BE$13)="",10^12,OFFSET(PLE!$G$14,$M80,BE$13))))</f>
        <v>1000000000000</v>
      </c>
      <c r="BF80" s="179">
        <f ca="1">IF($D80&lt;&gt;"Serviço",0,IF(OR(AND(AUTOEVENTO="Manual",$M80=1),$M80&gt;(ROW(PLE.lastrow)-ROW(PLE.firstrow))),0,IF(OFFSET(PLE!$G$14,$M80,BF$13)="",10^12,OFFSET(PLE!$G$14,$M80,BF$13))))</f>
        <v>1000000000000</v>
      </c>
      <c r="BG80" s="179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38.25" x14ac:dyDescent="0.2">
      <c r="A81" s="7" t="str">
        <f t="shared" ca="1" si="8"/>
        <v>64</v>
      </c>
      <c r="B81" s="7" t="str">
        <f ca="1">OFFSET(ORÇAMENTO!C$15,ROW(B81)-ROW(B$15),0)</f>
        <v>S</v>
      </c>
      <c r="C81" s="7" t="str">
        <f ca="1">OFFSET(ORÇAMENTO!L$15,ROW(C81)-ROW(C$15),0)</f>
        <v/>
      </c>
      <c r="D81" s="115" t="str">
        <f ca="1">OFFSET(ORÇAMENTO!N$15,ROW(D81)-ROW(D$15),0)</f>
        <v>Serviço</v>
      </c>
      <c r="E81" s="116" t="str">
        <f ca="1">OFFSET(ORÇAMENTO!O$15,ROW(E81)-ROW(E$15),0)</f>
        <v>-</v>
      </c>
      <c r="F81" s="169" t="str">
        <f ca="1">OFFSET(ORÇAMENTO!R$15,ROW(F81)-ROW(F$15),0)</f>
        <v>(abra o arquivo 'Referência 10-2024.xlsm)</v>
      </c>
      <c r="G81" s="170" t="str">
        <f ca="1">IF($D81&lt;&gt;"Serviço","",OFFSET(ORÇAMENTO!S$15,ROW(G81)-ROW(G$15),0))</f>
        <v>-</v>
      </c>
      <c r="H81" s="121">
        <f ca="1">IF($D81&lt;&gt;"Serviço",0,IF(ACOMPANHAMENTO="BM",ROUND(OFFSET(ORÇAMENTO!AJ$15,ROW(H81)-ROW(H$15),0),15-13*ORÇAMENTO!$AF$7),SUMPRODUCT(($Q$12:$AA$12&lt;&gt;"")*ROUND($Q81:$AA81,15-13*ORÇAMENTO!$AF$7))))</f>
        <v>3</v>
      </c>
      <c r="I81" s="558" t="s">
        <v>561</v>
      </c>
      <c r="K81" s="171"/>
      <c r="L81" s="172" t="s">
        <v>255</v>
      </c>
      <c r="M81" s="173">
        <f ca="1">IF($D81&lt;&gt;"Serviço","",IF(AUTOEVENTO="manual",$A81,IF(ISERROR(MATCH($A81,$A$15:OFFSET($A81,-1,0),0)),MAX($M$15:OFFSET(M81,-1,0))+1,INDEX($M$15:OFFSET(M81,-1,0),MATCH($A81,$A$15:OFFSET($A81,-1,0),0)))))</f>
        <v>13</v>
      </c>
      <c r="N81" s="174" t="str">
        <f ca="1">IF($D81&lt;&gt;"Serviço","",IF(AUTOEVENTO="Manual",IF($A81=0,"&lt;-- defina o número do agrupador",OFFSET(EVENTOS!$D$14,$A81,0)),OFFSET($F$15,$A81,0)))</f>
        <v>LOUÇAS, METAIS E ACESSÓRIOS</v>
      </c>
      <c r="O81" s="175"/>
      <c r="Q81" s="175"/>
      <c r="R81" s="176"/>
      <c r="S81" s="176"/>
      <c r="T81" s="176"/>
      <c r="U81" s="176"/>
      <c r="V81" s="176"/>
      <c r="W81" s="176"/>
      <c r="X81" s="176"/>
      <c r="Y81" s="176"/>
      <c r="Z81" s="177"/>
      <c r="AB81" s="541">
        <f ca="1">IF(AND($D81="Serviço",AB$12&lt;&gt;0,$H81&gt;0,OR(AUTOEVENTO&lt;&gt;"manual",$M81&lt;&gt;1)),
IF(Import.TipoArredondamento&lt;&gt;"TransfereGOV",
ROUND(OFFSET($P81,0,AB$13),15-13*ORÇAMENTO!$AF$7)/$H81*OFFSET(ORÇAMENTO!$X$15,ROW(AB81)-ROW(AB$15),0),
ROUND(ROUND(OFFSET($P81,0,AB$13),15-13*ORÇAMENTO!$AF$7)*OFFSET(ORÇAMENTO!$W$15,ROW(AB81)-ROW(AB$15),0),15-13*ORÇAMENTO!$AF$11)),0)</f>
        <v>0</v>
      </c>
      <c r="AC81" s="542">
        <f ca="1">IF(AND($D81="Serviço",AC$12&lt;&gt;0,$H81&gt;0,OR(AUTOEVENTO&lt;&gt;"manual",$M81&lt;&gt;1)),
IF(Import.TipoArredondamento&lt;&gt;"TransfereGOV",
ROUND(OFFSET($P81,0,AC$13),15-13*ORÇAMENTO!$AF$7)/$H81*OFFSET(ORÇAMENTO!$X$15,ROW(AC81)-ROW(AC$15),0),
ROUND(ROUND(OFFSET($P81,0,AC$13),15-13*ORÇAMENTO!$AF$7)*OFFSET(ORÇAMENTO!$W$15,ROW(AC81)-ROW(AC$15),0),15-13*ORÇAMENTO!$AF$11)),0)</f>
        <v>0</v>
      </c>
      <c r="AD81" s="542">
        <f ca="1">IF(AND($D81="Serviço",AD$12&lt;&gt;0,$H81&gt;0,OR(AUTOEVENTO&lt;&gt;"manual",$M81&lt;&gt;1)),
IF(Import.TipoArredondamento&lt;&gt;"TransfereGOV",
ROUND(OFFSET($P81,0,AD$13),15-13*ORÇAMENTO!$AF$7)/$H81*OFFSET(ORÇAMENTO!$X$15,ROW(AD81)-ROW(AD$15),0),
ROUND(ROUND(OFFSET($P81,0,AD$13),15-13*ORÇAMENTO!$AF$7)*OFFSET(ORÇAMENTO!$W$15,ROW(AD81)-ROW(AD$15),0),15-13*ORÇAMENTO!$AF$11)),0)</f>
        <v>0</v>
      </c>
      <c r="AE81" s="542">
        <f ca="1">IF(AND($D81="Serviço",AE$12&lt;&gt;0,$H81&gt;0,OR(AUTOEVENTO&lt;&gt;"manual",$M81&lt;&gt;1)),
IF(Import.TipoArredondamento&lt;&gt;"TransfereGOV",
ROUND(OFFSET($P81,0,AE$13),15-13*ORÇAMENTO!$AF$7)/$H81*OFFSET(ORÇAMENTO!$X$15,ROW(AE81)-ROW(AE$15),0),
ROUND(ROUND(OFFSET($P81,0,AE$13),15-13*ORÇAMENTO!$AF$7)*OFFSET(ORÇAMENTO!$W$15,ROW(AE81)-ROW(AE$15),0),15-13*ORÇAMENTO!$AF$11)),0)</f>
        <v>0</v>
      </c>
      <c r="AF81" s="542">
        <f ca="1">IF(AND($D81="Serviço",AF$12&lt;&gt;0,$H81&gt;0,OR(AUTOEVENTO&lt;&gt;"manual",$M81&lt;&gt;1)),
IF(Import.TipoArredondamento&lt;&gt;"TransfereGOV",
ROUND(OFFSET($P81,0,AF$13),15-13*ORÇAMENTO!$AF$7)/$H81*OFFSET(ORÇAMENTO!$X$15,ROW(AF81)-ROW(AF$15),0),
ROUND(ROUND(OFFSET($P81,0,AF$13),15-13*ORÇAMENTO!$AF$7)*OFFSET(ORÇAMENTO!$W$15,ROW(AF81)-ROW(AF$15),0),15-13*ORÇAMENTO!$AF$11)),0)</f>
        <v>0</v>
      </c>
      <c r="AG81" s="542">
        <f ca="1">IF(AND($D81="Serviço",AG$12&lt;&gt;0,$H81&gt;0,OR(AUTOEVENTO&lt;&gt;"manual",$M81&lt;&gt;1)),
IF(Import.TipoArredondamento&lt;&gt;"TransfereGOV",
ROUND(OFFSET($P81,0,AG$13),15-13*ORÇAMENTO!$AF$7)/$H81*OFFSET(ORÇAMENTO!$X$15,ROW(AG81)-ROW(AG$15),0),
ROUND(ROUND(OFFSET($P81,0,AG$13),15-13*ORÇAMENTO!$AF$7)*OFFSET(ORÇAMENTO!$W$15,ROW(AG81)-ROW(AG$15),0),15-13*ORÇAMENTO!$AF$11)),0)</f>
        <v>0</v>
      </c>
      <c r="AH81" s="542">
        <f ca="1">IF(AND($D81="Serviço",AH$12&lt;&gt;0,$H81&gt;0,OR(AUTOEVENTO&lt;&gt;"manual",$M81&lt;&gt;1)),
IF(Import.TipoArredondamento&lt;&gt;"TransfereGOV",
ROUND(OFFSET($P81,0,AH$13),15-13*ORÇAMENTO!$AF$7)/$H81*OFFSET(ORÇAMENTO!$X$15,ROW(AH81)-ROW(AH$15),0),
ROUND(ROUND(OFFSET($P81,0,AH$13),15-13*ORÇAMENTO!$AF$7)*OFFSET(ORÇAMENTO!$W$15,ROW(AH81)-ROW(AH$15),0),15-13*ORÇAMENTO!$AF$11)),0)</f>
        <v>0</v>
      </c>
      <c r="AI81" s="542">
        <f ca="1">IF(AND($D81="Serviço",AI$12&lt;&gt;0,$H81&gt;0,OR(AUTOEVENTO&lt;&gt;"manual",$M81&lt;&gt;1)),
IF(Import.TipoArredondamento&lt;&gt;"TransfereGOV",
ROUND(OFFSET($P81,0,AI$13),15-13*ORÇAMENTO!$AF$7)/$H81*OFFSET(ORÇAMENTO!$X$15,ROW(AI81)-ROW(AI$15),0),
ROUND(ROUND(OFFSET($P81,0,AI$13),15-13*ORÇAMENTO!$AF$7)*OFFSET(ORÇAMENTO!$W$15,ROW(AI81)-ROW(AI$15),0),15-13*ORÇAMENTO!$AF$11)),0)</f>
        <v>0</v>
      </c>
      <c r="AJ81" s="542">
        <f ca="1">IF(AND($D81="Serviço",AJ$12&lt;&gt;0,$H81&gt;0,OR(AUTOEVENTO&lt;&gt;"manual",$M81&lt;&gt;1)),
IF(Import.TipoArredondamento&lt;&gt;"TransfereGOV",
ROUND(OFFSET($P81,0,AJ$13),15-13*ORÇAMENTO!$AF$7)/$H81*OFFSET(ORÇAMENTO!$X$15,ROW(AJ81)-ROW(AJ$15),0),
ROUND(ROUND(OFFSET($P81,0,AJ$13),15-13*ORÇAMENTO!$AF$7)*OFFSET(ORÇAMENTO!$W$15,ROW(AJ81)-ROW(AJ$15),0),15-13*ORÇAMENTO!$AF$11)),0)</f>
        <v>0</v>
      </c>
      <c r="AK81" s="543">
        <f ca="1">IF(AND($D81="Serviço",AK$12&lt;&gt;0,$H81&gt;0,OR(AUTOEVENTO&lt;&gt;"manual",$M81&lt;&gt;1)),
IF(Import.TipoArredondamento&lt;&gt;"TransfereGOV",
ROUND(OFFSET($P81,0,AK$13),15-13*ORÇAMENTO!$AF$7)/$H81*OFFSET(ORÇAMENTO!$X$15,ROW(AK81)-ROW(AK$15),0),
ROUND(ROUND(OFFSET($P81,0,AK$13),15-13*ORÇAMENTO!$AF$7)*OFFSET(ORÇAMENTO!$W$15,ROW(AK81)-ROW(AK$15),0),15-13*ORÇAMENTO!$AF$11)),0)</f>
        <v>0</v>
      </c>
      <c r="AM81" s="178">
        <f ca="1">IF($D81&lt;&gt;"Serviço",0,IF(AND(AUTOEVENTO="Manual",$M81=1),0,IF(OFFSET(CRONOPLE!$F$14,$M81,AM$13)="",10^12,OFFSET(CRONOPLE!$F$14,$M81,AM$13))))</f>
        <v>1000000000000</v>
      </c>
      <c r="AN81" s="178">
        <f ca="1">IF($D81&lt;&gt;"Serviço",0,IF(AND(AUTOEVENTO="Manual",$M81=1),0,IF(OFFSET(CRONOPLE!$F$14,$M81,AN$13)="",10^12,OFFSET(CRONOPLE!$F$14,$M81,AN$13))))</f>
        <v>1000000000000</v>
      </c>
      <c r="AO81" s="178">
        <f ca="1">IF($D81&lt;&gt;"Serviço",0,IF(AND(AUTOEVENTO="Manual",$M81=1),0,IF(OFFSET(CRONOPLE!$F$14,$M81,AO$13)="",10^12,OFFSET(CRONOPLE!$F$14,$M81,AO$13))))</f>
        <v>1000000000000</v>
      </c>
      <c r="AP81" s="178">
        <f ca="1">IF($D81&lt;&gt;"Serviço",0,IF(AND(AUTOEVENTO="Manual",$M81=1),0,IF(OFFSET(CRONOPLE!$F$14,$M81,AP$13)="",10^12,OFFSET(CRONOPLE!$F$14,$M81,AP$13))))</f>
        <v>1000000000000</v>
      </c>
      <c r="AQ81" s="178">
        <f ca="1">IF($D81&lt;&gt;"Serviço",0,IF(AND(AUTOEVENTO="Manual",$M81=1),0,IF(OFFSET(CRONOPLE!$F$14,$M81,AQ$13)="",10^12,OFFSET(CRONOPLE!$F$14,$M81,AQ$13))))</f>
        <v>1000000000000</v>
      </c>
      <c r="AR81" s="178">
        <f ca="1">IF($D81&lt;&gt;"Serviço",0,IF(AND(AUTOEVENTO="Manual",$M81=1),0,IF(OFFSET(CRONOPLE!$F$14,$M81,AR$13)="",10^12,OFFSET(CRONOPLE!$F$14,$M81,AR$13))))</f>
        <v>1000000000000</v>
      </c>
      <c r="AS81" s="178">
        <f ca="1">IF($D81&lt;&gt;"Serviço",0,IF(AND(AUTOEVENTO="Manual",$M81=1),0,IF(OFFSET(CRONOPLE!$F$14,$M81,AS$13)="",10^12,OFFSET(CRONOPLE!$F$14,$M81,AS$13))))</f>
        <v>1000000000000</v>
      </c>
      <c r="AT81" s="178">
        <f ca="1">IF($D81&lt;&gt;"Serviço",0,IF(AND(AUTOEVENTO="Manual",$M81=1),0,IF(OFFSET(CRONOPLE!$F$14,$M81,AT$13)="",10^12,OFFSET(CRONOPLE!$F$14,$M81,AT$13))))</f>
        <v>1000000000000</v>
      </c>
      <c r="AU81" s="178">
        <f ca="1">IF($D81&lt;&gt;"Serviço",0,IF(AND(AUTOEVENTO="Manual",$M81=1),0,IF(OFFSET(CRONOPLE!$F$14,$M81,AU$13)="",10^12,OFFSET(CRONOPLE!$F$14,$M81,AU$13))))</f>
        <v>1000000000000</v>
      </c>
      <c r="AV81" s="178">
        <f ca="1">IF($D81&lt;&gt;"Serviço",0,IF(AND(AUTOEVENTO="Manual",$M81=1),0,IF(OFFSET(CRONOPLE!$F$14,$M81,AV$13)="",10^12,OFFSET(CRONOPLE!$F$14,$M81,AV$13))))</f>
        <v>1000000000000</v>
      </c>
      <c r="AX81" s="179">
        <f ca="1">IF($D81&lt;&gt;"Serviço",0,IF(OR(AND(AUTOEVENTO="Manual",$M81=1),$M81&gt;(ROW(PLE.lastrow)-ROW(PLE.firstrow))),0,IF(OFFSET(PLE!$G$14,$M81,AX$13)="",10^12,OFFSET(PLE!$G$14,$M81,AX$13))))</f>
        <v>1000000000000</v>
      </c>
      <c r="AY81" s="179">
        <f ca="1">IF($D81&lt;&gt;"Serviço",0,IF(OR(AND(AUTOEVENTO="Manual",$M81=1),$M81&gt;(ROW(PLE.lastrow)-ROW(PLE.firstrow))),0,IF(OFFSET(PLE!$G$14,$M81,AY$13)="",10^12,OFFSET(PLE!$G$14,$M81,AY$13))))</f>
        <v>1000000000000</v>
      </c>
      <c r="AZ81" s="179">
        <f ca="1">IF($D81&lt;&gt;"Serviço",0,IF(OR(AND(AUTOEVENTO="Manual",$M81=1),$M81&gt;(ROW(PLE.lastrow)-ROW(PLE.firstrow))),0,IF(OFFSET(PLE!$G$14,$M81,AZ$13)="",10^12,OFFSET(PLE!$G$14,$M81,AZ$13))))</f>
        <v>1000000000000</v>
      </c>
      <c r="BA81" s="179">
        <f ca="1">IF($D81&lt;&gt;"Serviço",0,IF(OR(AND(AUTOEVENTO="Manual",$M81=1),$M81&gt;(ROW(PLE.lastrow)-ROW(PLE.firstrow))),0,IF(OFFSET(PLE!$G$14,$M81,BA$13)="",10^12,OFFSET(PLE!$G$14,$M81,BA$13))))</f>
        <v>1000000000000</v>
      </c>
      <c r="BB81" s="179">
        <f ca="1">IF($D81&lt;&gt;"Serviço",0,IF(OR(AND(AUTOEVENTO="Manual",$M81=1),$M81&gt;(ROW(PLE.lastrow)-ROW(PLE.firstrow))),0,IF(OFFSET(PLE!$G$14,$M81,BB$13)="",10^12,OFFSET(PLE!$G$14,$M81,BB$13))))</f>
        <v>1000000000000</v>
      </c>
      <c r="BC81" s="179">
        <f ca="1">IF($D81&lt;&gt;"Serviço",0,IF(OR(AND(AUTOEVENTO="Manual",$M81=1),$M81&gt;(ROW(PLE.lastrow)-ROW(PLE.firstrow))),0,IF(OFFSET(PLE!$G$14,$M81,BC$13)="",10^12,OFFSET(PLE!$G$14,$M81,BC$13))))</f>
        <v>1000000000000</v>
      </c>
      <c r="BD81" s="179">
        <f ca="1">IF($D81&lt;&gt;"Serviço",0,IF(OR(AND(AUTOEVENTO="Manual",$M81=1),$M81&gt;(ROW(PLE.lastrow)-ROW(PLE.firstrow))),0,IF(OFFSET(PLE!$G$14,$M81,BD$13)="",10^12,OFFSET(PLE!$G$14,$M81,BD$13))))</f>
        <v>1000000000000</v>
      </c>
      <c r="BE81" s="179">
        <f ca="1">IF($D81&lt;&gt;"Serviço",0,IF(OR(AND(AUTOEVENTO="Manual",$M81=1),$M81&gt;(ROW(PLE.lastrow)-ROW(PLE.firstrow))),0,IF(OFFSET(PLE!$G$14,$M81,BE$13)="",10^12,OFFSET(PLE!$G$14,$M81,BE$13))))</f>
        <v>1000000000000</v>
      </c>
      <c r="BF81" s="179">
        <f ca="1">IF($D81&lt;&gt;"Serviço",0,IF(OR(AND(AUTOEVENTO="Manual",$M81=1),$M81&gt;(ROW(PLE.lastrow)-ROW(PLE.firstrow))),0,IF(OFFSET(PLE!$G$14,$M81,BF$13)="",10^12,OFFSET(PLE!$G$14,$M81,BF$13))))</f>
        <v>1000000000000</v>
      </c>
      <c r="BG81" s="179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7" t="str">
        <f t="shared" ca="1" si="8"/>
        <v>64</v>
      </c>
      <c r="B82" s="7" t="str">
        <f ca="1">OFFSET(ORÇAMENTO!C$15,ROW(B82)-ROW(B$15),0)</f>
        <v>S</v>
      </c>
      <c r="C82" s="7" t="str">
        <f ca="1">OFFSET(ORÇAMENTO!L$15,ROW(C82)-ROW(C$15),0)</f>
        <v/>
      </c>
      <c r="D82" s="115" t="str">
        <f ca="1">OFFSET(ORÇAMENTO!N$15,ROW(D82)-ROW(D$15),0)</f>
        <v>Serviço</v>
      </c>
      <c r="E82" s="116" t="str">
        <f ca="1">OFFSET(ORÇAMENTO!O$15,ROW(E82)-ROW(E$15),0)</f>
        <v>-</v>
      </c>
      <c r="F82" s="169" t="str">
        <f ca="1">OFFSET(ORÇAMENTO!R$15,ROW(F82)-ROW(F$15),0)</f>
        <v>(abra o arquivo 'Referência 10-2024.xlsm)</v>
      </c>
      <c r="G82" s="170" t="str">
        <f ca="1">IF($D82&lt;&gt;"Serviço","",OFFSET(ORÇAMENTO!S$15,ROW(G82)-ROW(G$15),0))</f>
        <v>-</v>
      </c>
      <c r="H82" s="121">
        <f ca="1">IF($D82&lt;&gt;"Serviço",0,IF(ACOMPANHAMENTO="BM",ROUND(OFFSET(ORÇAMENTO!AJ$15,ROW(H82)-ROW(H$15),0),15-13*ORÇAMENTO!$AF$7),SUMPRODUCT(($Q$12:$AA$12&lt;&gt;"")*ROUND($Q82:$AA82,15-13*ORÇAMENTO!$AF$7))))</f>
        <v>4</v>
      </c>
      <c r="I82" s="558" t="s">
        <v>561</v>
      </c>
      <c r="K82" s="171"/>
      <c r="L82" s="172" t="s">
        <v>255</v>
      </c>
      <c r="M82" s="173">
        <f ca="1">IF($D82&lt;&gt;"Serviço","",IF(AUTOEVENTO="manual",$A82,IF(ISERROR(MATCH($A82,$A$15:OFFSET($A82,-1,0),0)),MAX($M$15:OFFSET(M82,-1,0))+1,INDEX($M$15:OFFSET(M82,-1,0),MATCH($A82,$A$15:OFFSET($A82,-1,0),0)))))</f>
        <v>13</v>
      </c>
      <c r="N82" s="174" t="str">
        <f ca="1">IF($D82&lt;&gt;"Serviço","",IF(AUTOEVENTO="Manual",IF($A82=0,"&lt;-- defina o número do agrupador",OFFSET(EVENTOS!$D$14,$A82,0)),OFFSET($F$15,$A82,0)))</f>
        <v>LOUÇAS, METAIS E ACESSÓRIOS</v>
      </c>
      <c r="O82" s="175"/>
      <c r="Q82" s="175"/>
      <c r="R82" s="176"/>
      <c r="S82" s="176"/>
      <c r="T82" s="176"/>
      <c r="U82" s="176"/>
      <c r="V82" s="176"/>
      <c r="W82" s="176"/>
      <c r="X82" s="176"/>
      <c r="Y82" s="176"/>
      <c r="Z82" s="177"/>
      <c r="AB82" s="541">
        <f ca="1">IF(AND($D82="Serviço",AB$12&lt;&gt;0,$H82&gt;0,OR(AUTOEVENTO&lt;&gt;"manual",$M82&lt;&gt;1)),
IF(Import.TipoArredondamento&lt;&gt;"TransfereGOV",
ROUND(OFFSET($P82,0,AB$13),15-13*ORÇAMENTO!$AF$7)/$H82*OFFSET(ORÇAMENTO!$X$15,ROW(AB82)-ROW(AB$15),0),
ROUND(ROUND(OFFSET($P82,0,AB$13),15-13*ORÇAMENTO!$AF$7)*OFFSET(ORÇAMENTO!$W$15,ROW(AB82)-ROW(AB$15),0),15-13*ORÇAMENTO!$AF$11)),0)</f>
        <v>0</v>
      </c>
      <c r="AC82" s="542">
        <f ca="1">IF(AND($D82="Serviço",AC$12&lt;&gt;0,$H82&gt;0,OR(AUTOEVENTO&lt;&gt;"manual",$M82&lt;&gt;1)),
IF(Import.TipoArredondamento&lt;&gt;"TransfereGOV",
ROUND(OFFSET($P82,0,AC$13),15-13*ORÇAMENTO!$AF$7)/$H82*OFFSET(ORÇAMENTO!$X$15,ROW(AC82)-ROW(AC$15),0),
ROUND(ROUND(OFFSET($P82,0,AC$13),15-13*ORÇAMENTO!$AF$7)*OFFSET(ORÇAMENTO!$W$15,ROW(AC82)-ROW(AC$15),0),15-13*ORÇAMENTO!$AF$11)),0)</f>
        <v>0</v>
      </c>
      <c r="AD82" s="542">
        <f ca="1">IF(AND($D82="Serviço",AD$12&lt;&gt;0,$H82&gt;0,OR(AUTOEVENTO&lt;&gt;"manual",$M82&lt;&gt;1)),
IF(Import.TipoArredondamento&lt;&gt;"TransfereGOV",
ROUND(OFFSET($P82,0,AD$13),15-13*ORÇAMENTO!$AF$7)/$H82*OFFSET(ORÇAMENTO!$X$15,ROW(AD82)-ROW(AD$15),0),
ROUND(ROUND(OFFSET($P82,0,AD$13),15-13*ORÇAMENTO!$AF$7)*OFFSET(ORÇAMENTO!$W$15,ROW(AD82)-ROW(AD$15),0),15-13*ORÇAMENTO!$AF$11)),0)</f>
        <v>0</v>
      </c>
      <c r="AE82" s="542">
        <f ca="1">IF(AND($D82="Serviço",AE$12&lt;&gt;0,$H82&gt;0,OR(AUTOEVENTO&lt;&gt;"manual",$M82&lt;&gt;1)),
IF(Import.TipoArredondamento&lt;&gt;"TransfereGOV",
ROUND(OFFSET($P82,0,AE$13),15-13*ORÇAMENTO!$AF$7)/$H82*OFFSET(ORÇAMENTO!$X$15,ROW(AE82)-ROW(AE$15),0),
ROUND(ROUND(OFFSET($P82,0,AE$13),15-13*ORÇAMENTO!$AF$7)*OFFSET(ORÇAMENTO!$W$15,ROW(AE82)-ROW(AE$15),0),15-13*ORÇAMENTO!$AF$11)),0)</f>
        <v>0</v>
      </c>
      <c r="AF82" s="542">
        <f ca="1">IF(AND($D82="Serviço",AF$12&lt;&gt;0,$H82&gt;0,OR(AUTOEVENTO&lt;&gt;"manual",$M82&lt;&gt;1)),
IF(Import.TipoArredondamento&lt;&gt;"TransfereGOV",
ROUND(OFFSET($P82,0,AF$13),15-13*ORÇAMENTO!$AF$7)/$H82*OFFSET(ORÇAMENTO!$X$15,ROW(AF82)-ROW(AF$15),0),
ROUND(ROUND(OFFSET($P82,0,AF$13),15-13*ORÇAMENTO!$AF$7)*OFFSET(ORÇAMENTO!$W$15,ROW(AF82)-ROW(AF$15),0),15-13*ORÇAMENTO!$AF$11)),0)</f>
        <v>0</v>
      </c>
      <c r="AG82" s="542">
        <f ca="1">IF(AND($D82="Serviço",AG$12&lt;&gt;0,$H82&gt;0,OR(AUTOEVENTO&lt;&gt;"manual",$M82&lt;&gt;1)),
IF(Import.TipoArredondamento&lt;&gt;"TransfereGOV",
ROUND(OFFSET($P82,0,AG$13),15-13*ORÇAMENTO!$AF$7)/$H82*OFFSET(ORÇAMENTO!$X$15,ROW(AG82)-ROW(AG$15),0),
ROUND(ROUND(OFFSET($P82,0,AG$13),15-13*ORÇAMENTO!$AF$7)*OFFSET(ORÇAMENTO!$W$15,ROW(AG82)-ROW(AG$15),0),15-13*ORÇAMENTO!$AF$11)),0)</f>
        <v>0</v>
      </c>
      <c r="AH82" s="542">
        <f ca="1">IF(AND($D82="Serviço",AH$12&lt;&gt;0,$H82&gt;0,OR(AUTOEVENTO&lt;&gt;"manual",$M82&lt;&gt;1)),
IF(Import.TipoArredondamento&lt;&gt;"TransfereGOV",
ROUND(OFFSET($P82,0,AH$13),15-13*ORÇAMENTO!$AF$7)/$H82*OFFSET(ORÇAMENTO!$X$15,ROW(AH82)-ROW(AH$15),0),
ROUND(ROUND(OFFSET($P82,0,AH$13),15-13*ORÇAMENTO!$AF$7)*OFFSET(ORÇAMENTO!$W$15,ROW(AH82)-ROW(AH$15),0),15-13*ORÇAMENTO!$AF$11)),0)</f>
        <v>0</v>
      </c>
      <c r="AI82" s="542">
        <f ca="1">IF(AND($D82="Serviço",AI$12&lt;&gt;0,$H82&gt;0,OR(AUTOEVENTO&lt;&gt;"manual",$M82&lt;&gt;1)),
IF(Import.TipoArredondamento&lt;&gt;"TransfereGOV",
ROUND(OFFSET($P82,0,AI$13),15-13*ORÇAMENTO!$AF$7)/$H82*OFFSET(ORÇAMENTO!$X$15,ROW(AI82)-ROW(AI$15),0),
ROUND(ROUND(OFFSET($P82,0,AI$13),15-13*ORÇAMENTO!$AF$7)*OFFSET(ORÇAMENTO!$W$15,ROW(AI82)-ROW(AI$15),0),15-13*ORÇAMENTO!$AF$11)),0)</f>
        <v>0</v>
      </c>
      <c r="AJ82" s="542">
        <f ca="1">IF(AND($D82="Serviço",AJ$12&lt;&gt;0,$H82&gt;0,OR(AUTOEVENTO&lt;&gt;"manual",$M82&lt;&gt;1)),
IF(Import.TipoArredondamento&lt;&gt;"TransfereGOV",
ROUND(OFFSET($P82,0,AJ$13),15-13*ORÇAMENTO!$AF$7)/$H82*OFFSET(ORÇAMENTO!$X$15,ROW(AJ82)-ROW(AJ$15),0),
ROUND(ROUND(OFFSET($P82,0,AJ$13),15-13*ORÇAMENTO!$AF$7)*OFFSET(ORÇAMENTO!$W$15,ROW(AJ82)-ROW(AJ$15),0),15-13*ORÇAMENTO!$AF$11)),0)</f>
        <v>0</v>
      </c>
      <c r="AK82" s="543">
        <f ca="1">IF(AND($D82="Serviço",AK$12&lt;&gt;0,$H82&gt;0,OR(AUTOEVENTO&lt;&gt;"manual",$M82&lt;&gt;1)),
IF(Import.TipoArredondamento&lt;&gt;"TransfereGOV",
ROUND(OFFSET($P82,0,AK$13),15-13*ORÇAMENTO!$AF$7)/$H82*OFFSET(ORÇAMENTO!$X$15,ROW(AK82)-ROW(AK$15),0),
ROUND(ROUND(OFFSET($P82,0,AK$13),15-13*ORÇAMENTO!$AF$7)*OFFSET(ORÇAMENTO!$W$15,ROW(AK82)-ROW(AK$15),0),15-13*ORÇAMENTO!$AF$11)),0)</f>
        <v>0</v>
      </c>
      <c r="AM82" s="178">
        <f ca="1">IF($D82&lt;&gt;"Serviço",0,IF(AND(AUTOEVENTO="Manual",$M82=1),0,IF(OFFSET(CRONOPLE!$F$14,$M82,AM$13)="",10^12,OFFSET(CRONOPLE!$F$14,$M82,AM$13))))</f>
        <v>1000000000000</v>
      </c>
      <c r="AN82" s="178">
        <f ca="1">IF($D82&lt;&gt;"Serviço",0,IF(AND(AUTOEVENTO="Manual",$M82=1),0,IF(OFFSET(CRONOPLE!$F$14,$M82,AN$13)="",10^12,OFFSET(CRONOPLE!$F$14,$M82,AN$13))))</f>
        <v>1000000000000</v>
      </c>
      <c r="AO82" s="178">
        <f ca="1">IF($D82&lt;&gt;"Serviço",0,IF(AND(AUTOEVENTO="Manual",$M82=1),0,IF(OFFSET(CRONOPLE!$F$14,$M82,AO$13)="",10^12,OFFSET(CRONOPLE!$F$14,$M82,AO$13))))</f>
        <v>1000000000000</v>
      </c>
      <c r="AP82" s="178">
        <f ca="1">IF($D82&lt;&gt;"Serviço",0,IF(AND(AUTOEVENTO="Manual",$M82=1),0,IF(OFFSET(CRONOPLE!$F$14,$M82,AP$13)="",10^12,OFFSET(CRONOPLE!$F$14,$M82,AP$13))))</f>
        <v>1000000000000</v>
      </c>
      <c r="AQ82" s="178">
        <f ca="1">IF($D82&lt;&gt;"Serviço",0,IF(AND(AUTOEVENTO="Manual",$M82=1),0,IF(OFFSET(CRONOPLE!$F$14,$M82,AQ$13)="",10^12,OFFSET(CRONOPLE!$F$14,$M82,AQ$13))))</f>
        <v>1000000000000</v>
      </c>
      <c r="AR82" s="178">
        <f ca="1">IF($D82&lt;&gt;"Serviço",0,IF(AND(AUTOEVENTO="Manual",$M82=1),0,IF(OFFSET(CRONOPLE!$F$14,$M82,AR$13)="",10^12,OFFSET(CRONOPLE!$F$14,$M82,AR$13))))</f>
        <v>1000000000000</v>
      </c>
      <c r="AS82" s="178">
        <f ca="1">IF($D82&lt;&gt;"Serviço",0,IF(AND(AUTOEVENTO="Manual",$M82=1),0,IF(OFFSET(CRONOPLE!$F$14,$M82,AS$13)="",10^12,OFFSET(CRONOPLE!$F$14,$M82,AS$13))))</f>
        <v>1000000000000</v>
      </c>
      <c r="AT82" s="178">
        <f ca="1">IF($D82&lt;&gt;"Serviço",0,IF(AND(AUTOEVENTO="Manual",$M82=1),0,IF(OFFSET(CRONOPLE!$F$14,$M82,AT$13)="",10^12,OFFSET(CRONOPLE!$F$14,$M82,AT$13))))</f>
        <v>1000000000000</v>
      </c>
      <c r="AU82" s="178">
        <f ca="1">IF($D82&lt;&gt;"Serviço",0,IF(AND(AUTOEVENTO="Manual",$M82=1),0,IF(OFFSET(CRONOPLE!$F$14,$M82,AU$13)="",10^12,OFFSET(CRONOPLE!$F$14,$M82,AU$13))))</f>
        <v>1000000000000</v>
      </c>
      <c r="AV82" s="178">
        <f ca="1">IF($D82&lt;&gt;"Serviço",0,IF(AND(AUTOEVENTO="Manual",$M82=1),0,IF(OFFSET(CRONOPLE!$F$14,$M82,AV$13)="",10^12,OFFSET(CRONOPLE!$F$14,$M82,AV$13))))</f>
        <v>1000000000000</v>
      </c>
      <c r="AX82" s="179">
        <f ca="1">IF($D82&lt;&gt;"Serviço",0,IF(OR(AND(AUTOEVENTO="Manual",$M82=1),$M82&gt;(ROW(PLE.lastrow)-ROW(PLE.firstrow))),0,IF(OFFSET(PLE!$G$14,$M82,AX$13)="",10^12,OFFSET(PLE!$G$14,$M82,AX$13))))</f>
        <v>1000000000000</v>
      </c>
      <c r="AY82" s="179">
        <f ca="1">IF($D82&lt;&gt;"Serviço",0,IF(OR(AND(AUTOEVENTO="Manual",$M82=1),$M82&gt;(ROW(PLE.lastrow)-ROW(PLE.firstrow))),0,IF(OFFSET(PLE!$G$14,$M82,AY$13)="",10^12,OFFSET(PLE!$G$14,$M82,AY$13))))</f>
        <v>1000000000000</v>
      </c>
      <c r="AZ82" s="179">
        <f ca="1">IF($D82&lt;&gt;"Serviço",0,IF(OR(AND(AUTOEVENTO="Manual",$M82=1),$M82&gt;(ROW(PLE.lastrow)-ROW(PLE.firstrow))),0,IF(OFFSET(PLE!$G$14,$M82,AZ$13)="",10^12,OFFSET(PLE!$G$14,$M82,AZ$13))))</f>
        <v>1000000000000</v>
      </c>
      <c r="BA82" s="179">
        <f ca="1">IF($D82&lt;&gt;"Serviço",0,IF(OR(AND(AUTOEVENTO="Manual",$M82=1),$M82&gt;(ROW(PLE.lastrow)-ROW(PLE.firstrow))),0,IF(OFFSET(PLE!$G$14,$M82,BA$13)="",10^12,OFFSET(PLE!$G$14,$M82,BA$13))))</f>
        <v>1000000000000</v>
      </c>
      <c r="BB82" s="179">
        <f ca="1">IF($D82&lt;&gt;"Serviço",0,IF(OR(AND(AUTOEVENTO="Manual",$M82=1),$M82&gt;(ROW(PLE.lastrow)-ROW(PLE.firstrow))),0,IF(OFFSET(PLE!$G$14,$M82,BB$13)="",10^12,OFFSET(PLE!$G$14,$M82,BB$13))))</f>
        <v>1000000000000</v>
      </c>
      <c r="BC82" s="179">
        <f ca="1">IF($D82&lt;&gt;"Serviço",0,IF(OR(AND(AUTOEVENTO="Manual",$M82=1),$M82&gt;(ROW(PLE.lastrow)-ROW(PLE.firstrow))),0,IF(OFFSET(PLE!$G$14,$M82,BC$13)="",10^12,OFFSET(PLE!$G$14,$M82,BC$13))))</f>
        <v>1000000000000</v>
      </c>
      <c r="BD82" s="179">
        <f ca="1">IF($D82&lt;&gt;"Serviço",0,IF(OR(AND(AUTOEVENTO="Manual",$M82=1),$M82&gt;(ROW(PLE.lastrow)-ROW(PLE.firstrow))),0,IF(OFFSET(PLE!$G$14,$M82,BD$13)="",10^12,OFFSET(PLE!$G$14,$M82,BD$13))))</f>
        <v>1000000000000</v>
      </c>
      <c r="BE82" s="179">
        <f ca="1">IF($D82&lt;&gt;"Serviço",0,IF(OR(AND(AUTOEVENTO="Manual",$M82=1),$M82&gt;(ROW(PLE.lastrow)-ROW(PLE.firstrow))),0,IF(OFFSET(PLE!$G$14,$M82,BE$13)="",10^12,OFFSET(PLE!$G$14,$M82,BE$13))))</f>
        <v>1000000000000</v>
      </c>
      <c r="BF82" s="179">
        <f ca="1">IF($D82&lt;&gt;"Serviço",0,IF(OR(AND(AUTOEVENTO="Manual",$M82=1),$M82&gt;(ROW(PLE.lastrow)-ROW(PLE.firstrow))),0,IF(OFFSET(PLE!$G$14,$M82,BF$13)="",10^12,OFFSET(PLE!$G$14,$M82,BF$13))))</f>
        <v>1000000000000</v>
      </c>
      <c r="BG82" s="179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63.75" x14ac:dyDescent="0.2">
      <c r="A83" s="7" t="str">
        <f t="shared" ca="1" si="8"/>
        <v>64</v>
      </c>
      <c r="B83" s="7" t="str">
        <f ca="1">OFFSET(ORÇAMENTO!C$15,ROW(B83)-ROW(B$15),0)</f>
        <v>S</v>
      </c>
      <c r="C83" s="7" t="str">
        <f ca="1">OFFSET(ORÇAMENTO!L$15,ROW(C83)-ROW(C$15),0)</f>
        <v/>
      </c>
      <c r="D83" s="115" t="str">
        <f ca="1">OFFSET(ORÇAMENTO!N$15,ROW(D83)-ROW(D$15),0)</f>
        <v>Serviço</v>
      </c>
      <c r="E83" s="116" t="str">
        <f ca="1">OFFSET(ORÇAMENTO!O$15,ROW(E83)-ROW(E$15),0)</f>
        <v>-</v>
      </c>
      <c r="F83" s="169" t="str">
        <f ca="1">OFFSET(ORÇAMENTO!R$15,ROW(F83)-ROW(F$15),0)</f>
        <v>(abra o arquivo 'Referência 10-2024.xlsm)</v>
      </c>
      <c r="G83" s="170" t="str">
        <f ca="1">IF($D83&lt;&gt;"Serviço","",OFFSET(ORÇAMENTO!S$15,ROW(G83)-ROW(G$15),0))</f>
        <v>-</v>
      </c>
      <c r="H83" s="121">
        <f ca="1">IF($D83&lt;&gt;"Serviço",0,IF(ACOMPANHAMENTO="BM",ROUND(OFFSET(ORÇAMENTO!AJ$15,ROW(H83)-ROW(H$15),0),15-13*ORÇAMENTO!$AF$7),SUMPRODUCT(($Q$12:$AA$12&lt;&gt;"")*ROUND($Q83:$AA83,15-13*ORÇAMENTO!$AF$7))))</f>
        <v>1</v>
      </c>
      <c r="I83" s="558" t="s">
        <v>561</v>
      </c>
      <c r="K83" s="171"/>
      <c r="L83" s="172" t="s">
        <v>255</v>
      </c>
      <c r="M83" s="173">
        <f ca="1">IF($D83&lt;&gt;"Serviço","",IF(AUTOEVENTO="manual",$A83,IF(ISERROR(MATCH($A83,$A$15:OFFSET($A83,-1,0),0)),MAX($M$15:OFFSET(M83,-1,0))+1,INDEX($M$15:OFFSET(M83,-1,0),MATCH($A83,$A$15:OFFSET($A83,-1,0),0)))))</f>
        <v>13</v>
      </c>
      <c r="N83" s="174" t="str">
        <f ca="1">IF($D83&lt;&gt;"Serviço","",IF(AUTOEVENTO="Manual",IF($A83=0,"&lt;-- defina o número do agrupador",OFFSET(EVENTOS!$D$14,$A83,0)),OFFSET($F$15,$A83,0)))</f>
        <v>LOUÇAS, METAIS E ACESSÓRIOS</v>
      </c>
      <c r="O83" s="175"/>
      <c r="Q83" s="175"/>
      <c r="R83" s="176"/>
      <c r="S83" s="176"/>
      <c r="T83" s="176"/>
      <c r="U83" s="176"/>
      <c r="V83" s="176"/>
      <c r="W83" s="176"/>
      <c r="X83" s="176"/>
      <c r="Y83" s="176"/>
      <c r="Z83" s="177"/>
      <c r="AB83" s="541">
        <f ca="1">IF(AND($D83="Serviço",AB$12&lt;&gt;0,$H83&gt;0,OR(AUTOEVENTO&lt;&gt;"manual",$M83&lt;&gt;1)),
IF(Import.TipoArredondamento&lt;&gt;"TransfereGOV",
ROUND(OFFSET($P83,0,AB$13),15-13*ORÇAMENTO!$AF$7)/$H83*OFFSET(ORÇAMENTO!$X$15,ROW(AB83)-ROW(AB$15),0),
ROUND(ROUND(OFFSET($P83,0,AB$13),15-13*ORÇAMENTO!$AF$7)*OFFSET(ORÇAMENTO!$W$15,ROW(AB83)-ROW(AB$15),0),15-13*ORÇAMENTO!$AF$11)),0)</f>
        <v>0</v>
      </c>
      <c r="AC83" s="542">
        <f ca="1">IF(AND($D83="Serviço",AC$12&lt;&gt;0,$H83&gt;0,OR(AUTOEVENTO&lt;&gt;"manual",$M83&lt;&gt;1)),
IF(Import.TipoArredondamento&lt;&gt;"TransfereGOV",
ROUND(OFFSET($P83,0,AC$13),15-13*ORÇAMENTO!$AF$7)/$H83*OFFSET(ORÇAMENTO!$X$15,ROW(AC83)-ROW(AC$15),0),
ROUND(ROUND(OFFSET($P83,0,AC$13),15-13*ORÇAMENTO!$AF$7)*OFFSET(ORÇAMENTO!$W$15,ROW(AC83)-ROW(AC$15),0),15-13*ORÇAMENTO!$AF$11)),0)</f>
        <v>0</v>
      </c>
      <c r="AD83" s="542">
        <f ca="1">IF(AND($D83="Serviço",AD$12&lt;&gt;0,$H83&gt;0,OR(AUTOEVENTO&lt;&gt;"manual",$M83&lt;&gt;1)),
IF(Import.TipoArredondamento&lt;&gt;"TransfereGOV",
ROUND(OFFSET($P83,0,AD$13),15-13*ORÇAMENTO!$AF$7)/$H83*OFFSET(ORÇAMENTO!$X$15,ROW(AD83)-ROW(AD$15),0),
ROUND(ROUND(OFFSET($P83,0,AD$13),15-13*ORÇAMENTO!$AF$7)*OFFSET(ORÇAMENTO!$W$15,ROW(AD83)-ROW(AD$15),0),15-13*ORÇAMENTO!$AF$11)),0)</f>
        <v>0</v>
      </c>
      <c r="AE83" s="542">
        <f ca="1">IF(AND($D83="Serviço",AE$12&lt;&gt;0,$H83&gt;0,OR(AUTOEVENTO&lt;&gt;"manual",$M83&lt;&gt;1)),
IF(Import.TipoArredondamento&lt;&gt;"TransfereGOV",
ROUND(OFFSET($P83,0,AE$13),15-13*ORÇAMENTO!$AF$7)/$H83*OFFSET(ORÇAMENTO!$X$15,ROW(AE83)-ROW(AE$15),0),
ROUND(ROUND(OFFSET($P83,0,AE$13),15-13*ORÇAMENTO!$AF$7)*OFFSET(ORÇAMENTO!$W$15,ROW(AE83)-ROW(AE$15),0),15-13*ORÇAMENTO!$AF$11)),0)</f>
        <v>0</v>
      </c>
      <c r="AF83" s="542">
        <f ca="1">IF(AND($D83="Serviço",AF$12&lt;&gt;0,$H83&gt;0,OR(AUTOEVENTO&lt;&gt;"manual",$M83&lt;&gt;1)),
IF(Import.TipoArredondamento&lt;&gt;"TransfereGOV",
ROUND(OFFSET($P83,0,AF$13),15-13*ORÇAMENTO!$AF$7)/$H83*OFFSET(ORÇAMENTO!$X$15,ROW(AF83)-ROW(AF$15),0),
ROUND(ROUND(OFFSET($P83,0,AF$13),15-13*ORÇAMENTO!$AF$7)*OFFSET(ORÇAMENTO!$W$15,ROW(AF83)-ROW(AF$15),0),15-13*ORÇAMENTO!$AF$11)),0)</f>
        <v>0</v>
      </c>
      <c r="AG83" s="542">
        <f ca="1">IF(AND($D83="Serviço",AG$12&lt;&gt;0,$H83&gt;0,OR(AUTOEVENTO&lt;&gt;"manual",$M83&lt;&gt;1)),
IF(Import.TipoArredondamento&lt;&gt;"TransfereGOV",
ROUND(OFFSET($P83,0,AG$13),15-13*ORÇAMENTO!$AF$7)/$H83*OFFSET(ORÇAMENTO!$X$15,ROW(AG83)-ROW(AG$15),0),
ROUND(ROUND(OFFSET($P83,0,AG$13),15-13*ORÇAMENTO!$AF$7)*OFFSET(ORÇAMENTO!$W$15,ROW(AG83)-ROW(AG$15),0),15-13*ORÇAMENTO!$AF$11)),0)</f>
        <v>0</v>
      </c>
      <c r="AH83" s="542">
        <f ca="1">IF(AND($D83="Serviço",AH$12&lt;&gt;0,$H83&gt;0,OR(AUTOEVENTO&lt;&gt;"manual",$M83&lt;&gt;1)),
IF(Import.TipoArredondamento&lt;&gt;"TransfereGOV",
ROUND(OFFSET($P83,0,AH$13),15-13*ORÇAMENTO!$AF$7)/$H83*OFFSET(ORÇAMENTO!$X$15,ROW(AH83)-ROW(AH$15),0),
ROUND(ROUND(OFFSET($P83,0,AH$13),15-13*ORÇAMENTO!$AF$7)*OFFSET(ORÇAMENTO!$W$15,ROW(AH83)-ROW(AH$15),0),15-13*ORÇAMENTO!$AF$11)),0)</f>
        <v>0</v>
      </c>
      <c r="AI83" s="542">
        <f ca="1">IF(AND($D83="Serviço",AI$12&lt;&gt;0,$H83&gt;0,OR(AUTOEVENTO&lt;&gt;"manual",$M83&lt;&gt;1)),
IF(Import.TipoArredondamento&lt;&gt;"TransfereGOV",
ROUND(OFFSET($P83,0,AI$13),15-13*ORÇAMENTO!$AF$7)/$H83*OFFSET(ORÇAMENTO!$X$15,ROW(AI83)-ROW(AI$15),0),
ROUND(ROUND(OFFSET($P83,0,AI$13),15-13*ORÇAMENTO!$AF$7)*OFFSET(ORÇAMENTO!$W$15,ROW(AI83)-ROW(AI$15),0),15-13*ORÇAMENTO!$AF$11)),0)</f>
        <v>0</v>
      </c>
      <c r="AJ83" s="542">
        <f ca="1">IF(AND($D83="Serviço",AJ$12&lt;&gt;0,$H83&gt;0,OR(AUTOEVENTO&lt;&gt;"manual",$M83&lt;&gt;1)),
IF(Import.TipoArredondamento&lt;&gt;"TransfereGOV",
ROUND(OFFSET($P83,0,AJ$13),15-13*ORÇAMENTO!$AF$7)/$H83*OFFSET(ORÇAMENTO!$X$15,ROW(AJ83)-ROW(AJ$15),0),
ROUND(ROUND(OFFSET($P83,0,AJ$13),15-13*ORÇAMENTO!$AF$7)*OFFSET(ORÇAMENTO!$W$15,ROW(AJ83)-ROW(AJ$15),0),15-13*ORÇAMENTO!$AF$11)),0)</f>
        <v>0</v>
      </c>
      <c r="AK83" s="543">
        <f ca="1">IF(AND($D83="Serviço",AK$12&lt;&gt;0,$H83&gt;0,OR(AUTOEVENTO&lt;&gt;"manual",$M83&lt;&gt;1)),
IF(Import.TipoArredondamento&lt;&gt;"TransfereGOV",
ROUND(OFFSET($P83,0,AK$13),15-13*ORÇAMENTO!$AF$7)/$H83*OFFSET(ORÇAMENTO!$X$15,ROW(AK83)-ROW(AK$15),0),
ROUND(ROUND(OFFSET($P83,0,AK$13),15-13*ORÇAMENTO!$AF$7)*OFFSET(ORÇAMENTO!$W$15,ROW(AK83)-ROW(AK$15),0),15-13*ORÇAMENTO!$AF$11)),0)</f>
        <v>0</v>
      </c>
      <c r="AM83" s="178">
        <f ca="1">IF($D83&lt;&gt;"Serviço",0,IF(AND(AUTOEVENTO="Manual",$M83=1),0,IF(OFFSET(CRONOPLE!$F$14,$M83,AM$13)="",10^12,OFFSET(CRONOPLE!$F$14,$M83,AM$13))))</f>
        <v>1000000000000</v>
      </c>
      <c r="AN83" s="178">
        <f ca="1">IF($D83&lt;&gt;"Serviço",0,IF(AND(AUTOEVENTO="Manual",$M83=1),0,IF(OFFSET(CRONOPLE!$F$14,$M83,AN$13)="",10^12,OFFSET(CRONOPLE!$F$14,$M83,AN$13))))</f>
        <v>1000000000000</v>
      </c>
      <c r="AO83" s="178">
        <f ca="1">IF($D83&lt;&gt;"Serviço",0,IF(AND(AUTOEVENTO="Manual",$M83=1),0,IF(OFFSET(CRONOPLE!$F$14,$M83,AO$13)="",10^12,OFFSET(CRONOPLE!$F$14,$M83,AO$13))))</f>
        <v>1000000000000</v>
      </c>
      <c r="AP83" s="178">
        <f ca="1">IF($D83&lt;&gt;"Serviço",0,IF(AND(AUTOEVENTO="Manual",$M83=1),0,IF(OFFSET(CRONOPLE!$F$14,$M83,AP$13)="",10^12,OFFSET(CRONOPLE!$F$14,$M83,AP$13))))</f>
        <v>1000000000000</v>
      </c>
      <c r="AQ83" s="178">
        <f ca="1">IF($D83&lt;&gt;"Serviço",0,IF(AND(AUTOEVENTO="Manual",$M83=1),0,IF(OFFSET(CRONOPLE!$F$14,$M83,AQ$13)="",10^12,OFFSET(CRONOPLE!$F$14,$M83,AQ$13))))</f>
        <v>1000000000000</v>
      </c>
      <c r="AR83" s="178">
        <f ca="1">IF($D83&lt;&gt;"Serviço",0,IF(AND(AUTOEVENTO="Manual",$M83=1),0,IF(OFFSET(CRONOPLE!$F$14,$M83,AR$13)="",10^12,OFFSET(CRONOPLE!$F$14,$M83,AR$13))))</f>
        <v>1000000000000</v>
      </c>
      <c r="AS83" s="178">
        <f ca="1">IF($D83&lt;&gt;"Serviço",0,IF(AND(AUTOEVENTO="Manual",$M83=1),0,IF(OFFSET(CRONOPLE!$F$14,$M83,AS$13)="",10^12,OFFSET(CRONOPLE!$F$14,$M83,AS$13))))</f>
        <v>1000000000000</v>
      </c>
      <c r="AT83" s="178">
        <f ca="1">IF($D83&lt;&gt;"Serviço",0,IF(AND(AUTOEVENTO="Manual",$M83=1),0,IF(OFFSET(CRONOPLE!$F$14,$M83,AT$13)="",10^12,OFFSET(CRONOPLE!$F$14,$M83,AT$13))))</f>
        <v>1000000000000</v>
      </c>
      <c r="AU83" s="178">
        <f ca="1">IF($D83&lt;&gt;"Serviço",0,IF(AND(AUTOEVENTO="Manual",$M83=1),0,IF(OFFSET(CRONOPLE!$F$14,$M83,AU$13)="",10^12,OFFSET(CRONOPLE!$F$14,$M83,AU$13))))</f>
        <v>1000000000000</v>
      </c>
      <c r="AV83" s="178">
        <f ca="1">IF($D83&lt;&gt;"Serviço",0,IF(AND(AUTOEVENTO="Manual",$M83=1),0,IF(OFFSET(CRONOPLE!$F$14,$M83,AV$13)="",10^12,OFFSET(CRONOPLE!$F$14,$M83,AV$13))))</f>
        <v>1000000000000</v>
      </c>
      <c r="AX83" s="179">
        <f ca="1">IF($D83&lt;&gt;"Serviço",0,IF(OR(AND(AUTOEVENTO="Manual",$M83=1),$M83&gt;(ROW(PLE.lastrow)-ROW(PLE.firstrow))),0,IF(OFFSET(PLE!$G$14,$M83,AX$13)="",10^12,OFFSET(PLE!$G$14,$M83,AX$13))))</f>
        <v>1000000000000</v>
      </c>
      <c r="AY83" s="179">
        <f ca="1">IF($D83&lt;&gt;"Serviço",0,IF(OR(AND(AUTOEVENTO="Manual",$M83=1),$M83&gt;(ROW(PLE.lastrow)-ROW(PLE.firstrow))),0,IF(OFFSET(PLE!$G$14,$M83,AY$13)="",10^12,OFFSET(PLE!$G$14,$M83,AY$13))))</f>
        <v>1000000000000</v>
      </c>
      <c r="AZ83" s="179">
        <f ca="1">IF($D83&lt;&gt;"Serviço",0,IF(OR(AND(AUTOEVENTO="Manual",$M83=1),$M83&gt;(ROW(PLE.lastrow)-ROW(PLE.firstrow))),0,IF(OFFSET(PLE!$G$14,$M83,AZ$13)="",10^12,OFFSET(PLE!$G$14,$M83,AZ$13))))</f>
        <v>1000000000000</v>
      </c>
      <c r="BA83" s="179">
        <f ca="1">IF($D83&lt;&gt;"Serviço",0,IF(OR(AND(AUTOEVENTO="Manual",$M83=1),$M83&gt;(ROW(PLE.lastrow)-ROW(PLE.firstrow))),0,IF(OFFSET(PLE!$G$14,$M83,BA$13)="",10^12,OFFSET(PLE!$G$14,$M83,BA$13))))</f>
        <v>1000000000000</v>
      </c>
      <c r="BB83" s="179">
        <f ca="1">IF($D83&lt;&gt;"Serviço",0,IF(OR(AND(AUTOEVENTO="Manual",$M83=1),$M83&gt;(ROW(PLE.lastrow)-ROW(PLE.firstrow))),0,IF(OFFSET(PLE!$G$14,$M83,BB$13)="",10^12,OFFSET(PLE!$G$14,$M83,BB$13))))</f>
        <v>1000000000000</v>
      </c>
      <c r="BC83" s="179">
        <f ca="1">IF($D83&lt;&gt;"Serviço",0,IF(OR(AND(AUTOEVENTO="Manual",$M83=1),$M83&gt;(ROW(PLE.lastrow)-ROW(PLE.firstrow))),0,IF(OFFSET(PLE!$G$14,$M83,BC$13)="",10^12,OFFSET(PLE!$G$14,$M83,BC$13))))</f>
        <v>1000000000000</v>
      </c>
      <c r="BD83" s="179">
        <f ca="1">IF($D83&lt;&gt;"Serviço",0,IF(OR(AND(AUTOEVENTO="Manual",$M83=1),$M83&gt;(ROW(PLE.lastrow)-ROW(PLE.firstrow))),0,IF(OFFSET(PLE!$G$14,$M83,BD$13)="",10^12,OFFSET(PLE!$G$14,$M83,BD$13))))</f>
        <v>1000000000000</v>
      </c>
      <c r="BE83" s="179">
        <f ca="1">IF($D83&lt;&gt;"Serviço",0,IF(OR(AND(AUTOEVENTO="Manual",$M83=1),$M83&gt;(ROW(PLE.lastrow)-ROW(PLE.firstrow))),0,IF(OFFSET(PLE!$G$14,$M83,BE$13)="",10^12,OFFSET(PLE!$G$14,$M83,BE$13))))</f>
        <v>1000000000000</v>
      </c>
      <c r="BF83" s="179">
        <f ca="1">IF($D83&lt;&gt;"Serviço",0,IF(OR(AND(AUTOEVENTO="Manual",$M83=1),$M83&gt;(ROW(PLE.lastrow)-ROW(PLE.firstrow))),0,IF(OFFSET(PLE!$G$14,$M83,BF$13)="",10^12,OFFSET(PLE!$G$14,$M83,BF$13))))</f>
        <v>1000000000000</v>
      </c>
      <c r="BG83" s="179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7" t="str">
        <f t="shared" ca="1" si="8"/>
        <v>64</v>
      </c>
      <c r="B84" s="7" t="str">
        <f ca="1">OFFSET(ORÇAMENTO!C$15,ROW(B84)-ROW(B$15),0)</f>
        <v>S</v>
      </c>
      <c r="C84" s="7" t="str">
        <f ca="1">OFFSET(ORÇAMENTO!L$15,ROW(C84)-ROW(C$15),0)</f>
        <v/>
      </c>
      <c r="D84" s="115" t="str">
        <f ca="1">OFFSET(ORÇAMENTO!N$15,ROW(D84)-ROW(D$15),0)</f>
        <v>Serviço</v>
      </c>
      <c r="E84" s="116" t="str">
        <f ca="1">OFFSET(ORÇAMENTO!O$15,ROW(E84)-ROW(E$15),0)</f>
        <v>-</v>
      </c>
      <c r="F84" s="169" t="str">
        <f ca="1">OFFSET(ORÇAMENTO!R$15,ROW(F84)-ROW(F$15),0)</f>
        <v>(abra o arquivo 'Referência 10-2024.xlsm)</v>
      </c>
      <c r="G84" s="170" t="str">
        <f ca="1">IF($D84&lt;&gt;"Serviço","",OFFSET(ORÇAMENTO!S$15,ROW(G84)-ROW(G$15),0))</f>
        <v>-</v>
      </c>
      <c r="H84" s="121">
        <f ca="1">IF($D84&lt;&gt;"Serviço",0,IF(ACOMPANHAMENTO="BM",ROUND(OFFSET(ORÇAMENTO!AJ$15,ROW(H84)-ROW(H$15),0),15-13*ORÇAMENTO!$AF$7),SUMPRODUCT(($Q$12:$AA$12&lt;&gt;"")*ROUND($Q84:$AA84,15-13*ORÇAMENTO!$AF$7))))</f>
        <v>3</v>
      </c>
      <c r="I84" s="558" t="s">
        <v>561</v>
      </c>
      <c r="K84" s="171"/>
      <c r="L84" s="172" t="s">
        <v>255</v>
      </c>
      <c r="M84" s="173">
        <f ca="1">IF($D84&lt;&gt;"Serviço","",IF(AUTOEVENTO="manual",$A84,IF(ISERROR(MATCH($A84,$A$15:OFFSET($A84,-1,0),0)),MAX($M$15:OFFSET(M84,-1,0))+1,INDEX($M$15:OFFSET(M84,-1,0),MATCH($A84,$A$15:OFFSET($A84,-1,0),0)))))</f>
        <v>13</v>
      </c>
      <c r="N84" s="174" t="str">
        <f ca="1">IF($D84&lt;&gt;"Serviço","",IF(AUTOEVENTO="Manual",IF($A84=0,"&lt;-- defina o número do agrupador",OFFSET(EVENTOS!$D$14,$A84,0)),OFFSET($F$15,$A84,0)))</f>
        <v>LOUÇAS, METAIS E ACESSÓRIOS</v>
      </c>
      <c r="O84" s="175"/>
      <c r="Q84" s="175"/>
      <c r="R84" s="176"/>
      <c r="S84" s="176"/>
      <c r="T84" s="176"/>
      <c r="U84" s="176"/>
      <c r="V84" s="176"/>
      <c r="W84" s="176"/>
      <c r="X84" s="176"/>
      <c r="Y84" s="176"/>
      <c r="Z84" s="177"/>
      <c r="AB84" s="541">
        <f ca="1">IF(AND($D84="Serviço",AB$12&lt;&gt;0,$H84&gt;0,OR(AUTOEVENTO&lt;&gt;"manual",$M84&lt;&gt;1)),
IF(Import.TipoArredondamento&lt;&gt;"TransfereGOV",
ROUND(OFFSET($P84,0,AB$13),15-13*ORÇAMENTO!$AF$7)/$H84*OFFSET(ORÇAMENTO!$X$15,ROW(AB84)-ROW(AB$15),0),
ROUND(ROUND(OFFSET($P84,0,AB$13),15-13*ORÇAMENTO!$AF$7)*OFFSET(ORÇAMENTO!$W$15,ROW(AB84)-ROW(AB$15),0),15-13*ORÇAMENTO!$AF$11)),0)</f>
        <v>0</v>
      </c>
      <c r="AC84" s="542">
        <f ca="1">IF(AND($D84="Serviço",AC$12&lt;&gt;0,$H84&gt;0,OR(AUTOEVENTO&lt;&gt;"manual",$M84&lt;&gt;1)),
IF(Import.TipoArredondamento&lt;&gt;"TransfereGOV",
ROUND(OFFSET($P84,0,AC$13),15-13*ORÇAMENTO!$AF$7)/$H84*OFFSET(ORÇAMENTO!$X$15,ROW(AC84)-ROW(AC$15),0),
ROUND(ROUND(OFFSET($P84,0,AC$13),15-13*ORÇAMENTO!$AF$7)*OFFSET(ORÇAMENTO!$W$15,ROW(AC84)-ROW(AC$15),0),15-13*ORÇAMENTO!$AF$11)),0)</f>
        <v>0</v>
      </c>
      <c r="AD84" s="542">
        <f ca="1">IF(AND($D84="Serviço",AD$12&lt;&gt;0,$H84&gt;0,OR(AUTOEVENTO&lt;&gt;"manual",$M84&lt;&gt;1)),
IF(Import.TipoArredondamento&lt;&gt;"TransfereGOV",
ROUND(OFFSET($P84,0,AD$13),15-13*ORÇAMENTO!$AF$7)/$H84*OFFSET(ORÇAMENTO!$X$15,ROW(AD84)-ROW(AD$15),0),
ROUND(ROUND(OFFSET($P84,0,AD$13),15-13*ORÇAMENTO!$AF$7)*OFFSET(ORÇAMENTO!$W$15,ROW(AD84)-ROW(AD$15),0),15-13*ORÇAMENTO!$AF$11)),0)</f>
        <v>0</v>
      </c>
      <c r="AE84" s="542">
        <f ca="1">IF(AND($D84="Serviço",AE$12&lt;&gt;0,$H84&gt;0,OR(AUTOEVENTO&lt;&gt;"manual",$M84&lt;&gt;1)),
IF(Import.TipoArredondamento&lt;&gt;"TransfereGOV",
ROUND(OFFSET($P84,0,AE$13),15-13*ORÇAMENTO!$AF$7)/$H84*OFFSET(ORÇAMENTO!$X$15,ROW(AE84)-ROW(AE$15),0),
ROUND(ROUND(OFFSET($P84,0,AE$13),15-13*ORÇAMENTO!$AF$7)*OFFSET(ORÇAMENTO!$W$15,ROW(AE84)-ROW(AE$15),0),15-13*ORÇAMENTO!$AF$11)),0)</f>
        <v>0</v>
      </c>
      <c r="AF84" s="542">
        <f ca="1">IF(AND($D84="Serviço",AF$12&lt;&gt;0,$H84&gt;0,OR(AUTOEVENTO&lt;&gt;"manual",$M84&lt;&gt;1)),
IF(Import.TipoArredondamento&lt;&gt;"TransfereGOV",
ROUND(OFFSET($P84,0,AF$13),15-13*ORÇAMENTO!$AF$7)/$H84*OFFSET(ORÇAMENTO!$X$15,ROW(AF84)-ROW(AF$15),0),
ROUND(ROUND(OFFSET($P84,0,AF$13),15-13*ORÇAMENTO!$AF$7)*OFFSET(ORÇAMENTO!$W$15,ROW(AF84)-ROW(AF$15),0),15-13*ORÇAMENTO!$AF$11)),0)</f>
        <v>0</v>
      </c>
      <c r="AG84" s="542">
        <f ca="1">IF(AND($D84="Serviço",AG$12&lt;&gt;0,$H84&gt;0,OR(AUTOEVENTO&lt;&gt;"manual",$M84&lt;&gt;1)),
IF(Import.TipoArredondamento&lt;&gt;"TransfereGOV",
ROUND(OFFSET($P84,0,AG$13),15-13*ORÇAMENTO!$AF$7)/$H84*OFFSET(ORÇAMENTO!$X$15,ROW(AG84)-ROW(AG$15),0),
ROUND(ROUND(OFFSET($P84,0,AG$13),15-13*ORÇAMENTO!$AF$7)*OFFSET(ORÇAMENTO!$W$15,ROW(AG84)-ROW(AG$15),0),15-13*ORÇAMENTO!$AF$11)),0)</f>
        <v>0</v>
      </c>
      <c r="AH84" s="542">
        <f ca="1">IF(AND($D84="Serviço",AH$12&lt;&gt;0,$H84&gt;0,OR(AUTOEVENTO&lt;&gt;"manual",$M84&lt;&gt;1)),
IF(Import.TipoArredondamento&lt;&gt;"TransfereGOV",
ROUND(OFFSET($P84,0,AH$13),15-13*ORÇAMENTO!$AF$7)/$H84*OFFSET(ORÇAMENTO!$X$15,ROW(AH84)-ROW(AH$15),0),
ROUND(ROUND(OFFSET($P84,0,AH$13),15-13*ORÇAMENTO!$AF$7)*OFFSET(ORÇAMENTO!$W$15,ROW(AH84)-ROW(AH$15),0),15-13*ORÇAMENTO!$AF$11)),0)</f>
        <v>0</v>
      </c>
      <c r="AI84" s="542">
        <f ca="1">IF(AND($D84="Serviço",AI$12&lt;&gt;0,$H84&gt;0,OR(AUTOEVENTO&lt;&gt;"manual",$M84&lt;&gt;1)),
IF(Import.TipoArredondamento&lt;&gt;"TransfereGOV",
ROUND(OFFSET($P84,0,AI$13),15-13*ORÇAMENTO!$AF$7)/$H84*OFFSET(ORÇAMENTO!$X$15,ROW(AI84)-ROW(AI$15),0),
ROUND(ROUND(OFFSET($P84,0,AI$13),15-13*ORÇAMENTO!$AF$7)*OFFSET(ORÇAMENTO!$W$15,ROW(AI84)-ROW(AI$15),0),15-13*ORÇAMENTO!$AF$11)),0)</f>
        <v>0</v>
      </c>
      <c r="AJ84" s="542">
        <f ca="1">IF(AND($D84="Serviço",AJ$12&lt;&gt;0,$H84&gt;0,OR(AUTOEVENTO&lt;&gt;"manual",$M84&lt;&gt;1)),
IF(Import.TipoArredondamento&lt;&gt;"TransfereGOV",
ROUND(OFFSET($P84,0,AJ$13),15-13*ORÇAMENTO!$AF$7)/$H84*OFFSET(ORÇAMENTO!$X$15,ROW(AJ84)-ROW(AJ$15),0),
ROUND(ROUND(OFFSET($P84,0,AJ$13),15-13*ORÇAMENTO!$AF$7)*OFFSET(ORÇAMENTO!$W$15,ROW(AJ84)-ROW(AJ$15),0),15-13*ORÇAMENTO!$AF$11)),0)</f>
        <v>0</v>
      </c>
      <c r="AK84" s="543">
        <f ca="1">IF(AND($D84="Serviço",AK$12&lt;&gt;0,$H84&gt;0,OR(AUTOEVENTO&lt;&gt;"manual",$M84&lt;&gt;1)),
IF(Import.TipoArredondamento&lt;&gt;"TransfereGOV",
ROUND(OFFSET($P84,0,AK$13),15-13*ORÇAMENTO!$AF$7)/$H84*OFFSET(ORÇAMENTO!$X$15,ROW(AK84)-ROW(AK$15),0),
ROUND(ROUND(OFFSET($P84,0,AK$13),15-13*ORÇAMENTO!$AF$7)*OFFSET(ORÇAMENTO!$W$15,ROW(AK84)-ROW(AK$15),0),15-13*ORÇAMENTO!$AF$11)),0)</f>
        <v>0</v>
      </c>
      <c r="AM84" s="178">
        <f ca="1">IF($D84&lt;&gt;"Serviço",0,IF(AND(AUTOEVENTO="Manual",$M84=1),0,IF(OFFSET(CRONOPLE!$F$14,$M84,AM$13)="",10^12,OFFSET(CRONOPLE!$F$14,$M84,AM$13))))</f>
        <v>1000000000000</v>
      </c>
      <c r="AN84" s="178">
        <f ca="1">IF($D84&lt;&gt;"Serviço",0,IF(AND(AUTOEVENTO="Manual",$M84=1),0,IF(OFFSET(CRONOPLE!$F$14,$M84,AN$13)="",10^12,OFFSET(CRONOPLE!$F$14,$M84,AN$13))))</f>
        <v>1000000000000</v>
      </c>
      <c r="AO84" s="178">
        <f ca="1">IF($D84&lt;&gt;"Serviço",0,IF(AND(AUTOEVENTO="Manual",$M84=1),0,IF(OFFSET(CRONOPLE!$F$14,$M84,AO$13)="",10^12,OFFSET(CRONOPLE!$F$14,$M84,AO$13))))</f>
        <v>1000000000000</v>
      </c>
      <c r="AP84" s="178">
        <f ca="1">IF($D84&lt;&gt;"Serviço",0,IF(AND(AUTOEVENTO="Manual",$M84=1),0,IF(OFFSET(CRONOPLE!$F$14,$M84,AP$13)="",10^12,OFFSET(CRONOPLE!$F$14,$M84,AP$13))))</f>
        <v>1000000000000</v>
      </c>
      <c r="AQ84" s="178">
        <f ca="1">IF($D84&lt;&gt;"Serviço",0,IF(AND(AUTOEVENTO="Manual",$M84=1),0,IF(OFFSET(CRONOPLE!$F$14,$M84,AQ$13)="",10^12,OFFSET(CRONOPLE!$F$14,$M84,AQ$13))))</f>
        <v>1000000000000</v>
      </c>
      <c r="AR84" s="178">
        <f ca="1">IF($D84&lt;&gt;"Serviço",0,IF(AND(AUTOEVENTO="Manual",$M84=1),0,IF(OFFSET(CRONOPLE!$F$14,$M84,AR$13)="",10^12,OFFSET(CRONOPLE!$F$14,$M84,AR$13))))</f>
        <v>1000000000000</v>
      </c>
      <c r="AS84" s="178">
        <f ca="1">IF($D84&lt;&gt;"Serviço",0,IF(AND(AUTOEVENTO="Manual",$M84=1),0,IF(OFFSET(CRONOPLE!$F$14,$M84,AS$13)="",10^12,OFFSET(CRONOPLE!$F$14,$M84,AS$13))))</f>
        <v>1000000000000</v>
      </c>
      <c r="AT84" s="178">
        <f ca="1">IF($D84&lt;&gt;"Serviço",0,IF(AND(AUTOEVENTO="Manual",$M84=1),0,IF(OFFSET(CRONOPLE!$F$14,$M84,AT$13)="",10^12,OFFSET(CRONOPLE!$F$14,$M84,AT$13))))</f>
        <v>1000000000000</v>
      </c>
      <c r="AU84" s="178">
        <f ca="1">IF($D84&lt;&gt;"Serviço",0,IF(AND(AUTOEVENTO="Manual",$M84=1),0,IF(OFFSET(CRONOPLE!$F$14,$M84,AU$13)="",10^12,OFFSET(CRONOPLE!$F$14,$M84,AU$13))))</f>
        <v>1000000000000</v>
      </c>
      <c r="AV84" s="178">
        <f ca="1">IF($D84&lt;&gt;"Serviço",0,IF(AND(AUTOEVENTO="Manual",$M84=1),0,IF(OFFSET(CRONOPLE!$F$14,$M84,AV$13)="",10^12,OFFSET(CRONOPLE!$F$14,$M84,AV$13))))</f>
        <v>1000000000000</v>
      </c>
      <c r="AX84" s="179">
        <f ca="1">IF($D84&lt;&gt;"Serviço",0,IF(OR(AND(AUTOEVENTO="Manual",$M84=1),$M84&gt;(ROW(PLE.lastrow)-ROW(PLE.firstrow))),0,IF(OFFSET(PLE!$G$14,$M84,AX$13)="",10^12,OFFSET(PLE!$G$14,$M84,AX$13))))</f>
        <v>1000000000000</v>
      </c>
      <c r="AY84" s="179">
        <f ca="1">IF($D84&lt;&gt;"Serviço",0,IF(OR(AND(AUTOEVENTO="Manual",$M84=1),$M84&gt;(ROW(PLE.lastrow)-ROW(PLE.firstrow))),0,IF(OFFSET(PLE!$G$14,$M84,AY$13)="",10^12,OFFSET(PLE!$G$14,$M84,AY$13))))</f>
        <v>1000000000000</v>
      </c>
      <c r="AZ84" s="179">
        <f ca="1">IF($D84&lt;&gt;"Serviço",0,IF(OR(AND(AUTOEVENTO="Manual",$M84=1),$M84&gt;(ROW(PLE.lastrow)-ROW(PLE.firstrow))),0,IF(OFFSET(PLE!$G$14,$M84,AZ$13)="",10^12,OFFSET(PLE!$G$14,$M84,AZ$13))))</f>
        <v>1000000000000</v>
      </c>
      <c r="BA84" s="179">
        <f ca="1">IF($D84&lt;&gt;"Serviço",0,IF(OR(AND(AUTOEVENTO="Manual",$M84=1),$M84&gt;(ROW(PLE.lastrow)-ROW(PLE.firstrow))),0,IF(OFFSET(PLE!$G$14,$M84,BA$13)="",10^12,OFFSET(PLE!$G$14,$M84,BA$13))))</f>
        <v>1000000000000</v>
      </c>
      <c r="BB84" s="179">
        <f ca="1">IF($D84&lt;&gt;"Serviço",0,IF(OR(AND(AUTOEVENTO="Manual",$M84=1),$M84&gt;(ROW(PLE.lastrow)-ROW(PLE.firstrow))),0,IF(OFFSET(PLE!$G$14,$M84,BB$13)="",10^12,OFFSET(PLE!$G$14,$M84,BB$13))))</f>
        <v>1000000000000</v>
      </c>
      <c r="BC84" s="179">
        <f ca="1">IF($D84&lt;&gt;"Serviço",0,IF(OR(AND(AUTOEVENTO="Manual",$M84=1),$M84&gt;(ROW(PLE.lastrow)-ROW(PLE.firstrow))),0,IF(OFFSET(PLE!$G$14,$M84,BC$13)="",10^12,OFFSET(PLE!$G$14,$M84,BC$13))))</f>
        <v>1000000000000</v>
      </c>
      <c r="BD84" s="179">
        <f ca="1">IF($D84&lt;&gt;"Serviço",0,IF(OR(AND(AUTOEVENTO="Manual",$M84=1),$M84&gt;(ROW(PLE.lastrow)-ROW(PLE.firstrow))),0,IF(OFFSET(PLE!$G$14,$M84,BD$13)="",10^12,OFFSET(PLE!$G$14,$M84,BD$13))))</f>
        <v>1000000000000</v>
      </c>
      <c r="BE84" s="179">
        <f ca="1">IF($D84&lt;&gt;"Serviço",0,IF(OR(AND(AUTOEVENTO="Manual",$M84=1),$M84&gt;(ROW(PLE.lastrow)-ROW(PLE.firstrow))),0,IF(OFFSET(PLE!$G$14,$M84,BE$13)="",10^12,OFFSET(PLE!$G$14,$M84,BE$13))))</f>
        <v>1000000000000</v>
      </c>
      <c r="BF84" s="179">
        <f ca="1">IF($D84&lt;&gt;"Serviço",0,IF(OR(AND(AUTOEVENTO="Manual",$M84=1),$M84&gt;(ROW(PLE.lastrow)-ROW(PLE.firstrow))),0,IF(OFFSET(PLE!$G$14,$M84,BF$13)="",10^12,OFFSET(PLE!$G$14,$M84,BF$13))))</f>
        <v>1000000000000</v>
      </c>
      <c r="BG84" s="179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25.5" x14ac:dyDescent="0.2">
      <c r="A85" s="7" t="str">
        <f t="shared" ca="1" si="8"/>
        <v>64</v>
      </c>
      <c r="B85" s="7" t="str">
        <f ca="1">OFFSET(ORÇAMENTO!C$15,ROW(B85)-ROW(B$15),0)</f>
        <v>S</v>
      </c>
      <c r="C85" s="7" t="str">
        <f ca="1">OFFSET(ORÇAMENTO!L$15,ROW(C85)-ROW(C$15),0)</f>
        <v/>
      </c>
      <c r="D85" s="115" t="str">
        <f ca="1">OFFSET(ORÇAMENTO!N$15,ROW(D85)-ROW(D$15),0)</f>
        <v>Serviço</v>
      </c>
      <c r="E85" s="116" t="str">
        <f ca="1">OFFSET(ORÇAMENTO!O$15,ROW(E85)-ROW(E$15),0)</f>
        <v>-</v>
      </c>
      <c r="F85" s="169" t="str">
        <f ca="1">OFFSET(ORÇAMENTO!R$15,ROW(F85)-ROW(F$15),0)</f>
        <v>(abra o arquivo 'Referência 10-2024.xlsm)</v>
      </c>
      <c r="G85" s="170" t="str">
        <f ca="1">IF($D85&lt;&gt;"Serviço","",OFFSET(ORÇAMENTO!S$15,ROW(G85)-ROW(G$15),0))</f>
        <v>-</v>
      </c>
      <c r="H85" s="121">
        <f ca="1">IF($D85&lt;&gt;"Serviço",0,IF(ACOMPANHAMENTO="BM",ROUND(OFFSET(ORÇAMENTO!AJ$15,ROW(H85)-ROW(H$15),0),15-13*ORÇAMENTO!$AF$7),SUMPRODUCT(($Q$12:$AA$12&lt;&gt;"")*ROUND($Q85:$AA85,15-13*ORÇAMENTO!$AF$7))))</f>
        <v>5</v>
      </c>
      <c r="I85" s="558" t="s">
        <v>561</v>
      </c>
      <c r="K85" s="171"/>
      <c r="L85" s="172" t="s">
        <v>255</v>
      </c>
      <c r="M85" s="173">
        <f ca="1">IF($D85&lt;&gt;"Serviço","",IF(AUTOEVENTO="manual",$A85,IF(ISERROR(MATCH($A85,$A$15:OFFSET($A85,-1,0),0)),MAX($M$15:OFFSET(M85,-1,0))+1,INDEX($M$15:OFFSET(M85,-1,0),MATCH($A85,$A$15:OFFSET($A85,-1,0),0)))))</f>
        <v>13</v>
      </c>
      <c r="N85" s="174" t="str">
        <f ca="1">IF($D85&lt;&gt;"Serviço","",IF(AUTOEVENTO="Manual",IF($A85=0,"&lt;-- defina o número do agrupador",OFFSET(EVENTOS!$D$14,$A85,0)),OFFSET($F$15,$A85,0)))</f>
        <v>LOUÇAS, METAIS E ACESSÓRIOS</v>
      </c>
      <c r="O85" s="175"/>
      <c r="Q85" s="175"/>
      <c r="R85" s="176"/>
      <c r="S85" s="176"/>
      <c r="T85" s="176"/>
      <c r="U85" s="176"/>
      <c r="V85" s="176"/>
      <c r="W85" s="176"/>
      <c r="X85" s="176"/>
      <c r="Y85" s="176"/>
      <c r="Z85" s="177"/>
      <c r="AB85" s="541">
        <f ca="1">IF(AND($D85="Serviço",AB$12&lt;&gt;0,$H85&gt;0,OR(AUTOEVENTO&lt;&gt;"manual",$M85&lt;&gt;1)),
IF(Import.TipoArredondamento&lt;&gt;"TransfereGOV",
ROUND(OFFSET($P85,0,AB$13),15-13*ORÇAMENTO!$AF$7)/$H85*OFFSET(ORÇAMENTO!$X$15,ROW(AB85)-ROW(AB$15),0),
ROUND(ROUND(OFFSET($P85,0,AB$13),15-13*ORÇAMENTO!$AF$7)*OFFSET(ORÇAMENTO!$W$15,ROW(AB85)-ROW(AB$15),0),15-13*ORÇAMENTO!$AF$11)),0)</f>
        <v>0</v>
      </c>
      <c r="AC85" s="542">
        <f ca="1">IF(AND($D85="Serviço",AC$12&lt;&gt;0,$H85&gt;0,OR(AUTOEVENTO&lt;&gt;"manual",$M85&lt;&gt;1)),
IF(Import.TipoArredondamento&lt;&gt;"TransfereGOV",
ROUND(OFFSET($P85,0,AC$13),15-13*ORÇAMENTO!$AF$7)/$H85*OFFSET(ORÇAMENTO!$X$15,ROW(AC85)-ROW(AC$15),0),
ROUND(ROUND(OFFSET($P85,0,AC$13),15-13*ORÇAMENTO!$AF$7)*OFFSET(ORÇAMENTO!$W$15,ROW(AC85)-ROW(AC$15),0),15-13*ORÇAMENTO!$AF$11)),0)</f>
        <v>0</v>
      </c>
      <c r="AD85" s="542">
        <f ca="1">IF(AND($D85="Serviço",AD$12&lt;&gt;0,$H85&gt;0,OR(AUTOEVENTO&lt;&gt;"manual",$M85&lt;&gt;1)),
IF(Import.TipoArredondamento&lt;&gt;"TransfereGOV",
ROUND(OFFSET($P85,0,AD$13),15-13*ORÇAMENTO!$AF$7)/$H85*OFFSET(ORÇAMENTO!$X$15,ROW(AD85)-ROW(AD$15),0),
ROUND(ROUND(OFFSET($P85,0,AD$13),15-13*ORÇAMENTO!$AF$7)*OFFSET(ORÇAMENTO!$W$15,ROW(AD85)-ROW(AD$15),0),15-13*ORÇAMENTO!$AF$11)),0)</f>
        <v>0</v>
      </c>
      <c r="AE85" s="542">
        <f ca="1">IF(AND($D85="Serviço",AE$12&lt;&gt;0,$H85&gt;0,OR(AUTOEVENTO&lt;&gt;"manual",$M85&lt;&gt;1)),
IF(Import.TipoArredondamento&lt;&gt;"TransfereGOV",
ROUND(OFFSET($P85,0,AE$13),15-13*ORÇAMENTO!$AF$7)/$H85*OFFSET(ORÇAMENTO!$X$15,ROW(AE85)-ROW(AE$15),0),
ROUND(ROUND(OFFSET($P85,0,AE$13),15-13*ORÇAMENTO!$AF$7)*OFFSET(ORÇAMENTO!$W$15,ROW(AE85)-ROW(AE$15),0),15-13*ORÇAMENTO!$AF$11)),0)</f>
        <v>0</v>
      </c>
      <c r="AF85" s="542">
        <f ca="1">IF(AND($D85="Serviço",AF$12&lt;&gt;0,$H85&gt;0,OR(AUTOEVENTO&lt;&gt;"manual",$M85&lt;&gt;1)),
IF(Import.TipoArredondamento&lt;&gt;"TransfereGOV",
ROUND(OFFSET($P85,0,AF$13),15-13*ORÇAMENTO!$AF$7)/$H85*OFFSET(ORÇAMENTO!$X$15,ROW(AF85)-ROW(AF$15),0),
ROUND(ROUND(OFFSET($P85,0,AF$13),15-13*ORÇAMENTO!$AF$7)*OFFSET(ORÇAMENTO!$W$15,ROW(AF85)-ROW(AF$15),0),15-13*ORÇAMENTO!$AF$11)),0)</f>
        <v>0</v>
      </c>
      <c r="AG85" s="542">
        <f ca="1">IF(AND($D85="Serviço",AG$12&lt;&gt;0,$H85&gt;0,OR(AUTOEVENTO&lt;&gt;"manual",$M85&lt;&gt;1)),
IF(Import.TipoArredondamento&lt;&gt;"TransfereGOV",
ROUND(OFFSET($P85,0,AG$13),15-13*ORÇAMENTO!$AF$7)/$H85*OFFSET(ORÇAMENTO!$X$15,ROW(AG85)-ROW(AG$15),0),
ROUND(ROUND(OFFSET($P85,0,AG$13),15-13*ORÇAMENTO!$AF$7)*OFFSET(ORÇAMENTO!$W$15,ROW(AG85)-ROW(AG$15),0),15-13*ORÇAMENTO!$AF$11)),0)</f>
        <v>0</v>
      </c>
      <c r="AH85" s="542">
        <f ca="1">IF(AND($D85="Serviço",AH$12&lt;&gt;0,$H85&gt;0,OR(AUTOEVENTO&lt;&gt;"manual",$M85&lt;&gt;1)),
IF(Import.TipoArredondamento&lt;&gt;"TransfereGOV",
ROUND(OFFSET($P85,0,AH$13),15-13*ORÇAMENTO!$AF$7)/$H85*OFFSET(ORÇAMENTO!$X$15,ROW(AH85)-ROW(AH$15),0),
ROUND(ROUND(OFFSET($P85,0,AH$13),15-13*ORÇAMENTO!$AF$7)*OFFSET(ORÇAMENTO!$W$15,ROW(AH85)-ROW(AH$15),0),15-13*ORÇAMENTO!$AF$11)),0)</f>
        <v>0</v>
      </c>
      <c r="AI85" s="542">
        <f ca="1">IF(AND($D85="Serviço",AI$12&lt;&gt;0,$H85&gt;0,OR(AUTOEVENTO&lt;&gt;"manual",$M85&lt;&gt;1)),
IF(Import.TipoArredondamento&lt;&gt;"TransfereGOV",
ROUND(OFFSET($P85,0,AI$13),15-13*ORÇAMENTO!$AF$7)/$H85*OFFSET(ORÇAMENTO!$X$15,ROW(AI85)-ROW(AI$15),0),
ROUND(ROUND(OFFSET($P85,0,AI$13),15-13*ORÇAMENTO!$AF$7)*OFFSET(ORÇAMENTO!$W$15,ROW(AI85)-ROW(AI$15),0),15-13*ORÇAMENTO!$AF$11)),0)</f>
        <v>0</v>
      </c>
      <c r="AJ85" s="542">
        <f ca="1">IF(AND($D85="Serviço",AJ$12&lt;&gt;0,$H85&gt;0,OR(AUTOEVENTO&lt;&gt;"manual",$M85&lt;&gt;1)),
IF(Import.TipoArredondamento&lt;&gt;"TransfereGOV",
ROUND(OFFSET($P85,0,AJ$13),15-13*ORÇAMENTO!$AF$7)/$H85*OFFSET(ORÇAMENTO!$X$15,ROW(AJ85)-ROW(AJ$15),0),
ROUND(ROUND(OFFSET($P85,0,AJ$13),15-13*ORÇAMENTO!$AF$7)*OFFSET(ORÇAMENTO!$W$15,ROW(AJ85)-ROW(AJ$15),0),15-13*ORÇAMENTO!$AF$11)),0)</f>
        <v>0</v>
      </c>
      <c r="AK85" s="543">
        <f ca="1">IF(AND($D85="Serviço",AK$12&lt;&gt;0,$H85&gt;0,OR(AUTOEVENTO&lt;&gt;"manual",$M85&lt;&gt;1)),
IF(Import.TipoArredondamento&lt;&gt;"TransfereGOV",
ROUND(OFFSET($P85,0,AK$13),15-13*ORÇAMENTO!$AF$7)/$H85*OFFSET(ORÇAMENTO!$X$15,ROW(AK85)-ROW(AK$15),0),
ROUND(ROUND(OFFSET($P85,0,AK$13),15-13*ORÇAMENTO!$AF$7)*OFFSET(ORÇAMENTO!$W$15,ROW(AK85)-ROW(AK$15),0),15-13*ORÇAMENTO!$AF$11)),0)</f>
        <v>0</v>
      </c>
      <c r="AM85" s="178">
        <f ca="1">IF($D85&lt;&gt;"Serviço",0,IF(AND(AUTOEVENTO="Manual",$M85=1),0,IF(OFFSET(CRONOPLE!$F$14,$M85,AM$13)="",10^12,OFFSET(CRONOPLE!$F$14,$M85,AM$13))))</f>
        <v>1000000000000</v>
      </c>
      <c r="AN85" s="178">
        <f ca="1">IF($D85&lt;&gt;"Serviço",0,IF(AND(AUTOEVENTO="Manual",$M85=1),0,IF(OFFSET(CRONOPLE!$F$14,$M85,AN$13)="",10^12,OFFSET(CRONOPLE!$F$14,$M85,AN$13))))</f>
        <v>1000000000000</v>
      </c>
      <c r="AO85" s="178">
        <f ca="1">IF($D85&lt;&gt;"Serviço",0,IF(AND(AUTOEVENTO="Manual",$M85=1),0,IF(OFFSET(CRONOPLE!$F$14,$M85,AO$13)="",10^12,OFFSET(CRONOPLE!$F$14,$M85,AO$13))))</f>
        <v>1000000000000</v>
      </c>
      <c r="AP85" s="178">
        <f ca="1">IF($D85&lt;&gt;"Serviço",0,IF(AND(AUTOEVENTO="Manual",$M85=1),0,IF(OFFSET(CRONOPLE!$F$14,$M85,AP$13)="",10^12,OFFSET(CRONOPLE!$F$14,$M85,AP$13))))</f>
        <v>1000000000000</v>
      </c>
      <c r="AQ85" s="178">
        <f ca="1">IF($D85&lt;&gt;"Serviço",0,IF(AND(AUTOEVENTO="Manual",$M85=1),0,IF(OFFSET(CRONOPLE!$F$14,$M85,AQ$13)="",10^12,OFFSET(CRONOPLE!$F$14,$M85,AQ$13))))</f>
        <v>1000000000000</v>
      </c>
      <c r="AR85" s="178">
        <f ca="1">IF($D85&lt;&gt;"Serviço",0,IF(AND(AUTOEVENTO="Manual",$M85=1),0,IF(OFFSET(CRONOPLE!$F$14,$M85,AR$13)="",10^12,OFFSET(CRONOPLE!$F$14,$M85,AR$13))))</f>
        <v>1000000000000</v>
      </c>
      <c r="AS85" s="178">
        <f ca="1">IF($D85&lt;&gt;"Serviço",0,IF(AND(AUTOEVENTO="Manual",$M85=1),0,IF(OFFSET(CRONOPLE!$F$14,$M85,AS$13)="",10^12,OFFSET(CRONOPLE!$F$14,$M85,AS$13))))</f>
        <v>1000000000000</v>
      </c>
      <c r="AT85" s="178">
        <f ca="1">IF($D85&lt;&gt;"Serviço",0,IF(AND(AUTOEVENTO="Manual",$M85=1),0,IF(OFFSET(CRONOPLE!$F$14,$M85,AT$13)="",10^12,OFFSET(CRONOPLE!$F$14,$M85,AT$13))))</f>
        <v>1000000000000</v>
      </c>
      <c r="AU85" s="178">
        <f ca="1">IF($D85&lt;&gt;"Serviço",0,IF(AND(AUTOEVENTO="Manual",$M85=1),0,IF(OFFSET(CRONOPLE!$F$14,$M85,AU$13)="",10^12,OFFSET(CRONOPLE!$F$14,$M85,AU$13))))</f>
        <v>1000000000000</v>
      </c>
      <c r="AV85" s="178">
        <f ca="1">IF($D85&lt;&gt;"Serviço",0,IF(AND(AUTOEVENTO="Manual",$M85=1),0,IF(OFFSET(CRONOPLE!$F$14,$M85,AV$13)="",10^12,OFFSET(CRONOPLE!$F$14,$M85,AV$13))))</f>
        <v>1000000000000</v>
      </c>
      <c r="AX85" s="179">
        <f ca="1">IF($D85&lt;&gt;"Serviço",0,IF(OR(AND(AUTOEVENTO="Manual",$M85=1),$M85&gt;(ROW(PLE.lastrow)-ROW(PLE.firstrow))),0,IF(OFFSET(PLE!$G$14,$M85,AX$13)="",10^12,OFFSET(PLE!$G$14,$M85,AX$13))))</f>
        <v>1000000000000</v>
      </c>
      <c r="AY85" s="179">
        <f ca="1">IF($D85&lt;&gt;"Serviço",0,IF(OR(AND(AUTOEVENTO="Manual",$M85=1),$M85&gt;(ROW(PLE.lastrow)-ROW(PLE.firstrow))),0,IF(OFFSET(PLE!$G$14,$M85,AY$13)="",10^12,OFFSET(PLE!$G$14,$M85,AY$13))))</f>
        <v>1000000000000</v>
      </c>
      <c r="AZ85" s="179">
        <f ca="1">IF($D85&lt;&gt;"Serviço",0,IF(OR(AND(AUTOEVENTO="Manual",$M85=1),$M85&gt;(ROW(PLE.lastrow)-ROW(PLE.firstrow))),0,IF(OFFSET(PLE!$G$14,$M85,AZ$13)="",10^12,OFFSET(PLE!$G$14,$M85,AZ$13))))</f>
        <v>1000000000000</v>
      </c>
      <c r="BA85" s="179">
        <f ca="1">IF($D85&lt;&gt;"Serviço",0,IF(OR(AND(AUTOEVENTO="Manual",$M85=1),$M85&gt;(ROW(PLE.lastrow)-ROW(PLE.firstrow))),0,IF(OFFSET(PLE!$G$14,$M85,BA$13)="",10^12,OFFSET(PLE!$G$14,$M85,BA$13))))</f>
        <v>1000000000000</v>
      </c>
      <c r="BB85" s="179">
        <f ca="1">IF($D85&lt;&gt;"Serviço",0,IF(OR(AND(AUTOEVENTO="Manual",$M85=1),$M85&gt;(ROW(PLE.lastrow)-ROW(PLE.firstrow))),0,IF(OFFSET(PLE!$G$14,$M85,BB$13)="",10^12,OFFSET(PLE!$G$14,$M85,BB$13))))</f>
        <v>1000000000000</v>
      </c>
      <c r="BC85" s="179">
        <f ca="1">IF($D85&lt;&gt;"Serviço",0,IF(OR(AND(AUTOEVENTO="Manual",$M85=1),$M85&gt;(ROW(PLE.lastrow)-ROW(PLE.firstrow))),0,IF(OFFSET(PLE!$G$14,$M85,BC$13)="",10^12,OFFSET(PLE!$G$14,$M85,BC$13))))</f>
        <v>1000000000000</v>
      </c>
      <c r="BD85" s="179">
        <f ca="1">IF($D85&lt;&gt;"Serviço",0,IF(OR(AND(AUTOEVENTO="Manual",$M85=1),$M85&gt;(ROW(PLE.lastrow)-ROW(PLE.firstrow))),0,IF(OFFSET(PLE!$G$14,$M85,BD$13)="",10^12,OFFSET(PLE!$G$14,$M85,BD$13))))</f>
        <v>1000000000000</v>
      </c>
      <c r="BE85" s="179">
        <f ca="1">IF($D85&lt;&gt;"Serviço",0,IF(OR(AND(AUTOEVENTO="Manual",$M85=1),$M85&gt;(ROW(PLE.lastrow)-ROW(PLE.firstrow))),0,IF(OFFSET(PLE!$G$14,$M85,BE$13)="",10^12,OFFSET(PLE!$G$14,$M85,BE$13))))</f>
        <v>1000000000000</v>
      </c>
      <c r="BF85" s="179">
        <f ca="1">IF($D85&lt;&gt;"Serviço",0,IF(OR(AND(AUTOEVENTO="Manual",$M85=1),$M85&gt;(ROW(PLE.lastrow)-ROW(PLE.firstrow))),0,IF(OFFSET(PLE!$G$14,$M85,BF$13)="",10^12,OFFSET(PLE!$G$14,$M85,BF$13))))</f>
        <v>1000000000000</v>
      </c>
      <c r="BG85" s="179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25.5" x14ac:dyDescent="0.2">
      <c r="A86" s="7" t="str">
        <f t="shared" ca="1" si="8"/>
        <v>64</v>
      </c>
      <c r="B86" s="7" t="str">
        <f ca="1">OFFSET(ORÇAMENTO!C$15,ROW(B86)-ROW(B$15),0)</f>
        <v>S</v>
      </c>
      <c r="C86" s="7" t="str">
        <f ca="1">OFFSET(ORÇAMENTO!L$15,ROW(C86)-ROW(C$15),0)</f>
        <v/>
      </c>
      <c r="D86" s="115" t="str">
        <f ca="1">OFFSET(ORÇAMENTO!N$15,ROW(D86)-ROW(D$15),0)</f>
        <v>Serviço</v>
      </c>
      <c r="E86" s="116" t="str">
        <f ca="1">OFFSET(ORÇAMENTO!O$15,ROW(E86)-ROW(E$15),0)</f>
        <v>-</v>
      </c>
      <c r="F86" s="169" t="str">
        <f ca="1">OFFSET(ORÇAMENTO!R$15,ROW(F86)-ROW(F$15),0)</f>
        <v>(abra o arquivo 'Referência 10-2024.xlsm)</v>
      </c>
      <c r="G86" s="170" t="str">
        <f ca="1">IF($D86&lt;&gt;"Serviço","",OFFSET(ORÇAMENTO!S$15,ROW(G86)-ROW(G$15),0))</f>
        <v>-</v>
      </c>
      <c r="H86" s="121">
        <f ca="1">IF($D86&lt;&gt;"Serviço",0,IF(ACOMPANHAMENTO="BM",ROUND(OFFSET(ORÇAMENTO!AJ$15,ROW(H86)-ROW(H$15),0),15-13*ORÇAMENTO!$AF$7),SUMPRODUCT(($Q$12:$AA$12&lt;&gt;"")*ROUND($Q86:$AA86,15-13*ORÇAMENTO!$AF$7))))</f>
        <v>3</v>
      </c>
      <c r="I86" s="558" t="s">
        <v>561</v>
      </c>
      <c r="K86" s="171"/>
      <c r="L86" s="172" t="s">
        <v>255</v>
      </c>
      <c r="M86" s="173">
        <f ca="1">IF($D86&lt;&gt;"Serviço","",IF(AUTOEVENTO="manual",$A86,IF(ISERROR(MATCH($A86,$A$15:OFFSET($A86,-1,0),0)),MAX($M$15:OFFSET(M86,-1,0))+1,INDEX($M$15:OFFSET(M86,-1,0),MATCH($A86,$A$15:OFFSET($A86,-1,0),0)))))</f>
        <v>13</v>
      </c>
      <c r="N86" s="174" t="str">
        <f ca="1">IF($D86&lt;&gt;"Serviço","",IF(AUTOEVENTO="Manual",IF($A86=0,"&lt;-- defina o número do agrupador",OFFSET(EVENTOS!$D$14,$A86,0)),OFFSET($F$15,$A86,0)))</f>
        <v>LOUÇAS, METAIS E ACESSÓRIOS</v>
      </c>
      <c r="O86" s="175"/>
      <c r="Q86" s="175"/>
      <c r="R86" s="176"/>
      <c r="S86" s="176"/>
      <c r="T86" s="176"/>
      <c r="U86" s="176"/>
      <c r="V86" s="176"/>
      <c r="W86" s="176"/>
      <c r="X86" s="176"/>
      <c r="Y86" s="176"/>
      <c r="Z86" s="177"/>
      <c r="AB86" s="541">
        <f ca="1">IF(AND($D86="Serviço",AB$12&lt;&gt;0,$H86&gt;0,OR(AUTOEVENTO&lt;&gt;"manual",$M86&lt;&gt;1)),
IF(Import.TipoArredondamento&lt;&gt;"TransfereGOV",
ROUND(OFFSET($P86,0,AB$13),15-13*ORÇAMENTO!$AF$7)/$H86*OFFSET(ORÇAMENTO!$X$15,ROW(AB86)-ROW(AB$15),0),
ROUND(ROUND(OFFSET($P86,0,AB$13),15-13*ORÇAMENTO!$AF$7)*OFFSET(ORÇAMENTO!$W$15,ROW(AB86)-ROW(AB$15),0),15-13*ORÇAMENTO!$AF$11)),0)</f>
        <v>0</v>
      </c>
      <c r="AC86" s="542">
        <f ca="1">IF(AND($D86="Serviço",AC$12&lt;&gt;0,$H86&gt;0,OR(AUTOEVENTO&lt;&gt;"manual",$M86&lt;&gt;1)),
IF(Import.TipoArredondamento&lt;&gt;"TransfereGOV",
ROUND(OFFSET($P86,0,AC$13),15-13*ORÇAMENTO!$AF$7)/$H86*OFFSET(ORÇAMENTO!$X$15,ROW(AC86)-ROW(AC$15),0),
ROUND(ROUND(OFFSET($P86,0,AC$13),15-13*ORÇAMENTO!$AF$7)*OFFSET(ORÇAMENTO!$W$15,ROW(AC86)-ROW(AC$15),0),15-13*ORÇAMENTO!$AF$11)),0)</f>
        <v>0</v>
      </c>
      <c r="AD86" s="542">
        <f ca="1">IF(AND($D86="Serviço",AD$12&lt;&gt;0,$H86&gt;0,OR(AUTOEVENTO&lt;&gt;"manual",$M86&lt;&gt;1)),
IF(Import.TipoArredondamento&lt;&gt;"TransfereGOV",
ROUND(OFFSET($P86,0,AD$13),15-13*ORÇAMENTO!$AF$7)/$H86*OFFSET(ORÇAMENTO!$X$15,ROW(AD86)-ROW(AD$15),0),
ROUND(ROUND(OFFSET($P86,0,AD$13),15-13*ORÇAMENTO!$AF$7)*OFFSET(ORÇAMENTO!$W$15,ROW(AD86)-ROW(AD$15),0),15-13*ORÇAMENTO!$AF$11)),0)</f>
        <v>0</v>
      </c>
      <c r="AE86" s="542">
        <f ca="1">IF(AND($D86="Serviço",AE$12&lt;&gt;0,$H86&gt;0,OR(AUTOEVENTO&lt;&gt;"manual",$M86&lt;&gt;1)),
IF(Import.TipoArredondamento&lt;&gt;"TransfereGOV",
ROUND(OFFSET($P86,0,AE$13),15-13*ORÇAMENTO!$AF$7)/$H86*OFFSET(ORÇAMENTO!$X$15,ROW(AE86)-ROW(AE$15),0),
ROUND(ROUND(OFFSET($P86,0,AE$13),15-13*ORÇAMENTO!$AF$7)*OFFSET(ORÇAMENTO!$W$15,ROW(AE86)-ROW(AE$15),0),15-13*ORÇAMENTO!$AF$11)),0)</f>
        <v>0</v>
      </c>
      <c r="AF86" s="542">
        <f ca="1">IF(AND($D86="Serviço",AF$12&lt;&gt;0,$H86&gt;0,OR(AUTOEVENTO&lt;&gt;"manual",$M86&lt;&gt;1)),
IF(Import.TipoArredondamento&lt;&gt;"TransfereGOV",
ROUND(OFFSET($P86,0,AF$13),15-13*ORÇAMENTO!$AF$7)/$H86*OFFSET(ORÇAMENTO!$X$15,ROW(AF86)-ROW(AF$15),0),
ROUND(ROUND(OFFSET($P86,0,AF$13),15-13*ORÇAMENTO!$AF$7)*OFFSET(ORÇAMENTO!$W$15,ROW(AF86)-ROW(AF$15),0),15-13*ORÇAMENTO!$AF$11)),0)</f>
        <v>0</v>
      </c>
      <c r="AG86" s="542">
        <f ca="1">IF(AND($D86="Serviço",AG$12&lt;&gt;0,$H86&gt;0,OR(AUTOEVENTO&lt;&gt;"manual",$M86&lt;&gt;1)),
IF(Import.TipoArredondamento&lt;&gt;"TransfereGOV",
ROUND(OFFSET($P86,0,AG$13),15-13*ORÇAMENTO!$AF$7)/$H86*OFFSET(ORÇAMENTO!$X$15,ROW(AG86)-ROW(AG$15),0),
ROUND(ROUND(OFFSET($P86,0,AG$13),15-13*ORÇAMENTO!$AF$7)*OFFSET(ORÇAMENTO!$W$15,ROW(AG86)-ROW(AG$15),0),15-13*ORÇAMENTO!$AF$11)),0)</f>
        <v>0</v>
      </c>
      <c r="AH86" s="542">
        <f ca="1">IF(AND($D86="Serviço",AH$12&lt;&gt;0,$H86&gt;0,OR(AUTOEVENTO&lt;&gt;"manual",$M86&lt;&gt;1)),
IF(Import.TipoArredondamento&lt;&gt;"TransfereGOV",
ROUND(OFFSET($P86,0,AH$13),15-13*ORÇAMENTO!$AF$7)/$H86*OFFSET(ORÇAMENTO!$X$15,ROW(AH86)-ROW(AH$15),0),
ROUND(ROUND(OFFSET($P86,0,AH$13),15-13*ORÇAMENTO!$AF$7)*OFFSET(ORÇAMENTO!$W$15,ROW(AH86)-ROW(AH$15),0),15-13*ORÇAMENTO!$AF$11)),0)</f>
        <v>0</v>
      </c>
      <c r="AI86" s="542">
        <f ca="1">IF(AND($D86="Serviço",AI$12&lt;&gt;0,$H86&gt;0,OR(AUTOEVENTO&lt;&gt;"manual",$M86&lt;&gt;1)),
IF(Import.TipoArredondamento&lt;&gt;"TransfereGOV",
ROUND(OFFSET($P86,0,AI$13),15-13*ORÇAMENTO!$AF$7)/$H86*OFFSET(ORÇAMENTO!$X$15,ROW(AI86)-ROW(AI$15),0),
ROUND(ROUND(OFFSET($P86,0,AI$13),15-13*ORÇAMENTO!$AF$7)*OFFSET(ORÇAMENTO!$W$15,ROW(AI86)-ROW(AI$15),0),15-13*ORÇAMENTO!$AF$11)),0)</f>
        <v>0</v>
      </c>
      <c r="AJ86" s="542">
        <f ca="1">IF(AND($D86="Serviço",AJ$12&lt;&gt;0,$H86&gt;0,OR(AUTOEVENTO&lt;&gt;"manual",$M86&lt;&gt;1)),
IF(Import.TipoArredondamento&lt;&gt;"TransfereGOV",
ROUND(OFFSET($P86,0,AJ$13),15-13*ORÇAMENTO!$AF$7)/$H86*OFFSET(ORÇAMENTO!$X$15,ROW(AJ86)-ROW(AJ$15),0),
ROUND(ROUND(OFFSET($P86,0,AJ$13),15-13*ORÇAMENTO!$AF$7)*OFFSET(ORÇAMENTO!$W$15,ROW(AJ86)-ROW(AJ$15),0),15-13*ORÇAMENTO!$AF$11)),0)</f>
        <v>0</v>
      </c>
      <c r="AK86" s="543">
        <f ca="1">IF(AND($D86="Serviço",AK$12&lt;&gt;0,$H86&gt;0,OR(AUTOEVENTO&lt;&gt;"manual",$M86&lt;&gt;1)),
IF(Import.TipoArredondamento&lt;&gt;"TransfereGOV",
ROUND(OFFSET($P86,0,AK$13),15-13*ORÇAMENTO!$AF$7)/$H86*OFFSET(ORÇAMENTO!$X$15,ROW(AK86)-ROW(AK$15),0),
ROUND(ROUND(OFFSET($P86,0,AK$13),15-13*ORÇAMENTO!$AF$7)*OFFSET(ORÇAMENTO!$W$15,ROW(AK86)-ROW(AK$15),0),15-13*ORÇAMENTO!$AF$11)),0)</f>
        <v>0</v>
      </c>
      <c r="AM86" s="178">
        <f ca="1">IF($D86&lt;&gt;"Serviço",0,IF(AND(AUTOEVENTO="Manual",$M86=1),0,IF(OFFSET(CRONOPLE!$F$14,$M86,AM$13)="",10^12,OFFSET(CRONOPLE!$F$14,$M86,AM$13))))</f>
        <v>1000000000000</v>
      </c>
      <c r="AN86" s="178">
        <f ca="1">IF($D86&lt;&gt;"Serviço",0,IF(AND(AUTOEVENTO="Manual",$M86=1),0,IF(OFFSET(CRONOPLE!$F$14,$M86,AN$13)="",10^12,OFFSET(CRONOPLE!$F$14,$M86,AN$13))))</f>
        <v>1000000000000</v>
      </c>
      <c r="AO86" s="178">
        <f ca="1">IF($D86&lt;&gt;"Serviço",0,IF(AND(AUTOEVENTO="Manual",$M86=1),0,IF(OFFSET(CRONOPLE!$F$14,$M86,AO$13)="",10^12,OFFSET(CRONOPLE!$F$14,$M86,AO$13))))</f>
        <v>1000000000000</v>
      </c>
      <c r="AP86" s="178">
        <f ca="1">IF($D86&lt;&gt;"Serviço",0,IF(AND(AUTOEVENTO="Manual",$M86=1),0,IF(OFFSET(CRONOPLE!$F$14,$M86,AP$13)="",10^12,OFFSET(CRONOPLE!$F$14,$M86,AP$13))))</f>
        <v>1000000000000</v>
      </c>
      <c r="AQ86" s="178">
        <f ca="1">IF($D86&lt;&gt;"Serviço",0,IF(AND(AUTOEVENTO="Manual",$M86=1),0,IF(OFFSET(CRONOPLE!$F$14,$M86,AQ$13)="",10^12,OFFSET(CRONOPLE!$F$14,$M86,AQ$13))))</f>
        <v>1000000000000</v>
      </c>
      <c r="AR86" s="178">
        <f ca="1">IF($D86&lt;&gt;"Serviço",0,IF(AND(AUTOEVENTO="Manual",$M86=1),0,IF(OFFSET(CRONOPLE!$F$14,$M86,AR$13)="",10^12,OFFSET(CRONOPLE!$F$14,$M86,AR$13))))</f>
        <v>1000000000000</v>
      </c>
      <c r="AS86" s="178">
        <f ca="1">IF($D86&lt;&gt;"Serviço",0,IF(AND(AUTOEVENTO="Manual",$M86=1),0,IF(OFFSET(CRONOPLE!$F$14,$M86,AS$13)="",10^12,OFFSET(CRONOPLE!$F$14,$M86,AS$13))))</f>
        <v>1000000000000</v>
      </c>
      <c r="AT86" s="178">
        <f ca="1">IF($D86&lt;&gt;"Serviço",0,IF(AND(AUTOEVENTO="Manual",$M86=1),0,IF(OFFSET(CRONOPLE!$F$14,$M86,AT$13)="",10^12,OFFSET(CRONOPLE!$F$14,$M86,AT$13))))</f>
        <v>1000000000000</v>
      </c>
      <c r="AU86" s="178">
        <f ca="1">IF($D86&lt;&gt;"Serviço",0,IF(AND(AUTOEVENTO="Manual",$M86=1),0,IF(OFFSET(CRONOPLE!$F$14,$M86,AU$13)="",10^12,OFFSET(CRONOPLE!$F$14,$M86,AU$13))))</f>
        <v>1000000000000</v>
      </c>
      <c r="AV86" s="178">
        <f ca="1">IF($D86&lt;&gt;"Serviço",0,IF(AND(AUTOEVENTO="Manual",$M86=1),0,IF(OFFSET(CRONOPLE!$F$14,$M86,AV$13)="",10^12,OFFSET(CRONOPLE!$F$14,$M86,AV$13))))</f>
        <v>1000000000000</v>
      </c>
      <c r="AX86" s="179">
        <f ca="1">IF($D86&lt;&gt;"Serviço",0,IF(OR(AND(AUTOEVENTO="Manual",$M86=1),$M86&gt;(ROW(PLE.lastrow)-ROW(PLE.firstrow))),0,IF(OFFSET(PLE!$G$14,$M86,AX$13)="",10^12,OFFSET(PLE!$G$14,$M86,AX$13))))</f>
        <v>1000000000000</v>
      </c>
      <c r="AY86" s="179">
        <f ca="1">IF($D86&lt;&gt;"Serviço",0,IF(OR(AND(AUTOEVENTO="Manual",$M86=1),$M86&gt;(ROW(PLE.lastrow)-ROW(PLE.firstrow))),0,IF(OFFSET(PLE!$G$14,$M86,AY$13)="",10^12,OFFSET(PLE!$G$14,$M86,AY$13))))</f>
        <v>1000000000000</v>
      </c>
      <c r="AZ86" s="179">
        <f ca="1">IF($D86&lt;&gt;"Serviço",0,IF(OR(AND(AUTOEVENTO="Manual",$M86=1),$M86&gt;(ROW(PLE.lastrow)-ROW(PLE.firstrow))),0,IF(OFFSET(PLE!$G$14,$M86,AZ$13)="",10^12,OFFSET(PLE!$G$14,$M86,AZ$13))))</f>
        <v>1000000000000</v>
      </c>
      <c r="BA86" s="179">
        <f ca="1">IF($D86&lt;&gt;"Serviço",0,IF(OR(AND(AUTOEVENTO="Manual",$M86=1),$M86&gt;(ROW(PLE.lastrow)-ROW(PLE.firstrow))),0,IF(OFFSET(PLE!$G$14,$M86,BA$13)="",10^12,OFFSET(PLE!$G$14,$M86,BA$13))))</f>
        <v>1000000000000</v>
      </c>
      <c r="BB86" s="179">
        <f ca="1">IF($D86&lt;&gt;"Serviço",0,IF(OR(AND(AUTOEVENTO="Manual",$M86=1),$M86&gt;(ROW(PLE.lastrow)-ROW(PLE.firstrow))),0,IF(OFFSET(PLE!$G$14,$M86,BB$13)="",10^12,OFFSET(PLE!$G$14,$M86,BB$13))))</f>
        <v>1000000000000</v>
      </c>
      <c r="BC86" s="179">
        <f ca="1">IF($D86&lt;&gt;"Serviço",0,IF(OR(AND(AUTOEVENTO="Manual",$M86=1),$M86&gt;(ROW(PLE.lastrow)-ROW(PLE.firstrow))),0,IF(OFFSET(PLE!$G$14,$M86,BC$13)="",10^12,OFFSET(PLE!$G$14,$M86,BC$13))))</f>
        <v>1000000000000</v>
      </c>
      <c r="BD86" s="179">
        <f ca="1">IF($D86&lt;&gt;"Serviço",0,IF(OR(AND(AUTOEVENTO="Manual",$M86=1),$M86&gt;(ROW(PLE.lastrow)-ROW(PLE.firstrow))),0,IF(OFFSET(PLE!$G$14,$M86,BD$13)="",10^12,OFFSET(PLE!$G$14,$M86,BD$13))))</f>
        <v>1000000000000</v>
      </c>
      <c r="BE86" s="179">
        <f ca="1">IF($D86&lt;&gt;"Serviço",0,IF(OR(AND(AUTOEVENTO="Manual",$M86=1),$M86&gt;(ROW(PLE.lastrow)-ROW(PLE.firstrow))),0,IF(OFFSET(PLE!$G$14,$M86,BE$13)="",10^12,OFFSET(PLE!$G$14,$M86,BE$13))))</f>
        <v>1000000000000</v>
      </c>
      <c r="BF86" s="179">
        <f ca="1">IF($D86&lt;&gt;"Serviço",0,IF(OR(AND(AUTOEVENTO="Manual",$M86=1),$M86&gt;(ROW(PLE.lastrow)-ROW(PLE.firstrow))),0,IF(OFFSET(PLE!$G$14,$M86,BF$13)="",10^12,OFFSET(PLE!$G$14,$M86,BF$13))))</f>
        <v>1000000000000</v>
      </c>
      <c r="BG86" s="179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25.5" x14ac:dyDescent="0.2">
      <c r="A87" s="7" t="str">
        <f t="shared" ca="1" si="8"/>
        <v>64</v>
      </c>
      <c r="B87" s="7" t="str">
        <f ca="1">OFFSET(ORÇAMENTO!C$15,ROW(B87)-ROW(B$15),0)</f>
        <v>S</v>
      </c>
      <c r="C87" s="7" t="str">
        <f ca="1">OFFSET(ORÇAMENTO!L$15,ROW(C87)-ROW(C$15),0)</f>
        <v/>
      </c>
      <c r="D87" s="115" t="str">
        <f ca="1">OFFSET(ORÇAMENTO!N$15,ROW(D87)-ROW(D$15),0)</f>
        <v>Serviço</v>
      </c>
      <c r="E87" s="116" t="str">
        <f ca="1">OFFSET(ORÇAMENTO!O$15,ROW(E87)-ROW(E$15),0)</f>
        <v>-</v>
      </c>
      <c r="F87" s="169" t="str">
        <f ca="1">OFFSET(ORÇAMENTO!R$15,ROW(F87)-ROW(F$15),0)</f>
        <v>(abra o arquivo 'Referência 10-2024.xlsm)</v>
      </c>
      <c r="G87" s="170" t="str">
        <f ca="1">IF($D87&lt;&gt;"Serviço","",OFFSET(ORÇAMENTO!S$15,ROW(G87)-ROW(G$15),0))</f>
        <v>-</v>
      </c>
      <c r="H87" s="121">
        <f ca="1">IF($D87&lt;&gt;"Serviço",0,IF(ACOMPANHAMENTO="BM",ROUND(OFFSET(ORÇAMENTO!AJ$15,ROW(H87)-ROW(H$15),0),15-13*ORÇAMENTO!$AF$7),SUMPRODUCT(($Q$12:$AA$12&lt;&gt;"")*ROUND($Q87:$AA87,15-13*ORÇAMENTO!$AF$7))))</f>
        <v>3</v>
      </c>
      <c r="I87" s="558" t="s">
        <v>561</v>
      </c>
      <c r="K87" s="171"/>
      <c r="L87" s="172" t="s">
        <v>255</v>
      </c>
      <c r="M87" s="173">
        <f ca="1">IF($D87&lt;&gt;"Serviço","",IF(AUTOEVENTO="manual",$A87,IF(ISERROR(MATCH($A87,$A$15:OFFSET($A87,-1,0),0)),MAX($M$15:OFFSET(M87,-1,0))+1,INDEX($M$15:OFFSET(M87,-1,0),MATCH($A87,$A$15:OFFSET($A87,-1,0),0)))))</f>
        <v>13</v>
      </c>
      <c r="N87" s="174" t="str">
        <f ca="1">IF($D87&lt;&gt;"Serviço","",IF(AUTOEVENTO="Manual",IF($A87=0,"&lt;-- defina o número do agrupador",OFFSET(EVENTOS!$D$14,$A87,0)),OFFSET($F$15,$A87,0)))</f>
        <v>LOUÇAS, METAIS E ACESSÓRIOS</v>
      </c>
      <c r="O87" s="175"/>
      <c r="Q87" s="175"/>
      <c r="R87" s="176"/>
      <c r="S87" s="176"/>
      <c r="T87" s="176"/>
      <c r="U87" s="176"/>
      <c r="V87" s="176"/>
      <c r="W87" s="176"/>
      <c r="X87" s="176"/>
      <c r="Y87" s="176"/>
      <c r="Z87" s="177"/>
      <c r="AB87" s="541">
        <f ca="1">IF(AND($D87="Serviço",AB$12&lt;&gt;0,$H87&gt;0,OR(AUTOEVENTO&lt;&gt;"manual",$M87&lt;&gt;1)),
IF(Import.TipoArredondamento&lt;&gt;"TransfereGOV",
ROUND(OFFSET($P87,0,AB$13),15-13*ORÇAMENTO!$AF$7)/$H87*OFFSET(ORÇAMENTO!$X$15,ROW(AB87)-ROW(AB$15),0),
ROUND(ROUND(OFFSET($P87,0,AB$13),15-13*ORÇAMENTO!$AF$7)*OFFSET(ORÇAMENTO!$W$15,ROW(AB87)-ROW(AB$15),0),15-13*ORÇAMENTO!$AF$11)),0)</f>
        <v>0</v>
      </c>
      <c r="AC87" s="542">
        <f ca="1">IF(AND($D87="Serviço",AC$12&lt;&gt;0,$H87&gt;0,OR(AUTOEVENTO&lt;&gt;"manual",$M87&lt;&gt;1)),
IF(Import.TipoArredondamento&lt;&gt;"TransfereGOV",
ROUND(OFFSET($P87,0,AC$13),15-13*ORÇAMENTO!$AF$7)/$H87*OFFSET(ORÇAMENTO!$X$15,ROW(AC87)-ROW(AC$15),0),
ROUND(ROUND(OFFSET($P87,0,AC$13),15-13*ORÇAMENTO!$AF$7)*OFFSET(ORÇAMENTO!$W$15,ROW(AC87)-ROW(AC$15),0),15-13*ORÇAMENTO!$AF$11)),0)</f>
        <v>0</v>
      </c>
      <c r="AD87" s="542">
        <f ca="1">IF(AND($D87="Serviço",AD$12&lt;&gt;0,$H87&gt;0,OR(AUTOEVENTO&lt;&gt;"manual",$M87&lt;&gt;1)),
IF(Import.TipoArredondamento&lt;&gt;"TransfereGOV",
ROUND(OFFSET($P87,0,AD$13),15-13*ORÇAMENTO!$AF$7)/$H87*OFFSET(ORÇAMENTO!$X$15,ROW(AD87)-ROW(AD$15),0),
ROUND(ROUND(OFFSET($P87,0,AD$13),15-13*ORÇAMENTO!$AF$7)*OFFSET(ORÇAMENTO!$W$15,ROW(AD87)-ROW(AD$15),0),15-13*ORÇAMENTO!$AF$11)),0)</f>
        <v>0</v>
      </c>
      <c r="AE87" s="542">
        <f ca="1">IF(AND($D87="Serviço",AE$12&lt;&gt;0,$H87&gt;0,OR(AUTOEVENTO&lt;&gt;"manual",$M87&lt;&gt;1)),
IF(Import.TipoArredondamento&lt;&gt;"TransfereGOV",
ROUND(OFFSET($P87,0,AE$13),15-13*ORÇAMENTO!$AF$7)/$H87*OFFSET(ORÇAMENTO!$X$15,ROW(AE87)-ROW(AE$15),0),
ROUND(ROUND(OFFSET($P87,0,AE$13),15-13*ORÇAMENTO!$AF$7)*OFFSET(ORÇAMENTO!$W$15,ROW(AE87)-ROW(AE$15),0),15-13*ORÇAMENTO!$AF$11)),0)</f>
        <v>0</v>
      </c>
      <c r="AF87" s="542">
        <f ca="1">IF(AND($D87="Serviço",AF$12&lt;&gt;0,$H87&gt;0,OR(AUTOEVENTO&lt;&gt;"manual",$M87&lt;&gt;1)),
IF(Import.TipoArredondamento&lt;&gt;"TransfereGOV",
ROUND(OFFSET($P87,0,AF$13),15-13*ORÇAMENTO!$AF$7)/$H87*OFFSET(ORÇAMENTO!$X$15,ROW(AF87)-ROW(AF$15),0),
ROUND(ROUND(OFFSET($P87,0,AF$13),15-13*ORÇAMENTO!$AF$7)*OFFSET(ORÇAMENTO!$W$15,ROW(AF87)-ROW(AF$15),0),15-13*ORÇAMENTO!$AF$11)),0)</f>
        <v>0</v>
      </c>
      <c r="AG87" s="542">
        <f ca="1">IF(AND($D87="Serviço",AG$12&lt;&gt;0,$H87&gt;0,OR(AUTOEVENTO&lt;&gt;"manual",$M87&lt;&gt;1)),
IF(Import.TipoArredondamento&lt;&gt;"TransfereGOV",
ROUND(OFFSET($P87,0,AG$13),15-13*ORÇAMENTO!$AF$7)/$H87*OFFSET(ORÇAMENTO!$X$15,ROW(AG87)-ROW(AG$15),0),
ROUND(ROUND(OFFSET($P87,0,AG$13),15-13*ORÇAMENTO!$AF$7)*OFFSET(ORÇAMENTO!$W$15,ROW(AG87)-ROW(AG$15),0),15-13*ORÇAMENTO!$AF$11)),0)</f>
        <v>0</v>
      </c>
      <c r="AH87" s="542">
        <f ca="1">IF(AND($D87="Serviço",AH$12&lt;&gt;0,$H87&gt;0,OR(AUTOEVENTO&lt;&gt;"manual",$M87&lt;&gt;1)),
IF(Import.TipoArredondamento&lt;&gt;"TransfereGOV",
ROUND(OFFSET($P87,0,AH$13),15-13*ORÇAMENTO!$AF$7)/$H87*OFFSET(ORÇAMENTO!$X$15,ROW(AH87)-ROW(AH$15),0),
ROUND(ROUND(OFFSET($P87,0,AH$13),15-13*ORÇAMENTO!$AF$7)*OFFSET(ORÇAMENTO!$W$15,ROW(AH87)-ROW(AH$15),0),15-13*ORÇAMENTO!$AF$11)),0)</f>
        <v>0</v>
      </c>
      <c r="AI87" s="542">
        <f ca="1">IF(AND($D87="Serviço",AI$12&lt;&gt;0,$H87&gt;0,OR(AUTOEVENTO&lt;&gt;"manual",$M87&lt;&gt;1)),
IF(Import.TipoArredondamento&lt;&gt;"TransfereGOV",
ROUND(OFFSET($P87,0,AI$13),15-13*ORÇAMENTO!$AF$7)/$H87*OFFSET(ORÇAMENTO!$X$15,ROW(AI87)-ROW(AI$15),0),
ROUND(ROUND(OFFSET($P87,0,AI$13),15-13*ORÇAMENTO!$AF$7)*OFFSET(ORÇAMENTO!$W$15,ROW(AI87)-ROW(AI$15),0),15-13*ORÇAMENTO!$AF$11)),0)</f>
        <v>0</v>
      </c>
      <c r="AJ87" s="542">
        <f ca="1">IF(AND($D87="Serviço",AJ$12&lt;&gt;0,$H87&gt;0,OR(AUTOEVENTO&lt;&gt;"manual",$M87&lt;&gt;1)),
IF(Import.TipoArredondamento&lt;&gt;"TransfereGOV",
ROUND(OFFSET($P87,0,AJ$13),15-13*ORÇAMENTO!$AF$7)/$H87*OFFSET(ORÇAMENTO!$X$15,ROW(AJ87)-ROW(AJ$15),0),
ROUND(ROUND(OFFSET($P87,0,AJ$13),15-13*ORÇAMENTO!$AF$7)*OFFSET(ORÇAMENTO!$W$15,ROW(AJ87)-ROW(AJ$15),0),15-13*ORÇAMENTO!$AF$11)),0)</f>
        <v>0</v>
      </c>
      <c r="AK87" s="543">
        <f ca="1">IF(AND($D87="Serviço",AK$12&lt;&gt;0,$H87&gt;0,OR(AUTOEVENTO&lt;&gt;"manual",$M87&lt;&gt;1)),
IF(Import.TipoArredondamento&lt;&gt;"TransfereGOV",
ROUND(OFFSET($P87,0,AK$13),15-13*ORÇAMENTO!$AF$7)/$H87*OFFSET(ORÇAMENTO!$X$15,ROW(AK87)-ROW(AK$15),0),
ROUND(ROUND(OFFSET($P87,0,AK$13),15-13*ORÇAMENTO!$AF$7)*OFFSET(ORÇAMENTO!$W$15,ROW(AK87)-ROW(AK$15),0),15-13*ORÇAMENTO!$AF$11)),0)</f>
        <v>0</v>
      </c>
      <c r="AM87" s="178">
        <f ca="1">IF($D87&lt;&gt;"Serviço",0,IF(AND(AUTOEVENTO="Manual",$M87=1),0,IF(OFFSET(CRONOPLE!$F$14,$M87,AM$13)="",10^12,OFFSET(CRONOPLE!$F$14,$M87,AM$13))))</f>
        <v>1000000000000</v>
      </c>
      <c r="AN87" s="178">
        <f ca="1">IF($D87&lt;&gt;"Serviço",0,IF(AND(AUTOEVENTO="Manual",$M87=1),0,IF(OFFSET(CRONOPLE!$F$14,$M87,AN$13)="",10^12,OFFSET(CRONOPLE!$F$14,$M87,AN$13))))</f>
        <v>1000000000000</v>
      </c>
      <c r="AO87" s="178">
        <f ca="1">IF($D87&lt;&gt;"Serviço",0,IF(AND(AUTOEVENTO="Manual",$M87=1),0,IF(OFFSET(CRONOPLE!$F$14,$M87,AO$13)="",10^12,OFFSET(CRONOPLE!$F$14,$M87,AO$13))))</f>
        <v>1000000000000</v>
      </c>
      <c r="AP87" s="178">
        <f ca="1">IF($D87&lt;&gt;"Serviço",0,IF(AND(AUTOEVENTO="Manual",$M87=1),0,IF(OFFSET(CRONOPLE!$F$14,$M87,AP$13)="",10^12,OFFSET(CRONOPLE!$F$14,$M87,AP$13))))</f>
        <v>1000000000000</v>
      </c>
      <c r="AQ87" s="178">
        <f ca="1">IF($D87&lt;&gt;"Serviço",0,IF(AND(AUTOEVENTO="Manual",$M87=1),0,IF(OFFSET(CRONOPLE!$F$14,$M87,AQ$13)="",10^12,OFFSET(CRONOPLE!$F$14,$M87,AQ$13))))</f>
        <v>1000000000000</v>
      </c>
      <c r="AR87" s="178">
        <f ca="1">IF($D87&lt;&gt;"Serviço",0,IF(AND(AUTOEVENTO="Manual",$M87=1),0,IF(OFFSET(CRONOPLE!$F$14,$M87,AR$13)="",10^12,OFFSET(CRONOPLE!$F$14,$M87,AR$13))))</f>
        <v>1000000000000</v>
      </c>
      <c r="AS87" s="178">
        <f ca="1">IF($D87&lt;&gt;"Serviço",0,IF(AND(AUTOEVENTO="Manual",$M87=1),0,IF(OFFSET(CRONOPLE!$F$14,$M87,AS$13)="",10^12,OFFSET(CRONOPLE!$F$14,$M87,AS$13))))</f>
        <v>1000000000000</v>
      </c>
      <c r="AT87" s="178">
        <f ca="1">IF($D87&lt;&gt;"Serviço",0,IF(AND(AUTOEVENTO="Manual",$M87=1),0,IF(OFFSET(CRONOPLE!$F$14,$M87,AT$13)="",10^12,OFFSET(CRONOPLE!$F$14,$M87,AT$13))))</f>
        <v>1000000000000</v>
      </c>
      <c r="AU87" s="178">
        <f ca="1">IF($D87&lt;&gt;"Serviço",0,IF(AND(AUTOEVENTO="Manual",$M87=1),0,IF(OFFSET(CRONOPLE!$F$14,$M87,AU$13)="",10^12,OFFSET(CRONOPLE!$F$14,$M87,AU$13))))</f>
        <v>1000000000000</v>
      </c>
      <c r="AV87" s="178">
        <f ca="1">IF($D87&lt;&gt;"Serviço",0,IF(AND(AUTOEVENTO="Manual",$M87=1),0,IF(OFFSET(CRONOPLE!$F$14,$M87,AV$13)="",10^12,OFFSET(CRONOPLE!$F$14,$M87,AV$13))))</f>
        <v>1000000000000</v>
      </c>
      <c r="AX87" s="179">
        <f ca="1">IF($D87&lt;&gt;"Serviço",0,IF(OR(AND(AUTOEVENTO="Manual",$M87=1),$M87&gt;(ROW(PLE.lastrow)-ROW(PLE.firstrow))),0,IF(OFFSET(PLE!$G$14,$M87,AX$13)="",10^12,OFFSET(PLE!$G$14,$M87,AX$13))))</f>
        <v>1000000000000</v>
      </c>
      <c r="AY87" s="179">
        <f ca="1">IF($D87&lt;&gt;"Serviço",0,IF(OR(AND(AUTOEVENTO="Manual",$M87=1),$M87&gt;(ROW(PLE.lastrow)-ROW(PLE.firstrow))),0,IF(OFFSET(PLE!$G$14,$M87,AY$13)="",10^12,OFFSET(PLE!$G$14,$M87,AY$13))))</f>
        <v>1000000000000</v>
      </c>
      <c r="AZ87" s="179">
        <f ca="1">IF($D87&lt;&gt;"Serviço",0,IF(OR(AND(AUTOEVENTO="Manual",$M87=1),$M87&gt;(ROW(PLE.lastrow)-ROW(PLE.firstrow))),0,IF(OFFSET(PLE!$G$14,$M87,AZ$13)="",10^12,OFFSET(PLE!$G$14,$M87,AZ$13))))</f>
        <v>1000000000000</v>
      </c>
      <c r="BA87" s="179">
        <f ca="1">IF($D87&lt;&gt;"Serviço",0,IF(OR(AND(AUTOEVENTO="Manual",$M87=1),$M87&gt;(ROW(PLE.lastrow)-ROW(PLE.firstrow))),0,IF(OFFSET(PLE!$G$14,$M87,BA$13)="",10^12,OFFSET(PLE!$G$14,$M87,BA$13))))</f>
        <v>1000000000000</v>
      </c>
      <c r="BB87" s="179">
        <f ca="1">IF($D87&lt;&gt;"Serviço",0,IF(OR(AND(AUTOEVENTO="Manual",$M87=1),$M87&gt;(ROW(PLE.lastrow)-ROW(PLE.firstrow))),0,IF(OFFSET(PLE!$G$14,$M87,BB$13)="",10^12,OFFSET(PLE!$G$14,$M87,BB$13))))</f>
        <v>1000000000000</v>
      </c>
      <c r="BC87" s="179">
        <f ca="1">IF($D87&lt;&gt;"Serviço",0,IF(OR(AND(AUTOEVENTO="Manual",$M87=1),$M87&gt;(ROW(PLE.lastrow)-ROW(PLE.firstrow))),0,IF(OFFSET(PLE!$G$14,$M87,BC$13)="",10^12,OFFSET(PLE!$G$14,$M87,BC$13))))</f>
        <v>1000000000000</v>
      </c>
      <c r="BD87" s="179">
        <f ca="1">IF($D87&lt;&gt;"Serviço",0,IF(OR(AND(AUTOEVENTO="Manual",$M87=1),$M87&gt;(ROW(PLE.lastrow)-ROW(PLE.firstrow))),0,IF(OFFSET(PLE!$G$14,$M87,BD$13)="",10^12,OFFSET(PLE!$G$14,$M87,BD$13))))</f>
        <v>1000000000000</v>
      </c>
      <c r="BE87" s="179">
        <f ca="1">IF($D87&lt;&gt;"Serviço",0,IF(OR(AND(AUTOEVENTO="Manual",$M87=1),$M87&gt;(ROW(PLE.lastrow)-ROW(PLE.firstrow))),0,IF(OFFSET(PLE!$G$14,$M87,BE$13)="",10^12,OFFSET(PLE!$G$14,$M87,BE$13))))</f>
        <v>1000000000000</v>
      </c>
      <c r="BF87" s="179">
        <f ca="1">IF($D87&lt;&gt;"Serviço",0,IF(OR(AND(AUTOEVENTO="Manual",$M87=1),$M87&gt;(ROW(PLE.lastrow)-ROW(PLE.firstrow))),0,IF(OFFSET(PLE!$G$14,$M87,BF$13)="",10^12,OFFSET(PLE!$G$14,$M87,BF$13))))</f>
        <v>1000000000000</v>
      </c>
      <c r="BG87" s="179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25.5" x14ac:dyDescent="0.2">
      <c r="A88" s="7" t="str">
        <f t="shared" ca="1" si="8"/>
        <v>64</v>
      </c>
      <c r="B88" s="7" t="str">
        <f ca="1">OFFSET(ORÇAMENTO!C$15,ROW(B88)-ROW(B$15),0)</f>
        <v>S</v>
      </c>
      <c r="C88" s="7" t="str">
        <f ca="1">OFFSET(ORÇAMENTO!L$15,ROW(C88)-ROW(C$15),0)</f>
        <v/>
      </c>
      <c r="D88" s="115" t="str">
        <f ca="1">OFFSET(ORÇAMENTO!N$15,ROW(D88)-ROW(D$15),0)</f>
        <v>Serviço</v>
      </c>
      <c r="E88" s="116" t="str">
        <f ca="1">OFFSET(ORÇAMENTO!O$15,ROW(E88)-ROW(E$15),0)</f>
        <v>-</v>
      </c>
      <c r="F88" s="169" t="str">
        <f ca="1">OFFSET(ORÇAMENTO!R$15,ROW(F88)-ROW(F$15),0)</f>
        <v>(abra o arquivo 'Referência 10-2024.xlsm)</v>
      </c>
      <c r="G88" s="170" t="str">
        <f ca="1">IF($D88&lt;&gt;"Serviço","",OFFSET(ORÇAMENTO!S$15,ROW(G88)-ROW(G$15),0))</f>
        <v>-</v>
      </c>
      <c r="H88" s="121">
        <f ca="1">IF($D88&lt;&gt;"Serviço",0,IF(ACOMPANHAMENTO="BM",ROUND(OFFSET(ORÇAMENTO!AJ$15,ROW(H88)-ROW(H$15),0),15-13*ORÇAMENTO!$AF$7),SUMPRODUCT(($Q$12:$AA$12&lt;&gt;"")*ROUND($Q88:$AA88,15-13*ORÇAMENTO!$AF$7))))</f>
        <v>3</v>
      </c>
      <c r="I88" s="558" t="s">
        <v>561</v>
      </c>
      <c r="K88" s="171"/>
      <c r="L88" s="172" t="s">
        <v>255</v>
      </c>
      <c r="M88" s="173">
        <f ca="1">IF($D88&lt;&gt;"Serviço","",IF(AUTOEVENTO="manual",$A88,IF(ISERROR(MATCH($A88,$A$15:OFFSET($A88,-1,0),0)),MAX($M$15:OFFSET(M88,-1,0))+1,INDEX($M$15:OFFSET(M88,-1,0),MATCH($A88,$A$15:OFFSET($A88,-1,0),0)))))</f>
        <v>13</v>
      </c>
      <c r="N88" s="174" t="str">
        <f ca="1">IF($D88&lt;&gt;"Serviço","",IF(AUTOEVENTO="Manual",IF($A88=0,"&lt;-- defina o número do agrupador",OFFSET(EVENTOS!$D$14,$A88,0)),OFFSET($F$15,$A88,0)))</f>
        <v>LOUÇAS, METAIS E ACESSÓRIOS</v>
      </c>
      <c r="O88" s="175"/>
      <c r="Q88" s="175"/>
      <c r="R88" s="176"/>
      <c r="S88" s="176"/>
      <c r="T88" s="176"/>
      <c r="U88" s="176"/>
      <c r="V88" s="176"/>
      <c r="W88" s="176"/>
      <c r="X88" s="176"/>
      <c r="Y88" s="176"/>
      <c r="Z88" s="177"/>
      <c r="AB88" s="541">
        <f ca="1">IF(AND($D88="Serviço",AB$12&lt;&gt;0,$H88&gt;0,OR(AUTOEVENTO&lt;&gt;"manual",$M88&lt;&gt;1)),
IF(Import.TipoArredondamento&lt;&gt;"TransfereGOV",
ROUND(OFFSET($P88,0,AB$13),15-13*ORÇAMENTO!$AF$7)/$H88*OFFSET(ORÇAMENTO!$X$15,ROW(AB88)-ROW(AB$15),0),
ROUND(ROUND(OFFSET($P88,0,AB$13),15-13*ORÇAMENTO!$AF$7)*OFFSET(ORÇAMENTO!$W$15,ROW(AB88)-ROW(AB$15),0),15-13*ORÇAMENTO!$AF$11)),0)</f>
        <v>0</v>
      </c>
      <c r="AC88" s="542">
        <f ca="1">IF(AND($D88="Serviço",AC$12&lt;&gt;0,$H88&gt;0,OR(AUTOEVENTO&lt;&gt;"manual",$M88&lt;&gt;1)),
IF(Import.TipoArredondamento&lt;&gt;"TransfereGOV",
ROUND(OFFSET($P88,0,AC$13),15-13*ORÇAMENTO!$AF$7)/$H88*OFFSET(ORÇAMENTO!$X$15,ROW(AC88)-ROW(AC$15),0),
ROUND(ROUND(OFFSET($P88,0,AC$13),15-13*ORÇAMENTO!$AF$7)*OFFSET(ORÇAMENTO!$W$15,ROW(AC88)-ROW(AC$15),0),15-13*ORÇAMENTO!$AF$11)),0)</f>
        <v>0</v>
      </c>
      <c r="AD88" s="542">
        <f ca="1">IF(AND($D88="Serviço",AD$12&lt;&gt;0,$H88&gt;0,OR(AUTOEVENTO&lt;&gt;"manual",$M88&lt;&gt;1)),
IF(Import.TipoArredondamento&lt;&gt;"TransfereGOV",
ROUND(OFFSET($P88,0,AD$13),15-13*ORÇAMENTO!$AF$7)/$H88*OFFSET(ORÇAMENTO!$X$15,ROW(AD88)-ROW(AD$15),0),
ROUND(ROUND(OFFSET($P88,0,AD$13),15-13*ORÇAMENTO!$AF$7)*OFFSET(ORÇAMENTO!$W$15,ROW(AD88)-ROW(AD$15),0),15-13*ORÇAMENTO!$AF$11)),0)</f>
        <v>0</v>
      </c>
      <c r="AE88" s="542">
        <f ca="1">IF(AND($D88="Serviço",AE$12&lt;&gt;0,$H88&gt;0,OR(AUTOEVENTO&lt;&gt;"manual",$M88&lt;&gt;1)),
IF(Import.TipoArredondamento&lt;&gt;"TransfereGOV",
ROUND(OFFSET($P88,0,AE$13),15-13*ORÇAMENTO!$AF$7)/$H88*OFFSET(ORÇAMENTO!$X$15,ROW(AE88)-ROW(AE$15),0),
ROUND(ROUND(OFFSET($P88,0,AE$13),15-13*ORÇAMENTO!$AF$7)*OFFSET(ORÇAMENTO!$W$15,ROW(AE88)-ROW(AE$15),0),15-13*ORÇAMENTO!$AF$11)),0)</f>
        <v>0</v>
      </c>
      <c r="AF88" s="542">
        <f ca="1">IF(AND($D88="Serviço",AF$12&lt;&gt;0,$H88&gt;0,OR(AUTOEVENTO&lt;&gt;"manual",$M88&lt;&gt;1)),
IF(Import.TipoArredondamento&lt;&gt;"TransfereGOV",
ROUND(OFFSET($P88,0,AF$13),15-13*ORÇAMENTO!$AF$7)/$H88*OFFSET(ORÇAMENTO!$X$15,ROW(AF88)-ROW(AF$15),0),
ROUND(ROUND(OFFSET($P88,0,AF$13),15-13*ORÇAMENTO!$AF$7)*OFFSET(ORÇAMENTO!$W$15,ROW(AF88)-ROW(AF$15),0),15-13*ORÇAMENTO!$AF$11)),0)</f>
        <v>0</v>
      </c>
      <c r="AG88" s="542">
        <f ca="1">IF(AND($D88="Serviço",AG$12&lt;&gt;0,$H88&gt;0,OR(AUTOEVENTO&lt;&gt;"manual",$M88&lt;&gt;1)),
IF(Import.TipoArredondamento&lt;&gt;"TransfereGOV",
ROUND(OFFSET($P88,0,AG$13),15-13*ORÇAMENTO!$AF$7)/$H88*OFFSET(ORÇAMENTO!$X$15,ROW(AG88)-ROW(AG$15),0),
ROUND(ROUND(OFFSET($P88,0,AG$13),15-13*ORÇAMENTO!$AF$7)*OFFSET(ORÇAMENTO!$W$15,ROW(AG88)-ROW(AG$15),0),15-13*ORÇAMENTO!$AF$11)),0)</f>
        <v>0</v>
      </c>
      <c r="AH88" s="542">
        <f ca="1">IF(AND($D88="Serviço",AH$12&lt;&gt;0,$H88&gt;0,OR(AUTOEVENTO&lt;&gt;"manual",$M88&lt;&gt;1)),
IF(Import.TipoArredondamento&lt;&gt;"TransfereGOV",
ROUND(OFFSET($P88,0,AH$13),15-13*ORÇAMENTO!$AF$7)/$H88*OFFSET(ORÇAMENTO!$X$15,ROW(AH88)-ROW(AH$15),0),
ROUND(ROUND(OFFSET($P88,0,AH$13),15-13*ORÇAMENTO!$AF$7)*OFFSET(ORÇAMENTO!$W$15,ROW(AH88)-ROW(AH$15),0),15-13*ORÇAMENTO!$AF$11)),0)</f>
        <v>0</v>
      </c>
      <c r="AI88" s="542">
        <f ca="1">IF(AND($D88="Serviço",AI$12&lt;&gt;0,$H88&gt;0,OR(AUTOEVENTO&lt;&gt;"manual",$M88&lt;&gt;1)),
IF(Import.TipoArredondamento&lt;&gt;"TransfereGOV",
ROUND(OFFSET($P88,0,AI$13),15-13*ORÇAMENTO!$AF$7)/$H88*OFFSET(ORÇAMENTO!$X$15,ROW(AI88)-ROW(AI$15),0),
ROUND(ROUND(OFFSET($P88,0,AI$13),15-13*ORÇAMENTO!$AF$7)*OFFSET(ORÇAMENTO!$W$15,ROW(AI88)-ROW(AI$15),0),15-13*ORÇAMENTO!$AF$11)),0)</f>
        <v>0</v>
      </c>
      <c r="AJ88" s="542">
        <f ca="1">IF(AND($D88="Serviço",AJ$12&lt;&gt;0,$H88&gt;0,OR(AUTOEVENTO&lt;&gt;"manual",$M88&lt;&gt;1)),
IF(Import.TipoArredondamento&lt;&gt;"TransfereGOV",
ROUND(OFFSET($P88,0,AJ$13),15-13*ORÇAMENTO!$AF$7)/$H88*OFFSET(ORÇAMENTO!$X$15,ROW(AJ88)-ROW(AJ$15),0),
ROUND(ROUND(OFFSET($P88,0,AJ$13),15-13*ORÇAMENTO!$AF$7)*OFFSET(ORÇAMENTO!$W$15,ROW(AJ88)-ROW(AJ$15),0),15-13*ORÇAMENTO!$AF$11)),0)</f>
        <v>0</v>
      </c>
      <c r="AK88" s="543">
        <f ca="1">IF(AND($D88="Serviço",AK$12&lt;&gt;0,$H88&gt;0,OR(AUTOEVENTO&lt;&gt;"manual",$M88&lt;&gt;1)),
IF(Import.TipoArredondamento&lt;&gt;"TransfereGOV",
ROUND(OFFSET($P88,0,AK$13),15-13*ORÇAMENTO!$AF$7)/$H88*OFFSET(ORÇAMENTO!$X$15,ROW(AK88)-ROW(AK$15),0),
ROUND(ROUND(OFFSET($P88,0,AK$13),15-13*ORÇAMENTO!$AF$7)*OFFSET(ORÇAMENTO!$W$15,ROW(AK88)-ROW(AK$15),0),15-13*ORÇAMENTO!$AF$11)),0)</f>
        <v>0</v>
      </c>
      <c r="AM88" s="178">
        <f ca="1">IF($D88&lt;&gt;"Serviço",0,IF(AND(AUTOEVENTO="Manual",$M88=1),0,IF(OFFSET(CRONOPLE!$F$14,$M88,AM$13)="",10^12,OFFSET(CRONOPLE!$F$14,$M88,AM$13))))</f>
        <v>1000000000000</v>
      </c>
      <c r="AN88" s="178">
        <f ca="1">IF($D88&lt;&gt;"Serviço",0,IF(AND(AUTOEVENTO="Manual",$M88=1),0,IF(OFFSET(CRONOPLE!$F$14,$M88,AN$13)="",10^12,OFFSET(CRONOPLE!$F$14,$M88,AN$13))))</f>
        <v>1000000000000</v>
      </c>
      <c r="AO88" s="178">
        <f ca="1">IF($D88&lt;&gt;"Serviço",0,IF(AND(AUTOEVENTO="Manual",$M88=1),0,IF(OFFSET(CRONOPLE!$F$14,$M88,AO$13)="",10^12,OFFSET(CRONOPLE!$F$14,$M88,AO$13))))</f>
        <v>1000000000000</v>
      </c>
      <c r="AP88" s="178">
        <f ca="1">IF($D88&lt;&gt;"Serviço",0,IF(AND(AUTOEVENTO="Manual",$M88=1),0,IF(OFFSET(CRONOPLE!$F$14,$M88,AP$13)="",10^12,OFFSET(CRONOPLE!$F$14,$M88,AP$13))))</f>
        <v>1000000000000</v>
      </c>
      <c r="AQ88" s="178">
        <f ca="1">IF($D88&lt;&gt;"Serviço",0,IF(AND(AUTOEVENTO="Manual",$M88=1),0,IF(OFFSET(CRONOPLE!$F$14,$M88,AQ$13)="",10^12,OFFSET(CRONOPLE!$F$14,$M88,AQ$13))))</f>
        <v>1000000000000</v>
      </c>
      <c r="AR88" s="178">
        <f ca="1">IF($D88&lt;&gt;"Serviço",0,IF(AND(AUTOEVENTO="Manual",$M88=1),0,IF(OFFSET(CRONOPLE!$F$14,$M88,AR$13)="",10^12,OFFSET(CRONOPLE!$F$14,$M88,AR$13))))</f>
        <v>1000000000000</v>
      </c>
      <c r="AS88" s="178">
        <f ca="1">IF($D88&lt;&gt;"Serviço",0,IF(AND(AUTOEVENTO="Manual",$M88=1),0,IF(OFFSET(CRONOPLE!$F$14,$M88,AS$13)="",10^12,OFFSET(CRONOPLE!$F$14,$M88,AS$13))))</f>
        <v>1000000000000</v>
      </c>
      <c r="AT88" s="178">
        <f ca="1">IF($D88&lt;&gt;"Serviço",0,IF(AND(AUTOEVENTO="Manual",$M88=1),0,IF(OFFSET(CRONOPLE!$F$14,$M88,AT$13)="",10^12,OFFSET(CRONOPLE!$F$14,$M88,AT$13))))</f>
        <v>1000000000000</v>
      </c>
      <c r="AU88" s="178">
        <f ca="1">IF($D88&lt;&gt;"Serviço",0,IF(AND(AUTOEVENTO="Manual",$M88=1),0,IF(OFFSET(CRONOPLE!$F$14,$M88,AU$13)="",10^12,OFFSET(CRONOPLE!$F$14,$M88,AU$13))))</f>
        <v>1000000000000</v>
      </c>
      <c r="AV88" s="178">
        <f ca="1">IF($D88&lt;&gt;"Serviço",0,IF(AND(AUTOEVENTO="Manual",$M88=1),0,IF(OFFSET(CRONOPLE!$F$14,$M88,AV$13)="",10^12,OFFSET(CRONOPLE!$F$14,$M88,AV$13))))</f>
        <v>1000000000000</v>
      </c>
      <c r="AX88" s="179">
        <f ca="1">IF($D88&lt;&gt;"Serviço",0,IF(OR(AND(AUTOEVENTO="Manual",$M88=1),$M88&gt;(ROW(PLE.lastrow)-ROW(PLE.firstrow))),0,IF(OFFSET(PLE!$G$14,$M88,AX$13)="",10^12,OFFSET(PLE!$G$14,$M88,AX$13))))</f>
        <v>1000000000000</v>
      </c>
      <c r="AY88" s="179">
        <f ca="1">IF($D88&lt;&gt;"Serviço",0,IF(OR(AND(AUTOEVENTO="Manual",$M88=1),$M88&gt;(ROW(PLE.lastrow)-ROW(PLE.firstrow))),0,IF(OFFSET(PLE!$G$14,$M88,AY$13)="",10^12,OFFSET(PLE!$G$14,$M88,AY$13))))</f>
        <v>1000000000000</v>
      </c>
      <c r="AZ88" s="179">
        <f ca="1">IF($D88&lt;&gt;"Serviço",0,IF(OR(AND(AUTOEVENTO="Manual",$M88=1),$M88&gt;(ROW(PLE.lastrow)-ROW(PLE.firstrow))),0,IF(OFFSET(PLE!$G$14,$M88,AZ$13)="",10^12,OFFSET(PLE!$G$14,$M88,AZ$13))))</f>
        <v>1000000000000</v>
      </c>
      <c r="BA88" s="179">
        <f ca="1">IF($D88&lt;&gt;"Serviço",0,IF(OR(AND(AUTOEVENTO="Manual",$M88=1),$M88&gt;(ROW(PLE.lastrow)-ROW(PLE.firstrow))),0,IF(OFFSET(PLE!$G$14,$M88,BA$13)="",10^12,OFFSET(PLE!$G$14,$M88,BA$13))))</f>
        <v>1000000000000</v>
      </c>
      <c r="BB88" s="179">
        <f ca="1">IF($D88&lt;&gt;"Serviço",0,IF(OR(AND(AUTOEVENTO="Manual",$M88=1),$M88&gt;(ROW(PLE.lastrow)-ROW(PLE.firstrow))),0,IF(OFFSET(PLE!$G$14,$M88,BB$13)="",10^12,OFFSET(PLE!$G$14,$M88,BB$13))))</f>
        <v>1000000000000</v>
      </c>
      <c r="BC88" s="179">
        <f ca="1">IF($D88&lt;&gt;"Serviço",0,IF(OR(AND(AUTOEVENTO="Manual",$M88=1),$M88&gt;(ROW(PLE.lastrow)-ROW(PLE.firstrow))),0,IF(OFFSET(PLE!$G$14,$M88,BC$13)="",10^12,OFFSET(PLE!$G$14,$M88,BC$13))))</f>
        <v>1000000000000</v>
      </c>
      <c r="BD88" s="179">
        <f ca="1">IF($D88&lt;&gt;"Serviço",0,IF(OR(AND(AUTOEVENTO="Manual",$M88=1),$M88&gt;(ROW(PLE.lastrow)-ROW(PLE.firstrow))),0,IF(OFFSET(PLE!$G$14,$M88,BD$13)="",10^12,OFFSET(PLE!$G$14,$M88,BD$13))))</f>
        <v>1000000000000</v>
      </c>
      <c r="BE88" s="179">
        <f ca="1">IF($D88&lt;&gt;"Serviço",0,IF(OR(AND(AUTOEVENTO="Manual",$M88=1),$M88&gt;(ROW(PLE.lastrow)-ROW(PLE.firstrow))),0,IF(OFFSET(PLE!$G$14,$M88,BE$13)="",10^12,OFFSET(PLE!$G$14,$M88,BE$13))))</f>
        <v>1000000000000</v>
      </c>
      <c r="BF88" s="179">
        <f ca="1">IF($D88&lt;&gt;"Serviço",0,IF(OR(AND(AUTOEVENTO="Manual",$M88=1),$M88&gt;(ROW(PLE.lastrow)-ROW(PLE.firstrow))),0,IF(OFFSET(PLE!$G$14,$M88,BF$13)="",10^12,OFFSET(PLE!$G$14,$M88,BF$13))))</f>
        <v>1000000000000</v>
      </c>
      <c r="BG88" s="179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25.5" x14ac:dyDescent="0.2">
      <c r="A89" s="7" t="str">
        <f t="shared" ca="1" si="8"/>
        <v>64</v>
      </c>
      <c r="B89" s="7" t="str">
        <f ca="1">OFFSET(ORÇAMENTO!C$15,ROW(B89)-ROW(B$15),0)</f>
        <v>S</v>
      </c>
      <c r="C89" s="7" t="str">
        <f ca="1">OFFSET(ORÇAMENTO!L$15,ROW(C89)-ROW(C$15),0)</f>
        <v/>
      </c>
      <c r="D89" s="115" t="str">
        <f ca="1">OFFSET(ORÇAMENTO!N$15,ROW(D89)-ROW(D$15),0)</f>
        <v>Serviço</v>
      </c>
      <c r="E89" s="116" t="str">
        <f ca="1">OFFSET(ORÇAMENTO!O$15,ROW(E89)-ROW(E$15),0)</f>
        <v>-</v>
      </c>
      <c r="F89" s="169" t="str">
        <f ca="1">OFFSET(ORÇAMENTO!R$15,ROW(F89)-ROW(F$15),0)</f>
        <v>(abra o arquivo 'Referência 10-2024.xlsm)</v>
      </c>
      <c r="G89" s="170" t="str">
        <f ca="1">IF($D89&lt;&gt;"Serviço","",OFFSET(ORÇAMENTO!S$15,ROW(G89)-ROW(G$15),0))</f>
        <v>-</v>
      </c>
      <c r="H89" s="121">
        <f ca="1">IF($D89&lt;&gt;"Serviço",0,IF(ACOMPANHAMENTO="BM",ROUND(OFFSET(ORÇAMENTO!AJ$15,ROW(H89)-ROW(H$15),0),15-13*ORÇAMENTO!$AF$7),SUMPRODUCT(($Q$12:$AA$12&lt;&gt;"")*ROUND($Q89:$AA89,15-13*ORÇAMENTO!$AF$7))))</f>
        <v>3</v>
      </c>
      <c r="I89" s="558" t="s">
        <v>561</v>
      </c>
      <c r="K89" s="171"/>
      <c r="L89" s="172" t="s">
        <v>255</v>
      </c>
      <c r="M89" s="173">
        <f ca="1">IF($D89&lt;&gt;"Serviço","",IF(AUTOEVENTO="manual",$A89,IF(ISERROR(MATCH($A89,$A$15:OFFSET($A89,-1,0),0)),MAX($M$15:OFFSET(M89,-1,0))+1,INDEX($M$15:OFFSET(M89,-1,0),MATCH($A89,$A$15:OFFSET($A89,-1,0),0)))))</f>
        <v>13</v>
      </c>
      <c r="N89" s="174" t="str">
        <f ca="1">IF($D89&lt;&gt;"Serviço","",IF(AUTOEVENTO="Manual",IF($A89=0,"&lt;-- defina o número do agrupador",OFFSET(EVENTOS!$D$14,$A89,0)),OFFSET($F$15,$A89,0)))</f>
        <v>LOUÇAS, METAIS E ACESSÓRIOS</v>
      </c>
      <c r="O89" s="175"/>
      <c r="Q89" s="175"/>
      <c r="R89" s="176"/>
      <c r="S89" s="176"/>
      <c r="T89" s="176"/>
      <c r="U89" s="176"/>
      <c r="V89" s="176"/>
      <c r="W89" s="176"/>
      <c r="X89" s="176"/>
      <c r="Y89" s="176"/>
      <c r="Z89" s="177"/>
      <c r="AB89" s="541">
        <f ca="1">IF(AND($D89="Serviço",AB$12&lt;&gt;0,$H89&gt;0,OR(AUTOEVENTO&lt;&gt;"manual",$M89&lt;&gt;1)),
IF(Import.TipoArredondamento&lt;&gt;"TransfereGOV",
ROUND(OFFSET($P89,0,AB$13),15-13*ORÇAMENTO!$AF$7)/$H89*OFFSET(ORÇAMENTO!$X$15,ROW(AB89)-ROW(AB$15),0),
ROUND(ROUND(OFFSET($P89,0,AB$13),15-13*ORÇAMENTO!$AF$7)*OFFSET(ORÇAMENTO!$W$15,ROW(AB89)-ROW(AB$15),0),15-13*ORÇAMENTO!$AF$11)),0)</f>
        <v>0</v>
      </c>
      <c r="AC89" s="542">
        <f ca="1">IF(AND($D89="Serviço",AC$12&lt;&gt;0,$H89&gt;0,OR(AUTOEVENTO&lt;&gt;"manual",$M89&lt;&gt;1)),
IF(Import.TipoArredondamento&lt;&gt;"TransfereGOV",
ROUND(OFFSET($P89,0,AC$13),15-13*ORÇAMENTO!$AF$7)/$H89*OFFSET(ORÇAMENTO!$X$15,ROW(AC89)-ROW(AC$15),0),
ROUND(ROUND(OFFSET($P89,0,AC$13),15-13*ORÇAMENTO!$AF$7)*OFFSET(ORÇAMENTO!$W$15,ROW(AC89)-ROW(AC$15),0),15-13*ORÇAMENTO!$AF$11)),0)</f>
        <v>0</v>
      </c>
      <c r="AD89" s="542">
        <f ca="1">IF(AND($D89="Serviço",AD$12&lt;&gt;0,$H89&gt;0,OR(AUTOEVENTO&lt;&gt;"manual",$M89&lt;&gt;1)),
IF(Import.TipoArredondamento&lt;&gt;"TransfereGOV",
ROUND(OFFSET($P89,0,AD$13),15-13*ORÇAMENTO!$AF$7)/$H89*OFFSET(ORÇAMENTO!$X$15,ROW(AD89)-ROW(AD$15),0),
ROUND(ROUND(OFFSET($P89,0,AD$13),15-13*ORÇAMENTO!$AF$7)*OFFSET(ORÇAMENTO!$W$15,ROW(AD89)-ROW(AD$15),0),15-13*ORÇAMENTO!$AF$11)),0)</f>
        <v>0</v>
      </c>
      <c r="AE89" s="542">
        <f ca="1">IF(AND($D89="Serviço",AE$12&lt;&gt;0,$H89&gt;0,OR(AUTOEVENTO&lt;&gt;"manual",$M89&lt;&gt;1)),
IF(Import.TipoArredondamento&lt;&gt;"TransfereGOV",
ROUND(OFFSET($P89,0,AE$13),15-13*ORÇAMENTO!$AF$7)/$H89*OFFSET(ORÇAMENTO!$X$15,ROW(AE89)-ROW(AE$15),0),
ROUND(ROUND(OFFSET($P89,0,AE$13),15-13*ORÇAMENTO!$AF$7)*OFFSET(ORÇAMENTO!$W$15,ROW(AE89)-ROW(AE$15),0),15-13*ORÇAMENTO!$AF$11)),0)</f>
        <v>0</v>
      </c>
      <c r="AF89" s="542">
        <f ca="1">IF(AND($D89="Serviço",AF$12&lt;&gt;0,$H89&gt;0,OR(AUTOEVENTO&lt;&gt;"manual",$M89&lt;&gt;1)),
IF(Import.TipoArredondamento&lt;&gt;"TransfereGOV",
ROUND(OFFSET($P89,0,AF$13),15-13*ORÇAMENTO!$AF$7)/$H89*OFFSET(ORÇAMENTO!$X$15,ROW(AF89)-ROW(AF$15),0),
ROUND(ROUND(OFFSET($P89,0,AF$13),15-13*ORÇAMENTO!$AF$7)*OFFSET(ORÇAMENTO!$W$15,ROW(AF89)-ROW(AF$15),0),15-13*ORÇAMENTO!$AF$11)),0)</f>
        <v>0</v>
      </c>
      <c r="AG89" s="542">
        <f ca="1">IF(AND($D89="Serviço",AG$12&lt;&gt;0,$H89&gt;0,OR(AUTOEVENTO&lt;&gt;"manual",$M89&lt;&gt;1)),
IF(Import.TipoArredondamento&lt;&gt;"TransfereGOV",
ROUND(OFFSET($P89,0,AG$13),15-13*ORÇAMENTO!$AF$7)/$H89*OFFSET(ORÇAMENTO!$X$15,ROW(AG89)-ROW(AG$15),0),
ROUND(ROUND(OFFSET($P89,0,AG$13),15-13*ORÇAMENTO!$AF$7)*OFFSET(ORÇAMENTO!$W$15,ROW(AG89)-ROW(AG$15),0),15-13*ORÇAMENTO!$AF$11)),0)</f>
        <v>0</v>
      </c>
      <c r="AH89" s="542">
        <f ca="1">IF(AND($D89="Serviço",AH$12&lt;&gt;0,$H89&gt;0,OR(AUTOEVENTO&lt;&gt;"manual",$M89&lt;&gt;1)),
IF(Import.TipoArredondamento&lt;&gt;"TransfereGOV",
ROUND(OFFSET($P89,0,AH$13),15-13*ORÇAMENTO!$AF$7)/$H89*OFFSET(ORÇAMENTO!$X$15,ROW(AH89)-ROW(AH$15),0),
ROUND(ROUND(OFFSET($P89,0,AH$13),15-13*ORÇAMENTO!$AF$7)*OFFSET(ORÇAMENTO!$W$15,ROW(AH89)-ROW(AH$15),0),15-13*ORÇAMENTO!$AF$11)),0)</f>
        <v>0</v>
      </c>
      <c r="AI89" s="542">
        <f ca="1">IF(AND($D89="Serviço",AI$12&lt;&gt;0,$H89&gt;0,OR(AUTOEVENTO&lt;&gt;"manual",$M89&lt;&gt;1)),
IF(Import.TipoArredondamento&lt;&gt;"TransfereGOV",
ROUND(OFFSET($P89,0,AI$13),15-13*ORÇAMENTO!$AF$7)/$H89*OFFSET(ORÇAMENTO!$X$15,ROW(AI89)-ROW(AI$15),0),
ROUND(ROUND(OFFSET($P89,0,AI$13),15-13*ORÇAMENTO!$AF$7)*OFFSET(ORÇAMENTO!$W$15,ROW(AI89)-ROW(AI$15),0),15-13*ORÇAMENTO!$AF$11)),0)</f>
        <v>0</v>
      </c>
      <c r="AJ89" s="542">
        <f ca="1">IF(AND($D89="Serviço",AJ$12&lt;&gt;0,$H89&gt;0,OR(AUTOEVENTO&lt;&gt;"manual",$M89&lt;&gt;1)),
IF(Import.TipoArredondamento&lt;&gt;"TransfereGOV",
ROUND(OFFSET($P89,0,AJ$13),15-13*ORÇAMENTO!$AF$7)/$H89*OFFSET(ORÇAMENTO!$X$15,ROW(AJ89)-ROW(AJ$15),0),
ROUND(ROUND(OFFSET($P89,0,AJ$13),15-13*ORÇAMENTO!$AF$7)*OFFSET(ORÇAMENTO!$W$15,ROW(AJ89)-ROW(AJ$15),0),15-13*ORÇAMENTO!$AF$11)),0)</f>
        <v>0</v>
      </c>
      <c r="AK89" s="543">
        <f ca="1">IF(AND($D89="Serviço",AK$12&lt;&gt;0,$H89&gt;0,OR(AUTOEVENTO&lt;&gt;"manual",$M89&lt;&gt;1)),
IF(Import.TipoArredondamento&lt;&gt;"TransfereGOV",
ROUND(OFFSET($P89,0,AK$13),15-13*ORÇAMENTO!$AF$7)/$H89*OFFSET(ORÇAMENTO!$X$15,ROW(AK89)-ROW(AK$15),0),
ROUND(ROUND(OFFSET($P89,0,AK$13),15-13*ORÇAMENTO!$AF$7)*OFFSET(ORÇAMENTO!$W$15,ROW(AK89)-ROW(AK$15),0),15-13*ORÇAMENTO!$AF$11)),0)</f>
        <v>0</v>
      </c>
      <c r="AM89" s="178">
        <f ca="1">IF($D89&lt;&gt;"Serviço",0,IF(AND(AUTOEVENTO="Manual",$M89=1),0,IF(OFFSET(CRONOPLE!$F$14,$M89,AM$13)="",10^12,OFFSET(CRONOPLE!$F$14,$M89,AM$13))))</f>
        <v>1000000000000</v>
      </c>
      <c r="AN89" s="178">
        <f ca="1">IF($D89&lt;&gt;"Serviço",0,IF(AND(AUTOEVENTO="Manual",$M89=1),0,IF(OFFSET(CRONOPLE!$F$14,$M89,AN$13)="",10^12,OFFSET(CRONOPLE!$F$14,$M89,AN$13))))</f>
        <v>1000000000000</v>
      </c>
      <c r="AO89" s="178">
        <f ca="1">IF($D89&lt;&gt;"Serviço",0,IF(AND(AUTOEVENTO="Manual",$M89=1),0,IF(OFFSET(CRONOPLE!$F$14,$M89,AO$13)="",10^12,OFFSET(CRONOPLE!$F$14,$M89,AO$13))))</f>
        <v>1000000000000</v>
      </c>
      <c r="AP89" s="178">
        <f ca="1">IF($D89&lt;&gt;"Serviço",0,IF(AND(AUTOEVENTO="Manual",$M89=1),0,IF(OFFSET(CRONOPLE!$F$14,$M89,AP$13)="",10^12,OFFSET(CRONOPLE!$F$14,$M89,AP$13))))</f>
        <v>1000000000000</v>
      </c>
      <c r="AQ89" s="178">
        <f ca="1">IF($D89&lt;&gt;"Serviço",0,IF(AND(AUTOEVENTO="Manual",$M89=1),0,IF(OFFSET(CRONOPLE!$F$14,$M89,AQ$13)="",10^12,OFFSET(CRONOPLE!$F$14,$M89,AQ$13))))</f>
        <v>1000000000000</v>
      </c>
      <c r="AR89" s="178">
        <f ca="1">IF($D89&lt;&gt;"Serviço",0,IF(AND(AUTOEVENTO="Manual",$M89=1),0,IF(OFFSET(CRONOPLE!$F$14,$M89,AR$13)="",10^12,OFFSET(CRONOPLE!$F$14,$M89,AR$13))))</f>
        <v>1000000000000</v>
      </c>
      <c r="AS89" s="178">
        <f ca="1">IF($D89&lt;&gt;"Serviço",0,IF(AND(AUTOEVENTO="Manual",$M89=1),0,IF(OFFSET(CRONOPLE!$F$14,$M89,AS$13)="",10^12,OFFSET(CRONOPLE!$F$14,$M89,AS$13))))</f>
        <v>1000000000000</v>
      </c>
      <c r="AT89" s="178">
        <f ca="1">IF($D89&lt;&gt;"Serviço",0,IF(AND(AUTOEVENTO="Manual",$M89=1),0,IF(OFFSET(CRONOPLE!$F$14,$M89,AT$13)="",10^12,OFFSET(CRONOPLE!$F$14,$M89,AT$13))))</f>
        <v>1000000000000</v>
      </c>
      <c r="AU89" s="178">
        <f ca="1">IF($D89&lt;&gt;"Serviço",0,IF(AND(AUTOEVENTO="Manual",$M89=1),0,IF(OFFSET(CRONOPLE!$F$14,$M89,AU$13)="",10^12,OFFSET(CRONOPLE!$F$14,$M89,AU$13))))</f>
        <v>1000000000000</v>
      </c>
      <c r="AV89" s="178">
        <f ca="1">IF($D89&lt;&gt;"Serviço",0,IF(AND(AUTOEVENTO="Manual",$M89=1),0,IF(OFFSET(CRONOPLE!$F$14,$M89,AV$13)="",10^12,OFFSET(CRONOPLE!$F$14,$M89,AV$13))))</f>
        <v>1000000000000</v>
      </c>
      <c r="AX89" s="179">
        <f ca="1">IF($D89&lt;&gt;"Serviço",0,IF(OR(AND(AUTOEVENTO="Manual",$M89=1),$M89&gt;(ROW(PLE.lastrow)-ROW(PLE.firstrow))),0,IF(OFFSET(PLE!$G$14,$M89,AX$13)="",10^12,OFFSET(PLE!$G$14,$M89,AX$13))))</f>
        <v>1000000000000</v>
      </c>
      <c r="AY89" s="179">
        <f ca="1">IF($D89&lt;&gt;"Serviço",0,IF(OR(AND(AUTOEVENTO="Manual",$M89=1),$M89&gt;(ROW(PLE.lastrow)-ROW(PLE.firstrow))),0,IF(OFFSET(PLE!$G$14,$M89,AY$13)="",10^12,OFFSET(PLE!$G$14,$M89,AY$13))))</f>
        <v>1000000000000</v>
      </c>
      <c r="AZ89" s="179">
        <f ca="1">IF($D89&lt;&gt;"Serviço",0,IF(OR(AND(AUTOEVENTO="Manual",$M89=1),$M89&gt;(ROW(PLE.lastrow)-ROW(PLE.firstrow))),0,IF(OFFSET(PLE!$G$14,$M89,AZ$13)="",10^12,OFFSET(PLE!$G$14,$M89,AZ$13))))</f>
        <v>1000000000000</v>
      </c>
      <c r="BA89" s="179">
        <f ca="1">IF($D89&lt;&gt;"Serviço",0,IF(OR(AND(AUTOEVENTO="Manual",$M89=1),$M89&gt;(ROW(PLE.lastrow)-ROW(PLE.firstrow))),0,IF(OFFSET(PLE!$G$14,$M89,BA$13)="",10^12,OFFSET(PLE!$G$14,$M89,BA$13))))</f>
        <v>1000000000000</v>
      </c>
      <c r="BB89" s="179">
        <f ca="1">IF($D89&lt;&gt;"Serviço",0,IF(OR(AND(AUTOEVENTO="Manual",$M89=1),$M89&gt;(ROW(PLE.lastrow)-ROW(PLE.firstrow))),0,IF(OFFSET(PLE!$G$14,$M89,BB$13)="",10^12,OFFSET(PLE!$G$14,$M89,BB$13))))</f>
        <v>1000000000000</v>
      </c>
      <c r="BC89" s="179">
        <f ca="1">IF($D89&lt;&gt;"Serviço",0,IF(OR(AND(AUTOEVENTO="Manual",$M89=1),$M89&gt;(ROW(PLE.lastrow)-ROW(PLE.firstrow))),0,IF(OFFSET(PLE!$G$14,$M89,BC$13)="",10^12,OFFSET(PLE!$G$14,$M89,BC$13))))</f>
        <v>1000000000000</v>
      </c>
      <c r="BD89" s="179">
        <f ca="1">IF($D89&lt;&gt;"Serviço",0,IF(OR(AND(AUTOEVENTO="Manual",$M89=1),$M89&gt;(ROW(PLE.lastrow)-ROW(PLE.firstrow))),0,IF(OFFSET(PLE!$G$14,$M89,BD$13)="",10^12,OFFSET(PLE!$G$14,$M89,BD$13))))</f>
        <v>1000000000000</v>
      </c>
      <c r="BE89" s="179">
        <f ca="1">IF($D89&lt;&gt;"Serviço",0,IF(OR(AND(AUTOEVENTO="Manual",$M89=1),$M89&gt;(ROW(PLE.lastrow)-ROW(PLE.firstrow))),0,IF(OFFSET(PLE!$G$14,$M89,BE$13)="",10^12,OFFSET(PLE!$G$14,$M89,BE$13))))</f>
        <v>1000000000000</v>
      </c>
      <c r="BF89" s="179">
        <f ca="1">IF($D89&lt;&gt;"Serviço",0,IF(OR(AND(AUTOEVENTO="Manual",$M89=1),$M89&gt;(ROW(PLE.lastrow)-ROW(PLE.firstrow))),0,IF(OFFSET(PLE!$G$14,$M89,BF$13)="",10^12,OFFSET(PLE!$G$14,$M89,BF$13))))</f>
        <v>1000000000000</v>
      </c>
      <c r="BG89" s="179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25.5" x14ac:dyDescent="0.2">
      <c r="A90" s="7" t="str">
        <f t="shared" ca="1" si="8"/>
        <v>64</v>
      </c>
      <c r="B90" s="7" t="str">
        <f ca="1">OFFSET(ORÇAMENTO!C$15,ROW(B90)-ROW(B$15),0)</f>
        <v>S</v>
      </c>
      <c r="C90" s="7" t="str">
        <f ca="1">OFFSET(ORÇAMENTO!L$15,ROW(C90)-ROW(C$15),0)</f>
        <v/>
      </c>
      <c r="D90" s="115" t="str">
        <f ca="1">OFFSET(ORÇAMENTO!N$15,ROW(D90)-ROW(D$15),0)</f>
        <v>Serviço</v>
      </c>
      <c r="E90" s="116" t="str">
        <f ca="1">OFFSET(ORÇAMENTO!O$15,ROW(E90)-ROW(E$15),0)</f>
        <v>-</v>
      </c>
      <c r="F90" s="169" t="str">
        <f ca="1">OFFSET(ORÇAMENTO!R$15,ROW(F90)-ROW(F$15),0)</f>
        <v>(abra o arquivo 'Referência 10-2024.xlsm)</v>
      </c>
      <c r="G90" s="170" t="str">
        <f ca="1">IF($D90&lt;&gt;"Serviço","",OFFSET(ORÇAMENTO!S$15,ROW(G90)-ROW(G$15),0))</f>
        <v>-</v>
      </c>
      <c r="H90" s="121">
        <f ca="1">IF($D90&lt;&gt;"Serviço",0,IF(ACOMPANHAMENTO="BM",ROUND(OFFSET(ORÇAMENTO!AJ$15,ROW(H90)-ROW(H$15),0),15-13*ORÇAMENTO!$AF$7),SUMPRODUCT(($Q$12:$AA$12&lt;&gt;"")*ROUND($Q90:$AA90,15-13*ORÇAMENTO!$AF$7))))</f>
        <v>6</v>
      </c>
      <c r="I90" s="558" t="s">
        <v>561</v>
      </c>
      <c r="K90" s="171"/>
      <c r="L90" s="172" t="s">
        <v>255</v>
      </c>
      <c r="M90" s="173">
        <f ca="1">IF($D90&lt;&gt;"Serviço","",IF(AUTOEVENTO="manual",$A90,IF(ISERROR(MATCH($A90,$A$15:OFFSET($A90,-1,0),0)),MAX($M$15:OFFSET(M90,-1,0))+1,INDEX($M$15:OFFSET(M90,-1,0),MATCH($A90,$A$15:OFFSET($A90,-1,0),0)))))</f>
        <v>13</v>
      </c>
      <c r="N90" s="174" t="str">
        <f ca="1">IF($D90&lt;&gt;"Serviço","",IF(AUTOEVENTO="Manual",IF($A90=0,"&lt;-- defina o número do agrupador",OFFSET(EVENTOS!$D$14,$A90,0)),OFFSET($F$15,$A90,0)))</f>
        <v>LOUÇAS, METAIS E ACESSÓRIOS</v>
      </c>
      <c r="O90" s="175"/>
      <c r="Q90" s="175"/>
      <c r="R90" s="176"/>
      <c r="S90" s="176"/>
      <c r="T90" s="176"/>
      <c r="U90" s="176"/>
      <c r="V90" s="176"/>
      <c r="W90" s="176"/>
      <c r="X90" s="176"/>
      <c r="Y90" s="176"/>
      <c r="Z90" s="177"/>
      <c r="AB90" s="541">
        <f ca="1">IF(AND($D90="Serviço",AB$12&lt;&gt;0,$H90&gt;0,OR(AUTOEVENTO&lt;&gt;"manual",$M90&lt;&gt;1)),
IF(Import.TipoArredondamento&lt;&gt;"TransfereGOV",
ROUND(OFFSET($P90,0,AB$13),15-13*ORÇAMENTO!$AF$7)/$H90*OFFSET(ORÇAMENTO!$X$15,ROW(AB90)-ROW(AB$15),0),
ROUND(ROUND(OFFSET($P90,0,AB$13),15-13*ORÇAMENTO!$AF$7)*OFFSET(ORÇAMENTO!$W$15,ROW(AB90)-ROW(AB$15),0),15-13*ORÇAMENTO!$AF$11)),0)</f>
        <v>0</v>
      </c>
      <c r="AC90" s="542">
        <f ca="1">IF(AND($D90="Serviço",AC$12&lt;&gt;0,$H90&gt;0,OR(AUTOEVENTO&lt;&gt;"manual",$M90&lt;&gt;1)),
IF(Import.TipoArredondamento&lt;&gt;"TransfereGOV",
ROUND(OFFSET($P90,0,AC$13),15-13*ORÇAMENTO!$AF$7)/$H90*OFFSET(ORÇAMENTO!$X$15,ROW(AC90)-ROW(AC$15),0),
ROUND(ROUND(OFFSET($P90,0,AC$13),15-13*ORÇAMENTO!$AF$7)*OFFSET(ORÇAMENTO!$W$15,ROW(AC90)-ROW(AC$15),0),15-13*ORÇAMENTO!$AF$11)),0)</f>
        <v>0</v>
      </c>
      <c r="AD90" s="542">
        <f ca="1">IF(AND($D90="Serviço",AD$12&lt;&gt;0,$H90&gt;0,OR(AUTOEVENTO&lt;&gt;"manual",$M90&lt;&gt;1)),
IF(Import.TipoArredondamento&lt;&gt;"TransfereGOV",
ROUND(OFFSET($P90,0,AD$13),15-13*ORÇAMENTO!$AF$7)/$H90*OFFSET(ORÇAMENTO!$X$15,ROW(AD90)-ROW(AD$15),0),
ROUND(ROUND(OFFSET($P90,0,AD$13),15-13*ORÇAMENTO!$AF$7)*OFFSET(ORÇAMENTO!$W$15,ROW(AD90)-ROW(AD$15),0),15-13*ORÇAMENTO!$AF$11)),0)</f>
        <v>0</v>
      </c>
      <c r="AE90" s="542">
        <f ca="1">IF(AND($D90="Serviço",AE$12&lt;&gt;0,$H90&gt;0,OR(AUTOEVENTO&lt;&gt;"manual",$M90&lt;&gt;1)),
IF(Import.TipoArredondamento&lt;&gt;"TransfereGOV",
ROUND(OFFSET($P90,0,AE$13),15-13*ORÇAMENTO!$AF$7)/$H90*OFFSET(ORÇAMENTO!$X$15,ROW(AE90)-ROW(AE$15),0),
ROUND(ROUND(OFFSET($P90,0,AE$13),15-13*ORÇAMENTO!$AF$7)*OFFSET(ORÇAMENTO!$W$15,ROW(AE90)-ROW(AE$15),0),15-13*ORÇAMENTO!$AF$11)),0)</f>
        <v>0</v>
      </c>
      <c r="AF90" s="542">
        <f ca="1">IF(AND($D90="Serviço",AF$12&lt;&gt;0,$H90&gt;0,OR(AUTOEVENTO&lt;&gt;"manual",$M90&lt;&gt;1)),
IF(Import.TipoArredondamento&lt;&gt;"TransfereGOV",
ROUND(OFFSET($P90,0,AF$13),15-13*ORÇAMENTO!$AF$7)/$H90*OFFSET(ORÇAMENTO!$X$15,ROW(AF90)-ROW(AF$15),0),
ROUND(ROUND(OFFSET($P90,0,AF$13),15-13*ORÇAMENTO!$AF$7)*OFFSET(ORÇAMENTO!$W$15,ROW(AF90)-ROW(AF$15),0),15-13*ORÇAMENTO!$AF$11)),0)</f>
        <v>0</v>
      </c>
      <c r="AG90" s="542">
        <f ca="1">IF(AND($D90="Serviço",AG$12&lt;&gt;0,$H90&gt;0,OR(AUTOEVENTO&lt;&gt;"manual",$M90&lt;&gt;1)),
IF(Import.TipoArredondamento&lt;&gt;"TransfereGOV",
ROUND(OFFSET($P90,0,AG$13),15-13*ORÇAMENTO!$AF$7)/$H90*OFFSET(ORÇAMENTO!$X$15,ROW(AG90)-ROW(AG$15),0),
ROUND(ROUND(OFFSET($P90,0,AG$13),15-13*ORÇAMENTO!$AF$7)*OFFSET(ORÇAMENTO!$W$15,ROW(AG90)-ROW(AG$15),0),15-13*ORÇAMENTO!$AF$11)),0)</f>
        <v>0</v>
      </c>
      <c r="AH90" s="542">
        <f ca="1">IF(AND($D90="Serviço",AH$12&lt;&gt;0,$H90&gt;0,OR(AUTOEVENTO&lt;&gt;"manual",$M90&lt;&gt;1)),
IF(Import.TipoArredondamento&lt;&gt;"TransfereGOV",
ROUND(OFFSET($P90,0,AH$13),15-13*ORÇAMENTO!$AF$7)/$H90*OFFSET(ORÇAMENTO!$X$15,ROW(AH90)-ROW(AH$15),0),
ROUND(ROUND(OFFSET($P90,0,AH$13),15-13*ORÇAMENTO!$AF$7)*OFFSET(ORÇAMENTO!$W$15,ROW(AH90)-ROW(AH$15),0),15-13*ORÇAMENTO!$AF$11)),0)</f>
        <v>0</v>
      </c>
      <c r="AI90" s="542">
        <f ca="1">IF(AND($D90="Serviço",AI$12&lt;&gt;0,$H90&gt;0,OR(AUTOEVENTO&lt;&gt;"manual",$M90&lt;&gt;1)),
IF(Import.TipoArredondamento&lt;&gt;"TransfereGOV",
ROUND(OFFSET($P90,0,AI$13),15-13*ORÇAMENTO!$AF$7)/$H90*OFFSET(ORÇAMENTO!$X$15,ROW(AI90)-ROW(AI$15),0),
ROUND(ROUND(OFFSET($P90,0,AI$13),15-13*ORÇAMENTO!$AF$7)*OFFSET(ORÇAMENTO!$W$15,ROW(AI90)-ROW(AI$15),0),15-13*ORÇAMENTO!$AF$11)),0)</f>
        <v>0</v>
      </c>
      <c r="AJ90" s="542">
        <f ca="1">IF(AND($D90="Serviço",AJ$12&lt;&gt;0,$H90&gt;0,OR(AUTOEVENTO&lt;&gt;"manual",$M90&lt;&gt;1)),
IF(Import.TipoArredondamento&lt;&gt;"TransfereGOV",
ROUND(OFFSET($P90,0,AJ$13),15-13*ORÇAMENTO!$AF$7)/$H90*OFFSET(ORÇAMENTO!$X$15,ROW(AJ90)-ROW(AJ$15),0),
ROUND(ROUND(OFFSET($P90,0,AJ$13),15-13*ORÇAMENTO!$AF$7)*OFFSET(ORÇAMENTO!$W$15,ROW(AJ90)-ROW(AJ$15),0),15-13*ORÇAMENTO!$AF$11)),0)</f>
        <v>0</v>
      </c>
      <c r="AK90" s="543">
        <f ca="1">IF(AND($D90="Serviço",AK$12&lt;&gt;0,$H90&gt;0,OR(AUTOEVENTO&lt;&gt;"manual",$M90&lt;&gt;1)),
IF(Import.TipoArredondamento&lt;&gt;"TransfereGOV",
ROUND(OFFSET($P90,0,AK$13),15-13*ORÇAMENTO!$AF$7)/$H90*OFFSET(ORÇAMENTO!$X$15,ROW(AK90)-ROW(AK$15),0),
ROUND(ROUND(OFFSET($P90,0,AK$13),15-13*ORÇAMENTO!$AF$7)*OFFSET(ORÇAMENTO!$W$15,ROW(AK90)-ROW(AK$15),0),15-13*ORÇAMENTO!$AF$11)),0)</f>
        <v>0</v>
      </c>
      <c r="AM90" s="178">
        <f ca="1">IF($D90&lt;&gt;"Serviço",0,IF(AND(AUTOEVENTO="Manual",$M90=1),0,IF(OFFSET(CRONOPLE!$F$14,$M90,AM$13)="",10^12,OFFSET(CRONOPLE!$F$14,$M90,AM$13))))</f>
        <v>1000000000000</v>
      </c>
      <c r="AN90" s="178">
        <f ca="1">IF($D90&lt;&gt;"Serviço",0,IF(AND(AUTOEVENTO="Manual",$M90=1),0,IF(OFFSET(CRONOPLE!$F$14,$M90,AN$13)="",10^12,OFFSET(CRONOPLE!$F$14,$M90,AN$13))))</f>
        <v>1000000000000</v>
      </c>
      <c r="AO90" s="178">
        <f ca="1">IF($D90&lt;&gt;"Serviço",0,IF(AND(AUTOEVENTO="Manual",$M90=1),0,IF(OFFSET(CRONOPLE!$F$14,$M90,AO$13)="",10^12,OFFSET(CRONOPLE!$F$14,$M90,AO$13))))</f>
        <v>1000000000000</v>
      </c>
      <c r="AP90" s="178">
        <f ca="1">IF($D90&lt;&gt;"Serviço",0,IF(AND(AUTOEVENTO="Manual",$M90=1),0,IF(OFFSET(CRONOPLE!$F$14,$M90,AP$13)="",10^12,OFFSET(CRONOPLE!$F$14,$M90,AP$13))))</f>
        <v>1000000000000</v>
      </c>
      <c r="AQ90" s="178">
        <f ca="1">IF($D90&lt;&gt;"Serviço",0,IF(AND(AUTOEVENTO="Manual",$M90=1),0,IF(OFFSET(CRONOPLE!$F$14,$M90,AQ$13)="",10^12,OFFSET(CRONOPLE!$F$14,$M90,AQ$13))))</f>
        <v>1000000000000</v>
      </c>
      <c r="AR90" s="178">
        <f ca="1">IF($D90&lt;&gt;"Serviço",0,IF(AND(AUTOEVENTO="Manual",$M90=1),0,IF(OFFSET(CRONOPLE!$F$14,$M90,AR$13)="",10^12,OFFSET(CRONOPLE!$F$14,$M90,AR$13))))</f>
        <v>1000000000000</v>
      </c>
      <c r="AS90" s="178">
        <f ca="1">IF($D90&lt;&gt;"Serviço",0,IF(AND(AUTOEVENTO="Manual",$M90=1),0,IF(OFFSET(CRONOPLE!$F$14,$M90,AS$13)="",10^12,OFFSET(CRONOPLE!$F$14,$M90,AS$13))))</f>
        <v>1000000000000</v>
      </c>
      <c r="AT90" s="178">
        <f ca="1">IF($D90&lt;&gt;"Serviço",0,IF(AND(AUTOEVENTO="Manual",$M90=1),0,IF(OFFSET(CRONOPLE!$F$14,$M90,AT$13)="",10^12,OFFSET(CRONOPLE!$F$14,$M90,AT$13))))</f>
        <v>1000000000000</v>
      </c>
      <c r="AU90" s="178">
        <f ca="1">IF($D90&lt;&gt;"Serviço",0,IF(AND(AUTOEVENTO="Manual",$M90=1),0,IF(OFFSET(CRONOPLE!$F$14,$M90,AU$13)="",10^12,OFFSET(CRONOPLE!$F$14,$M90,AU$13))))</f>
        <v>1000000000000</v>
      </c>
      <c r="AV90" s="178">
        <f ca="1">IF($D90&lt;&gt;"Serviço",0,IF(AND(AUTOEVENTO="Manual",$M90=1),0,IF(OFFSET(CRONOPLE!$F$14,$M90,AV$13)="",10^12,OFFSET(CRONOPLE!$F$14,$M90,AV$13))))</f>
        <v>1000000000000</v>
      </c>
      <c r="AX90" s="179">
        <f ca="1">IF($D90&lt;&gt;"Serviço",0,IF(OR(AND(AUTOEVENTO="Manual",$M90=1),$M90&gt;(ROW(PLE.lastrow)-ROW(PLE.firstrow))),0,IF(OFFSET(PLE!$G$14,$M90,AX$13)="",10^12,OFFSET(PLE!$G$14,$M90,AX$13))))</f>
        <v>1000000000000</v>
      </c>
      <c r="AY90" s="179">
        <f ca="1">IF($D90&lt;&gt;"Serviço",0,IF(OR(AND(AUTOEVENTO="Manual",$M90=1),$M90&gt;(ROW(PLE.lastrow)-ROW(PLE.firstrow))),0,IF(OFFSET(PLE!$G$14,$M90,AY$13)="",10^12,OFFSET(PLE!$G$14,$M90,AY$13))))</f>
        <v>1000000000000</v>
      </c>
      <c r="AZ90" s="179">
        <f ca="1">IF($D90&lt;&gt;"Serviço",0,IF(OR(AND(AUTOEVENTO="Manual",$M90=1),$M90&gt;(ROW(PLE.lastrow)-ROW(PLE.firstrow))),0,IF(OFFSET(PLE!$G$14,$M90,AZ$13)="",10^12,OFFSET(PLE!$G$14,$M90,AZ$13))))</f>
        <v>1000000000000</v>
      </c>
      <c r="BA90" s="179">
        <f ca="1">IF($D90&lt;&gt;"Serviço",0,IF(OR(AND(AUTOEVENTO="Manual",$M90=1),$M90&gt;(ROW(PLE.lastrow)-ROW(PLE.firstrow))),0,IF(OFFSET(PLE!$G$14,$M90,BA$13)="",10^12,OFFSET(PLE!$G$14,$M90,BA$13))))</f>
        <v>1000000000000</v>
      </c>
      <c r="BB90" s="179">
        <f ca="1">IF($D90&lt;&gt;"Serviço",0,IF(OR(AND(AUTOEVENTO="Manual",$M90=1),$M90&gt;(ROW(PLE.lastrow)-ROW(PLE.firstrow))),0,IF(OFFSET(PLE!$G$14,$M90,BB$13)="",10^12,OFFSET(PLE!$G$14,$M90,BB$13))))</f>
        <v>1000000000000</v>
      </c>
      <c r="BC90" s="179">
        <f ca="1">IF($D90&lt;&gt;"Serviço",0,IF(OR(AND(AUTOEVENTO="Manual",$M90=1),$M90&gt;(ROW(PLE.lastrow)-ROW(PLE.firstrow))),0,IF(OFFSET(PLE!$G$14,$M90,BC$13)="",10^12,OFFSET(PLE!$G$14,$M90,BC$13))))</f>
        <v>1000000000000</v>
      </c>
      <c r="BD90" s="179">
        <f ca="1">IF($D90&lt;&gt;"Serviço",0,IF(OR(AND(AUTOEVENTO="Manual",$M90=1),$M90&gt;(ROW(PLE.lastrow)-ROW(PLE.firstrow))),0,IF(OFFSET(PLE!$G$14,$M90,BD$13)="",10^12,OFFSET(PLE!$G$14,$M90,BD$13))))</f>
        <v>1000000000000</v>
      </c>
      <c r="BE90" s="179">
        <f ca="1">IF($D90&lt;&gt;"Serviço",0,IF(OR(AND(AUTOEVENTO="Manual",$M90=1),$M90&gt;(ROW(PLE.lastrow)-ROW(PLE.firstrow))),0,IF(OFFSET(PLE!$G$14,$M90,BE$13)="",10^12,OFFSET(PLE!$G$14,$M90,BE$13))))</f>
        <v>1000000000000</v>
      </c>
      <c r="BF90" s="179">
        <f ca="1">IF($D90&lt;&gt;"Serviço",0,IF(OR(AND(AUTOEVENTO="Manual",$M90=1),$M90&gt;(ROW(PLE.lastrow)-ROW(PLE.firstrow))),0,IF(OFFSET(PLE!$G$14,$M90,BF$13)="",10^12,OFFSET(PLE!$G$14,$M90,BF$13))))</f>
        <v>1000000000000</v>
      </c>
      <c r="BG90" s="179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7" t="str">
        <f t="shared" ca="1" si="8"/>
        <v>76.</v>
      </c>
      <c r="B91" s="7">
        <f ca="1">OFFSET(ORÇAMENTO!C$15,ROW(B91)-ROW(B$15),0)</f>
        <v>2</v>
      </c>
      <c r="C91" s="7" t="str">
        <f ca="1">OFFSET(ORÇAMENTO!L$15,ROW(C91)-ROW(C$15),0)</f>
        <v>F</v>
      </c>
      <c r="D91" s="115" t="str">
        <f ca="1">OFFSET(ORÇAMENTO!N$15,ROW(D91)-ROW(D$15),0)</f>
        <v>Nível 2</v>
      </c>
      <c r="E91" s="116" t="str">
        <f ca="1">OFFSET(ORÇAMENTO!O$15,ROW(E91)-ROW(E$15),0)</f>
        <v>1.13.</v>
      </c>
      <c r="F91" s="169" t="str">
        <f ca="1">OFFSET(ORÇAMENTO!R$15,ROW(F91)-ROW(F$15),0)</f>
        <v>INSTALAÇÕES HIDROSSANITÁRIAS</v>
      </c>
      <c r="G91" s="170" t="str">
        <f ca="1">IF($D91&lt;&gt;"Serviço","",OFFSET(ORÇAMENTO!S$15,ROW(G91)-ROW(G$15),0))</f>
        <v/>
      </c>
      <c r="H91" s="121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558"/>
      <c r="K91" s="171"/>
      <c r="L91" s="172" t="s">
        <v>255</v>
      </c>
      <c r="M91" s="173" t="str">
        <f ca="1">IF($D91&lt;&gt;"Serviço","",IF(AUTOEVENTO="manual",$A91,IF(ISERROR(MATCH($A91,$A$15:OFFSET($A91,-1,0),0)),MAX($M$15:OFFSET(M91,-1,0))+1,INDEX($M$15:OFFSET(M91,-1,0),MATCH($A91,$A$15:OFFSET($A91,-1,0),0)))))</f>
        <v/>
      </c>
      <c r="N91" s="174" t="str">
        <f ca="1">IF($D91&lt;&gt;"Serviço","",IF(AUTOEVENTO="Manual",IF($A91=0,"&lt;-- defina o número do agrupador",OFFSET(EVENTOS!$D$14,$A91,0)),OFFSET($F$15,$A91,0)))</f>
        <v/>
      </c>
      <c r="O91" s="175"/>
      <c r="Q91" s="175"/>
      <c r="R91" s="176"/>
      <c r="S91" s="176"/>
      <c r="T91" s="176"/>
      <c r="U91" s="176"/>
      <c r="V91" s="176"/>
      <c r="W91" s="176"/>
      <c r="X91" s="176"/>
      <c r="Y91" s="176"/>
      <c r="Z91" s="177"/>
      <c r="AB91" s="541">
        <f ca="1">IF(AND($D91="Serviço",AB$12&lt;&gt;0,$H91&gt;0,OR(AUTOEVENTO&lt;&gt;"manual",$M91&lt;&gt;1)),
IF(Import.TipoArredondamento&lt;&gt;"TransfereGOV",
ROUND(OFFSET($P91,0,AB$13),15-13*ORÇAMENTO!$AF$7)/$H91*OFFSET(ORÇAMENTO!$X$15,ROW(AB91)-ROW(AB$15),0),
ROUND(ROUND(OFFSET($P91,0,AB$13),15-13*ORÇAMENTO!$AF$7)*OFFSET(ORÇAMENTO!$W$15,ROW(AB91)-ROW(AB$15),0),15-13*ORÇAMENTO!$AF$11)),0)</f>
        <v>0</v>
      </c>
      <c r="AC91" s="542">
        <f ca="1">IF(AND($D91="Serviço",AC$12&lt;&gt;0,$H91&gt;0,OR(AUTOEVENTO&lt;&gt;"manual",$M91&lt;&gt;1)),
IF(Import.TipoArredondamento&lt;&gt;"TransfereGOV",
ROUND(OFFSET($P91,0,AC$13),15-13*ORÇAMENTO!$AF$7)/$H91*OFFSET(ORÇAMENTO!$X$15,ROW(AC91)-ROW(AC$15),0),
ROUND(ROUND(OFFSET($P91,0,AC$13),15-13*ORÇAMENTO!$AF$7)*OFFSET(ORÇAMENTO!$W$15,ROW(AC91)-ROW(AC$15),0),15-13*ORÇAMENTO!$AF$11)),0)</f>
        <v>0</v>
      </c>
      <c r="AD91" s="542">
        <f ca="1">IF(AND($D91="Serviço",AD$12&lt;&gt;0,$H91&gt;0,OR(AUTOEVENTO&lt;&gt;"manual",$M91&lt;&gt;1)),
IF(Import.TipoArredondamento&lt;&gt;"TransfereGOV",
ROUND(OFFSET($P91,0,AD$13),15-13*ORÇAMENTO!$AF$7)/$H91*OFFSET(ORÇAMENTO!$X$15,ROW(AD91)-ROW(AD$15),0),
ROUND(ROUND(OFFSET($P91,0,AD$13),15-13*ORÇAMENTO!$AF$7)*OFFSET(ORÇAMENTO!$W$15,ROW(AD91)-ROW(AD$15),0),15-13*ORÇAMENTO!$AF$11)),0)</f>
        <v>0</v>
      </c>
      <c r="AE91" s="542">
        <f ca="1">IF(AND($D91="Serviço",AE$12&lt;&gt;0,$H91&gt;0,OR(AUTOEVENTO&lt;&gt;"manual",$M91&lt;&gt;1)),
IF(Import.TipoArredondamento&lt;&gt;"TransfereGOV",
ROUND(OFFSET($P91,0,AE$13),15-13*ORÇAMENTO!$AF$7)/$H91*OFFSET(ORÇAMENTO!$X$15,ROW(AE91)-ROW(AE$15),0),
ROUND(ROUND(OFFSET($P91,0,AE$13),15-13*ORÇAMENTO!$AF$7)*OFFSET(ORÇAMENTO!$W$15,ROW(AE91)-ROW(AE$15),0),15-13*ORÇAMENTO!$AF$11)),0)</f>
        <v>0</v>
      </c>
      <c r="AF91" s="542">
        <f ca="1">IF(AND($D91="Serviço",AF$12&lt;&gt;0,$H91&gt;0,OR(AUTOEVENTO&lt;&gt;"manual",$M91&lt;&gt;1)),
IF(Import.TipoArredondamento&lt;&gt;"TransfereGOV",
ROUND(OFFSET($P91,0,AF$13),15-13*ORÇAMENTO!$AF$7)/$H91*OFFSET(ORÇAMENTO!$X$15,ROW(AF91)-ROW(AF$15),0),
ROUND(ROUND(OFFSET($P91,0,AF$13),15-13*ORÇAMENTO!$AF$7)*OFFSET(ORÇAMENTO!$W$15,ROW(AF91)-ROW(AF$15),0),15-13*ORÇAMENTO!$AF$11)),0)</f>
        <v>0</v>
      </c>
      <c r="AG91" s="542">
        <f ca="1">IF(AND($D91="Serviço",AG$12&lt;&gt;0,$H91&gt;0,OR(AUTOEVENTO&lt;&gt;"manual",$M91&lt;&gt;1)),
IF(Import.TipoArredondamento&lt;&gt;"TransfereGOV",
ROUND(OFFSET($P91,0,AG$13),15-13*ORÇAMENTO!$AF$7)/$H91*OFFSET(ORÇAMENTO!$X$15,ROW(AG91)-ROW(AG$15),0),
ROUND(ROUND(OFFSET($P91,0,AG$13),15-13*ORÇAMENTO!$AF$7)*OFFSET(ORÇAMENTO!$W$15,ROW(AG91)-ROW(AG$15),0),15-13*ORÇAMENTO!$AF$11)),0)</f>
        <v>0</v>
      </c>
      <c r="AH91" s="542">
        <f ca="1">IF(AND($D91="Serviço",AH$12&lt;&gt;0,$H91&gt;0,OR(AUTOEVENTO&lt;&gt;"manual",$M91&lt;&gt;1)),
IF(Import.TipoArredondamento&lt;&gt;"TransfereGOV",
ROUND(OFFSET($P91,0,AH$13),15-13*ORÇAMENTO!$AF$7)/$H91*OFFSET(ORÇAMENTO!$X$15,ROW(AH91)-ROW(AH$15),0),
ROUND(ROUND(OFFSET($P91,0,AH$13),15-13*ORÇAMENTO!$AF$7)*OFFSET(ORÇAMENTO!$W$15,ROW(AH91)-ROW(AH$15),0),15-13*ORÇAMENTO!$AF$11)),0)</f>
        <v>0</v>
      </c>
      <c r="AI91" s="542">
        <f ca="1">IF(AND($D91="Serviço",AI$12&lt;&gt;0,$H91&gt;0,OR(AUTOEVENTO&lt;&gt;"manual",$M91&lt;&gt;1)),
IF(Import.TipoArredondamento&lt;&gt;"TransfereGOV",
ROUND(OFFSET($P91,0,AI$13),15-13*ORÇAMENTO!$AF$7)/$H91*OFFSET(ORÇAMENTO!$X$15,ROW(AI91)-ROW(AI$15),0),
ROUND(ROUND(OFFSET($P91,0,AI$13),15-13*ORÇAMENTO!$AF$7)*OFFSET(ORÇAMENTO!$W$15,ROW(AI91)-ROW(AI$15),0),15-13*ORÇAMENTO!$AF$11)),0)</f>
        <v>0</v>
      </c>
      <c r="AJ91" s="542">
        <f ca="1">IF(AND($D91="Serviço",AJ$12&lt;&gt;0,$H91&gt;0,OR(AUTOEVENTO&lt;&gt;"manual",$M91&lt;&gt;1)),
IF(Import.TipoArredondamento&lt;&gt;"TransfereGOV",
ROUND(OFFSET($P91,0,AJ$13),15-13*ORÇAMENTO!$AF$7)/$H91*OFFSET(ORÇAMENTO!$X$15,ROW(AJ91)-ROW(AJ$15),0),
ROUND(ROUND(OFFSET($P91,0,AJ$13),15-13*ORÇAMENTO!$AF$7)*OFFSET(ORÇAMENTO!$W$15,ROW(AJ91)-ROW(AJ$15),0),15-13*ORÇAMENTO!$AF$11)),0)</f>
        <v>0</v>
      </c>
      <c r="AK91" s="543">
        <f ca="1">IF(AND($D91="Serviço",AK$12&lt;&gt;0,$H91&gt;0,OR(AUTOEVENTO&lt;&gt;"manual",$M91&lt;&gt;1)),
IF(Import.TipoArredondamento&lt;&gt;"TransfereGOV",
ROUND(OFFSET($P91,0,AK$13),15-13*ORÇAMENTO!$AF$7)/$H91*OFFSET(ORÇAMENTO!$X$15,ROW(AK91)-ROW(AK$15),0),
ROUND(ROUND(OFFSET($P91,0,AK$13),15-13*ORÇAMENTO!$AF$7)*OFFSET(ORÇAMENTO!$W$15,ROW(AK91)-ROW(AK$15),0),15-13*ORÇAMENTO!$AF$11)),0)</f>
        <v>0</v>
      </c>
      <c r="AM91" s="178">
        <f ca="1">IF($D91&lt;&gt;"Serviço",0,IF(AND(AUTOEVENTO="Manual",$M91=1),0,IF(OFFSET(CRONOPLE!$F$14,$M91,AM$13)="",10^12,OFFSET(CRONOPLE!$F$14,$M91,AM$13))))</f>
        <v>0</v>
      </c>
      <c r="AN91" s="178">
        <f ca="1">IF($D91&lt;&gt;"Serviço",0,IF(AND(AUTOEVENTO="Manual",$M91=1),0,IF(OFFSET(CRONOPLE!$F$14,$M91,AN$13)="",10^12,OFFSET(CRONOPLE!$F$14,$M91,AN$13))))</f>
        <v>0</v>
      </c>
      <c r="AO91" s="178">
        <f ca="1">IF($D91&lt;&gt;"Serviço",0,IF(AND(AUTOEVENTO="Manual",$M91=1),0,IF(OFFSET(CRONOPLE!$F$14,$M91,AO$13)="",10^12,OFFSET(CRONOPLE!$F$14,$M91,AO$13))))</f>
        <v>0</v>
      </c>
      <c r="AP91" s="178">
        <f ca="1">IF($D91&lt;&gt;"Serviço",0,IF(AND(AUTOEVENTO="Manual",$M91=1),0,IF(OFFSET(CRONOPLE!$F$14,$M91,AP$13)="",10^12,OFFSET(CRONOPLE!$F$14,$M91,AP$13))))</f>
        <v>0</v>
      </c>
      <c r="AQ91" s="178">
        <f ca="1">IF($D91&lt;&gt;"Serviço",0,IF(AND(AUTOEVENTO="Manual",$M91=1),0,IF(OFFSET(CRONOPLE!$F$14,$M91,AQ$13)="",10^12,OFFSET(CRONOPLE!$F$14,$M91,AQ$13))))</f>
        <v>0</v>
      </c>
      <c r="AR91" s="178">
        <f ca="1">IF($D91&lt;&gt;"Serviço",0,IF(AND(AUTOEVENTO="Manual",$M91=1),0,IF(OFFSET(CRONOPLE!$F$14,$M91,AR$13)="",10^12,OFFSET(CRONOPLE!$F$14,$M91,AR$13))))</f>
        <v>0</v>
      </c>
      <c r="AS91" s="178">
        <f ca="1">IF($D91&lt;&gt;"Serviço",0,IF(AND(AUTOEVENTO="Manual",$M91=1),0,IF(OFFSET(CRONOPLE!$F$14,$M91,AS$13)="",10^12,OFFSET(CRONOPLE!$F$14,$M91,AS$13))))</f>
        <v>0</v>
      </c>
      <c r="AT91" s="178">
        <f ca="1">IF($D91&lt;&gt;"Serviço",0,IF(AND(AUTOEVENTO="Manual",$M91=1),0,IF(OFFSET(CRONOPLE!$F$14,$M91,AT$13)="",10^12,OFFSET(CRONOPLE!$F$14,$M91,AT$13))))</f>
        <v>0</v>
      </c>
      <c r="AU91" s="178">
        <f ca="1">IF($D91&lt;&gt;"Serviço",0,IF(AND(AUTOEVENTO="Manual",$M91=1),0,IF(OFFSET(CRONOPLE!$F$14,$M91,AU$13)="",10^12,OFFSET(CRONOPLE!$F$14,$M91,AU$13))))</f>
        <v>0</v>
      </c>
      <c r="AV91" s="178">
        <f ca="1">IF($D91&lt;&gt;"Serviço",0,IF(AND(AUTOEVENTO="Manual",$M91=1),0,IF(OFFSET(CRONOPLE!$F$14,$M91,AV$13)="",10^12,OFFSET(CRONOPLE!$F$14,$M91,AV$13))))</f>
        <v>0</v>
      </c>
      <c r="AX91" s="179">
        <f ca="1">IF($D91&lt;&gt;"Serviço",0,IF(OR(AND(AUTOEVENTO="Manual",$M91=1),$M91&gt;(ROW(PLE.lastrow)-ROW(PLE.firstrow))),0,IF(OFFSET(PLE!$G$14,$M91,AX$13)="",10^12,OFFSET(PLE!$G$14,$M91,AX$13))))</f>
        <v>0</v>
      </c>
      <c r="AY91" s="179">
        <f ca="1">IF($D91&lt;&gt;"Serviço",0,IF(OR(AND(AUTOEVENTO="Manual",$M91=1),$M91&gt;(ROW(PLE.lastrow)-ROW(PLE.firstrow))),0,IF(OFFSET(PLE!$G$14,$M91,AY$13)="",10^12,OFFSET(PLE!$G$14,$M91,AY$13))))</f>
        <v>0</v>
      </c>
      <c r="AZ91" s="179">
        <f ca="1">IF($D91&lt;&gt;"Serviço",0,IF(OR(AND(AUTOEVENTO="Manual",$M91=1),$M91&gt;(ROW(PLE.lastrow)-ROW(PLE.firstrow))),0,IF(OFFSET(PLE!$G$14,$M91,AZ$13)="",10^12,OFFSET(PLE!$G$14,$M91,AZ$13))))</f>
        <v>0</v>
      </c>
      <c r="BA91" s="179">
        <f ca="1">IF($D91&lt;&gt;"Serviço",0,IF(OR(AND(AUTOEVENTO="Manual",$M91=1),$M91&gt;(ROW(PLE.lastrow)-ROW(PLE.firstrow))),0,IF(OFFSET(PLE!$G$14,$M91,BA$13)="",10^12,OFFSET(PLE!$G$14,$M91,BA$13))))</f>
        <v>0</v>
      </c>
      <c r="BB91" s="179">
        <f ca="1">IF($D91&lt;&gt;"Serviço",0,IF(OR(AND(AUTOEVENTO="Manual",$M91=1),$M91&gt;(ROW(PLE.lastrow)-ROW(PLE.firstrow))),0,IF(OFFSET(PLE!$G$14,$M91,BB$13)="",10^12,OFFSET(PLE!$G$14,$M91,BB$13))))</f>
        <v>0</v>
      </c>
      <c r="BC91" s="179">
        <f ca="1">IF($D91&lt;&gt;"Serviço",0,IF(OR(AND(AUTOEVENTO="Manual",$M91=1),$M91&gt;(ROW(PLE.lastrow)-ROW(PLE.firstrow))),0,IF(OFFSET(PLE!$G$14,$M91,BC$13)="",10^12,OFFSET(PLE!$G$14,$M91,BC$13))))</f>
        <v>0</v>
      </c>
      <c r="BD91" s="179">
        <f ca="1">IF($D91&lt;&gt;"Serviço",0,IF(OR(AND(AUTOEVENTO="Manual",$M91=1),$M91&gt;(ROW(PLE.lastrow)-ROW(PLE.firstrow))),0,IF(OFFSET(PLE!$G$14,$M91,BD$13)="",10^12,OFFSET(PLE!$G$14,$M91,BD$13))))</f>
        <v>0</v>
      </c>
      <c r="BE91" s="179">
        <f ca="1">IF($D91&lt;&gt;"Serviço",0,IF(OR(AND(AUTOEVENTO="Manual",$M91=1),$M91&gt;(ROW(PLE.lastrow)-ROW(PLE.firstrow))),0,IF(OFFSET(PLE!$G$14,$M91,BE$13)="",10^12,OFFSET(PLE!$G$14,$M91,BE$13))))</f>
        <v>0</v>
      </c>
      <c r="BF91" s="179">
        <f ca="1">IF($D91&lt;&gt;"Serviço",0,IF(OR(AND(AUTOEVENTO="Manual",$M91=1),$M91&gt;(ROW(PLE.lastrow)-ROW(PLE.firstrow))),0,IF(OFFSET(PLE!$G$14,$M91,BF$13)="",10^12,OFFSET(PLE!$G$14,$M91,BF$13))))</f>
        <v>0</v>
      </c>
      <c r="BG91" s="179">
        <f ca="1">IF($D91&lt;&gt;"Serviço",0,IF(OR(AND(AUTOEVENTO="Manual",$M91=1),$M91&gt;(ROW(PLE.lastrow)-ROW(PLE.firstrow))),0,IF(OFFSET(PLE!$G$14,$M91,BG$13)="",10^12,OFFSET(PLE!$G$14,$M91,BG$13))))</f>
        <v>0</v>
      </c>
    </row>
    <row r="92" spans="1:59" ht="25.5" x14ac:dyDescent="0.2">
      <c r="A92" s="7" t="str">
        <f t="shared" ref="A92:A119" ca="1" si="10">IF(AUTOEVENTO="Manual",IF(K92&lt;&gt;"",MIN(VALUE(LEFT(K92,FIND(".",K92)-1)),COUNTA(EVENTOS.Lista)),0),IF(OR($B92&gt;AUTOEVENTO,$B92="S",$B92=0),SUBSTITUTE(OFFSET($A92,-1,0),IF($D92="Serviço",".",""),""),ROW(A92)-ROW($A$15)&amp;"."))</f>
        <v>76</v>
      </c>
      <c r="B92" s="7" t="str">
        <f ca="1">OFFSET(ORÇAMENTO!C$15,ROW(B92)-ROW(B$15),0)</f>
        <v>S</v>
      </c>
      <c r="C92" s="7" t="str">
        <f ca="1">OFFSET(ORÇAMENTO!L$15,ROW(C92)-ROW(C$15),0)</f>
        <v/>
      </c>
      <c r="D92" s="115" t="str">
        <f ca="1">OFFSET(ORÇAMENTO!N$15,ROW(D92)-ROW(D$15),0)</f>
        <v>Serviço</v>
      </c>
      <c r="E92" s="116" t="str">
        <f ca="1">OFFSET(ORÇAMENTO!O$15,ROW(E92)-ROW(E$15),0)</f>
        <v>-</v>
      </c>
      <c r="F92" s="169" t="str">
        <f ca="1">OFFSET(ORÇAMENTO!R$15,ROW(F92)-ROW(F$15),0)</f>
        <v>(abra o arquivo 'Referência 10-2024.xlsm)</v>
      </c>
      <c r="G92" s="170" t="str">
        <f ca="1">IF($D92&lt;&gt;"Serviço","",OFFSET(ORÇAMENTO!S$15,ROW(G92)-ROW(G$15),0))</f>
        <v>-</v>
      </c>
      <c r="H92" s="121">
        <f ca="1">IF($D92&lt;&gt;"Serviço",0,IF(ACOMPANHAMENTO="BM",ROUND(OFFSET(ORÇAMENTO!AJ$15,ROW(H92)-ROW(H$15),0),15-13*ORÇAMENTO!$AF$7),SUMPRODUCT(($Q$12:$AA$12&lt;&gt;"")*ROUND($Q92:$AA92,15-13*ORÇAMENTO!$AF$7))))</f>
        <v>1</v>
      </c>
      <c r="I92" s="558" t="s">
        <v>561</v>
      </c>
      <c r="K92" s="171"/>
      <c r="L92" s="172" t="s">
        <v>255</v>
      </c>
      <c r="M92" s="173">
        <f ca="1">IF($D92&lt;&gt;"Serviço","",IF(AUTOEVENTO="manual",$A92,IF(ISERROR(MATCH($A92,$A$15:OFFSET($A92,-1,0),0)),MAX($M$15:OFFSET(M92,-1,0))+1,INDEX($M$15:OFFSET(M92,-1,0),MATCH($A92,$A$15:OFFSET($A92,-1,0),0)))))</f>
        <v>14</v>
      </c>
      <c r="N92" s="174" t="str">
        <f ca="1">IF($D92&lt;&gt;"Serviço","",IF(AUTOEVENTO="Manual",IF($A92=0,"&lt;-- defina o número do agrupador",OFFSET(EVENTOS!$D$14,$A92,0)),OFFSET($F$15,$A92,0)))</f>
        <v>INSTALAÇÕES HIDROSSANITÁRIAS</v>
      </c>
      <c r="O92" s="175"/>
      <c r="Q92" s="175"/>
      <c r="R92" s="176"/>
      <c r="S92" s="176"/>
      <c r="T92" s="176"/>
      <c r="U92" s="176"/>
      <c r="V92" s="176"/>
      <c r="W92" s="176"/>
      <c r="X92" s="176"/>
      <c r="Y92" s="176"/>
      <c r="Z92" s="177"/>
      <c r="AB92" s="541">
        <f ca="1">IF(AND($D92="Serviço",AB$12&lt;&gt;0,$H92&gt;0,OR(AUTOEVENTO&lt;&gt;"manual",$M92&lt;&gt;1)),
IF(Import.TipoArredondamento&lt;&gt;"TransfereGOV",
ROUND(OFFSET($P92,0,AB$13),15-13*ORÇAMENTO!$AF$7)/$H92*OFFSET(ORÇAMENTO!$X$15,ROW(AB92)-ROW(AB$15),0),
ROUND(ROUND(OFFSET($P92,0,AB$13),15-13*ORÇAMENTO!$AF$7)*OFFSET(ORÇAMENTO!$W$15,ROW(AB92)-ROW(AB$15),0),15-13*ORÇAMENTO!$AF$11)),0)</f>
        <v>0</v>
      </c>
      <c r="AC92" s="542">
        <f ca="1">IF(AND($D92="Serviço",AC$12&lt;&gt;0,$H92&gt;0,OR(AUTOEVENTO&lt;&gt;"manual",$M92&lt;&gt;1)),
IF(Import.TipoArredondamento&lt;&gt;"TransfereGOV",
ROUND(OFFSET($P92,0,AC$13),15-13*ORÇAMENTO!$AF$7)/$H92*OFFSET(ORÇAMENTO!$X$15,ROW(AC92)-ROW(AC$15),0),
ROUND(ROUND(OFFSET($P92,0,AC$13),15-13*ORÇAMENTO!$AF$7)*OFFSET(ORÇAMENTO!$W$15,ROW(AC92)-ROW(AC$15),0),15-13*ORÇAMENTO!$AF$11)),0)</f>
        <v>0</v>
      </c>
      <c r="AD92" s="542">
        <f ca="1">IF(AND($D92="Serviço",AD$12&lt;&gt;0,$H92&gt;0,OR(AUTOEVENTO&lt;&gt;"manual",$M92&lt;&gt;1)),
IF(Import.TipoArredondamento&lt;&gt;"TransfereGOV",
ROUND(OFFSET($P92,0,AD$13),15-13*ORÇAMENTO!$AF$7)/$H92*OFFSET(ORÇAMENTO!$X$15,ROW(AD92)-ROW(AD$15),0),
ROUND(ROUND(OFFSET($P92,0,AD$13),15-13*ORÇAMENTO!$AF$7)*OFFSET(ORÇAMENTO!$W$15,ROW(AD92)-ROW(AD$15),0),15-13*ORÇAMENTO!$AF$11)),0)</f>
        <v>0</v>
      </c>
      <c r="AE92" s="542">
        <f ca="1">IF(AND($D92="Serviço",AE$12&lt;&gt;0,$H92&gt;0,OR(AUTOEVENTO&lt;&gt;"manual",$M92&lt;&gt;1)),
IF(Import.TipoArredondamento&lt;&gt;"TransfereGOV",
ROUND(OFFSET($P92,0,AE$13),15-13*ORÇAMENTO!$AF$7)/$H92*OFFSET(ORÇAMENTO!$X$15,ROW(AE92)-ROW(AE$15),0),
ROUND(ROUND(OFFSET($P92,0,AE$13),15-13*ORÇAMENTO!$AF$7)*OFFSET(ORÇAMENTO!$W$15,ROW(AE92)-ROW(AE$15),0),15-13*ORÇAMENTO!$AF$11)),0)</f>
        <v>0</v>
      </c>
      <c r="AF92" s="542">
        <f ca="1">IF(AND($D92="Serviço",AF$12&lt;&gt;0,$H92&gt;0,OR(AUTOEVENTO&lt;&gt;"manual",$M92&lt;&gt;1)),
IF(Import.TipoArredondamento&lt;&gt;"TransfereGOV",
ROUND(OFFSET($P92,0,AF$13),15-13*ORÇAMENTO!$AF$7)/$H92*OFFSET(ORÇAMENTO!$X$15,ROW(AF92)-ROW(AF$15),0),
ROUND(ROUND(OFFSET($P92,0,AF$13),15-13*ORÇAMENTO!$AF$7)*OFFSET(ORÇAMENTO!$W$15,ROW(AF92)-ROW(AF$15),0),15-13*ORÇAMENTO!$AF$11)),0)</f>
        <v>0</v>
      </c>
      <c r="AG92" s="542">
        <f ca="1">IF(AND($D92="Serviço",AG$12&lt;&gt;0,$H92&gt;0,OR(AUTOEVENTO&lt;&gt;"manual",$M92&lt;&gt;1)),
IF(Import.TipoArredondamento&lt;&gt;"TransfereGOV",
ROUND(OFFSET($P92,0,AG$13),15-13*ORÇAMENTO!$AF$7)/$H92*OFFSET(ORÇAMENTO!$X$15,ROW(AG92)-ROW(AG$15),0),
ROUND(ROUND(OFFSET($P92,0,AG$13),15-13*ORÇAMENTO!$AF$7)*OFFSET(ORÇAMENTO!$W$15,ROW(AG92)-ROW(AG$15),0),15-13*ORÇAMENTO!$AF$11)),0)</f>
        <v>0</v>
      </c>
      <c r="AH92" s="542">
        <f ca="1">IF(AND($D92="Serviço",AH$12&lt;&gt;0,$H92&gt;0,OR(AUTOEVENTO&lt;&gt;"manual",$M92&lt;&gt;1)),
IF(Import.TipoArredondamento&lt;&gt;"TransfereGOV",
ROUND(OFFSET($P92,0,AH$13),15-13*ORÇAMENTO!$AF$7)/$H92*OFFSET(ORÇAMENTO!$X$15,ROW(AH92)-ROW(AH$15),0),
ROUND(ROUND(OFFSET($P92,0,AH$13),15-13*ORÇAMENTO!$AF$7)*OFFSET(ORÇAMENTO!$W$15,ROW(AH92)-ROW(AH$15),0),15-13*ORÇAMENTO!$AF$11)),0)</f>
        <v>0</v>
      </c>
      <c r="AI92" s="542">
        <f ca="1">IF(AND($D92="Serviço",AI$12&lt;&gt;0,$H92&gt;0,OR(AUTOEVENTO&lt;&gt;"manual",$M92&lt;&gt;1)),
IF(Import.TipoArredondamento&lt;&gt;"TransfereGOV",
ROUND(OFFSET($P92,0,AI$13),15-13*ORÇAMENTO!$AF$7)/$H92*OFFSET(ORÇAMENTO!$X$15,ROW(AI92)-ROW(AI$15),0),
ROUND(ROUND(OFFSET($P92,0,AI$13),15-13*ORÇAMENTO!$AF$7)*OFFSET(ORÇAMENTO!$W$15,ROW(AI92)-ROW(AI$15),0),15-13*ORÇAMENTO!$AF$11)),0)</f>
        <v>0</v>
      </c>
      <c r="AJ92" s="542">
        <f ca="1">IF(AND($D92="Serviço",AJ$12&lt;&gt;0,$H92&gt;0,OR(AUTOEVENTO&lt;&gt;"manual",$M92&lt;&gt;1)),
IF(Import.TipoArredondamento&lt;&gt;"TransfereGOV",
ROUND(OFFSET($P92,0,AJ$13),15-13*ORÇAMENTO!$AF$7)/$H92*OFFSET(ORÇAMENTO!$X$15,ROW(AJ92)-ROW(AJ$15),0),
ROUND(ROUND(OFFSET($P92,0,AJ$13),15-13*ORÇAMENTO!$AF$7)*OFFSET(ORÇAMENTO!$W$15,ROW(AJ92)-ROW(AJ$15),0),15-13*ORÇAMENTO!$AF$11)),0)</f>
        <v>0</v>
      </c>
      <c r="AK92" s="543">
        <f ca="1">IF(AND($D92="Serviço",AK$12&lt;&gt;0,$H92&gt;0,OR(AUTOEVENTO&lt;&gt;"manual",$M92&lt;&gt;1)),
IF(Import.TipoArredondamento&lt;&gt;"TransfereGOV",
ROUND(OFFSET($P92,0,AK$13),15-13*ORÇAMENTO!$AF$7)/$H92*OFFSET(ORÇAMENTO!$X$15,ROW(AK92)-ROW(AK$15),0),
ROUND(ROUND(OFFSET($P92,0,AK$13),15-13*ORÇAMENTO!$AF$7)*OFFSET(ORÇAMENTO!$W$15,ROW(AK92)-ROW(AK$15),0),15-13*ORÇAMENTO!$AF$11)),0)</f>
        <v>0</v>
      </c>
      <c r="AM92" s="178">
        <f ca="1">IF($D92&lt;&gt;"Serviço",0,IF(AND(AUTOEVENTO="Manual",$M92=1),0,IF(OFFSET(CRONOPLE!$F$14,$M92,AM$13)="",10^12,OFFSET(CRONOPLE!$F$14,$M92,AM$13))))</f>
        <v>1000000000000</v>
      </c>
      <c r="AN92" s="178">
        <f ca="1">IF($D92&lt;&gt;"Serviço",0,IF(AND(AUTOEVENTO="Manual",$M92=1),0,IF(OFFSET(CRONOPLE!$F$14,$M92,AN$13)="",10^12,OFFSET(CRONOPLE!$F$14,$M92,AN$13))))</f>
        <v>1000000000000</v>
      </c>
      <c r="AO92" s="178">
        <f ca="1">IF($D92&lt;&gt;"Serviço",0,IF(AND(AUTOEVENTO="Manual",$M92=1),0,IF(OFFSET(CRONOPLE!$F$14,$M92,AO$13)="",10^12,OFFSET(CRONOPLE!$F$14,$M92,AO$13))))</f>
        <v>1000000000000</v>
      </c>
      <c r="AP92" s="178">
        <f ca="1">IF($D92&lt;&gt;"Serviço",0,IF(AND(AUTOEVENTO="Manual",$M92=1),0,IF(OFFSET(CRONOPLE!$F$14,$M92,AP$13)="",10^12,OFFSET(CRONOPLE!$F$14,$M92,AP$13))))</f>
        <v>1000000000000</v>
      </c>
      <c r="AQ92" s="178">
        <f ca="1">IF($D92&lt;&gt;"Serviço",0,IF(AND(AUTOEVENTO="Manual",$M92=1),0,IF(OFFSET(CRONOPLE!$F$14,$M92,AQ$13)="",10^12,OFFSET(CRONOPLE!$F$14,$M92,AQ$13))))</f>
        <v>1000000000000</v>
      </c>
      <c r="AR92" s="178">
        <f ca="1">IF($D92&lt;&gt;"Serviço",0,IF(AND(AUTOEVENTO="Manual",$M92=1),0,IF(OFFSET(CRONOPLE!$F$14,$M92,AR$13)="",10^12,OFFSET(CRONOPLE!$F$14,$M92,AR$13))))</f>
        <v>1000000000000</v>
      </c>
      <c r="AS92" s="178">
        <f ca="1">IF($D92&lt;&gt;"Serviço",0,IF(AND(AUTOEVENTO="Manual",$M92=1),0,IF(OFFSET(CRONOPLE!$F$14,$M92,AS$13)="",10^12,OFFSET(CRONOPLE!$F$14,$M92,AS$13))))</f>
        <v>1000000000000</v>
      </c>
      <c r="AT92" s="178">
        <f ca="1">IF($D92&lt;&gt;"Serviço",0,IF(AND(AUTOEVENTO="Manual",$M92=1),0,IF(OFFSET(CRONOPLE!$F$14,$M92,AT$13)="",10^12,OFFSET(CRONOPLE!$F$14,$M92,AT$13))))</f>
        <v>1000000000000</v>
      </c>
      <c r="AU92" s="178">
        <f ca="1">IF($D92&lt;&gt;"Serviço",0,IF(AND(AUTOEVENTO="Manual",$M92=1),0,IF(OFFSET(CRONOPLE!$F$14,$M92,AU$13)="",10^12,OFFSET(CRONOPLE!$F$14,$M92,AU$13))))</f>
        <v>1000000000000</v>
      </c>
      <c r="AV92" s="178">
        <f ca="1">IF($D92&lt;&gt;"Serviço",0,IF(AND(AUTOEVENTO="Manual",$M92=1),0,IF(OFFSET(CRONOPLE!$F$14,$M92,AV$13)="",10^12,OFFSET(CRONOPLE!$F$14,$M92,AV$13))))</f>
        <v>1000000000000</v>
      </c>
      <c r="AX92" s="179">
        <f ca="1">IF($D92&lt;&gt;"Serviço",0,IF(OR(AND(AUTOEVENTO="Manual",$M92=1),$M92&gt;(ROW(PLE.lastrow)-ROW(PLE.firstrow))),0,IF(OFFSET(PLE!$G$14,$M92,AX$13)="",10^12,OFFSET(PLE!$G$14,$M92,AX$13))))</f>
        <v>1000000000000</v>
      </c>
      <c r="AY92" s="179">
        <f ca="1">IF($D92&lt;&gt;"Serviço",0,IF(OR(AND(AUTOEVENTO="Manual",$M92=1),$M92&gt;(ROW(PLE.lastrow)-ROW(PLE.firstrow))),0,IF(OFFSET(PLE!$G$14,$M92,AY$13)="",10^12,OFFSET(PLE!$G$14,$M92,AY$13))))</f>
        <v>1000000000000</v>
      </c>
      <c r="AZ92" s="179">
        <f ca="1">IF($D92&lt;&gt;"Serviço",0,IF(OR(AND(AUTOEVENTO="Manual",$M92=1),$M92&gt;(ROW(PLE.lastrow)-ROW(PLE.firstrow))),0,IF(OFFSET(PLE!$G$14,$M92,AZ$13)="",10^12,OFFSET(PLE!$G$14,$M92,AZ$13))))</f>
        <v>1000000000000</v>
      </c>
      <c r="BA92" s="179">
        <f ca="1">IF($D92&lt;&gt;"Serviço",0,IF(OR(AND(AUTOEVENTO="Manual",$M92=1),$M92&gt;(ROW(PLE.lastrow)-ROW(PLE.firstrow))),0,IF(OFFSET(PLE!$G$14,$M92,BA$13)="",10^12,OFFSET(PLE!$G$14,$M92,BA$13))))</f>
        <v>1000000000000</v>
      </c>
      <c r="BB92" s="179">
        <f ca="1">IF($D92&lt;&gt;"Serviço",0,IF(OR(AND(AUTOEVENTO="Manual",$M92=1),$M92&gt;(ROW(PLE.lastrow)-ROW(PLE.firstrow))),0,IF(OFFSET(PLE!$G$14,$M92,BB$13)="",10^12,OFFSET(PLE!$G$14,$M92,BB$13))))</f>
        <v>1000000000000</v>
      </c>
      <c r="BC92" s="179">
        <f ca="1">IF($D92&lt;&gt;"Serviço",0,IF(OR(AND(AUTOEVENTO="Manual",$M92=1),$M92&gt;(ROW(PLE.lastrow)-ROW(PLE.firstrow))),0,IF(OFFSET(PLE!$G$14,$M92,BC$13)="",10^12,OFFSET(PLE!$G$14,$M92,BC$13))))</f>
        <v>1000000000000</v>
      </c>
      <c r="BD92" s="179">
        <f ca="1">IF($D92&lt;&gt;"Serviço",0,IF(OR(AND(AUTOEVENTO="Manual",$M92=1),$M92&gt;(ROW(PLE.lastrow)-ROW(PLE.firstrow))),0,IF(OFFSET(PLE!$G$14,$M92,BD$13)="",10^12,OFFSET(PLE!$G$14,$M92,BD$13))))</f>
        <v>1000000000000</v>
      </c>
      <c r="BE92" s="179">
        <f ca="1">IF($D92&lt;&gt;"Serviço",0,IF(OR(AND(AUTOEVENTO="Manual",$M92=1),$M92&gt;(ROW(PLE.lastrow)-ROW(PLE.firstrow))),0,IF(OFFSET(PLE!$G$14,$M92,BE$13)="",10^12,OFFSET(PLE!$G$14,$M92,BE$13))))</f>
        <v>1000000000000</v>
      </c>
      <c r="BF92" s="179">
        <f ca="1">IF($D92&lt;&gt;"Serviço",0,IF(OR(AND(AUTOEVENTO="Manual",$M92=1),$M92&gt;(ROW(PLE.lastrow)-ROW(PLE.firstrow))),0,IF(OFFSET(PLE!$G$14,$M92,BF$13)="",10^12,OFFSET(PLE!$G$14,$M92,BF$13))))</f>
        <v>1000000000000</v>
      </c>
      <c r="BG92" s="179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38.25" x14ac:dyDescent="0.2">
      <c r="A93" s="7" t="str">
        <f t="shared" ca="1" si="10"/>
        <v>76</v>
      </c>
      <c r="B93" s="7" t="str">
        <f ca="1">OFFSET(ORÇAMENTO!C$15,ROW(B93)-ROW(B$15),0)</f>
        <v>S</v>
      </c>
      <c r="C93" s="7" t="str">
        <f ca="1">OFFSET(ORÇAMENTO!L$15,ROW(C93)-ROW(C$15),0)</f>
        <v/>
      </c>
      <c r="D93" s="115" t="str">
        <f ca="1">OFFSET(ORÇAMENTO!N$15,ROW(D93)-ROW(D$15),0)</f>
        <v>Serviço</v>
      </c>
      <c r="E93" s="116" t="str">
        <f ca="1">OFFSET(ORÇAMENTO!O$15,ROW(E93)-ROW(E$15),0)</f>
        <v>-</v>
      </c>
      <c r="F93" s="169" t="str">
        <f ca="1">OFFSET(ORÇAMENTO!R$15,ROW(F93)-ROW(F$15),0)</f>
        <v>(abra o arquivo 'Referência 10-2024.xlsm)</v>
      </c>
      <c r="G93" s="170" t="str">
        <f ca="1">IF($D93&lt;&gt;"Serviço","",OFFSET(ORÇAMENTO!S$15,ROW(G93)-ROW(G$15),0))</f>
        <v>-</v>
      </c>
      <c r="H93" s="121">
        <f ca="1">IF($D93&lt;&gt;"Serviço",0,IF(ACOMPANHAMENTO="BM",ROUND(OFFSET(ORÇAMENTO!AJ$15,ROW(H93)-ROW(H$15),0),15-13*ORÇAMENTO!$AF$7),SUMPRODUCT(($Q$12:$AA$12&lt;&gt;"")*ROUND($Q93:$AA93,15-13*ORÇAMENTO!$AF$7))))</f>
        <v>5</v>
      </c>
      <c r="I93" s="558" t="s">
        <v>561</v>
      </c>
      <c r="K93" s="171"/>
      <c r="L93" s="172" t="s">
        <v>255</v>
      </c>
      <c r="M93" s="173">
        <f ca="1">IF($D93&lt;&gt;"Serviço","",IF(AUTOEVENTO="manual",$A93,IF(ISERROR(MATCH($A93,$A$15:OFFSET($A93,-1,0),0)),MAX($M$15:OFFSET(M93,-1,0))+1,INDEX($M$15:OFFSET(M93,-1,0),MATCH($A93,$A$15:OFFSET($A93,-1,0),0)))))</f>
        <v>14</v>
      </c>
      <c r="N93" s="174" t="str">
        <f ca="1">IF($D93&lt;&gt;"Serviço","",IF(AUTOEVENTO="Manual",IF($A93=0,"&lt;-- defina o número do agrupador",OFFSET(EVENTOS!$D$14,$A93,0)),OFFSET($F$15,$A93,0)))</f>
        <v>INSTALAÇÕES HIDROSSANITÁRIAS</v>
      </c>
      <c r="O93" s="175"/>
      <c r="Q93" s="175"/>
      <c r="R93" s="176"/>
      <c r="S93" s="176"/>
      <c r="T93" s="176"/>
      <c r="U93" s="176"/>
      <c r="V93" s="176"/>
      <c r="W93" s="176"/>
      <c r="X93" s="176"/>
      <c r="Y93" s="176"/>
      <c r="Z93" s="177"/>
      <c r="AB93" s="541">
        <f ca="1">IF(AND($D93="Serviço",AB$12&lt;&gt;0,$H93&gt;0,OR(AUTOEVENTO&lt;&gt;"manual",$M93&lt;&gt;1)),
IF(Import.TipoArredondamento&lt;&gt;"TransfereGOV",
ROUND(OFFSET($P93,0,AB$13),15-13*ORÇAMENTO!$AF$7)/$H93*OFFSET(ORÇAMENTO!$X$15,ROW(AB93)-ROW(AB$15),0),
ROUND(ROUND(OFFSET($P93,0,AB$13),15-13*ORÇAMENTO!$AF$7)*OFFSET(ORÇAMENTO!$W$15,ROW(AB93)-ROW(AB$15),0),15-13*ORÇAMENTO!$AF$11)),0)</f>
        <v>0</v>
      </c>
      <c r="AC93" s="542">
        <f ca="1">IF(AND($D93="Serviço",AC$12&lt;&gt;0,$H93&gt;0,OR(AUTOEVENTO&lt;&gt;"manual",$M93&lt;&gt;1)),
IF(Import.TipoArredondamento&lt;&gt;"TransfereGOV",
ROUND(OFFSET($P93,0,AC$13),15-13*ORÇAMENTO!$AF$7)/$H93*OFFSET(ORÇAMENTO!$X$15,ROW(AC93)-ROW(AC$15),0),
ROUND(ROUND(OFFSET($P93,0,AC$13),15-13*ORÇAMENTO!$AF$7)*OFFSET(ORÇAMENTO!$W$15,ROW(AC93)-ROW(AC$15),0),15-13*ORÇAMENTO!$AF$11)),0)</f>
        <v>0</v>
      </c>
      <c r="AD93" s="542">
        <f ca="1">IF(AND($D93="Serviço",AD$12&lt;&gt;0,$H93&gt;0,OR(AUTOEVENTO&lt;&gt;"manual",$M93&lt;&gt;1)),
IF(Import.TipoArredondamento&lt;&gt;"TransfereGOV",
ROUND(OFFSET($P93,0,AD$13),15-13*ORÇAMENTO!$AF$7)/$H93*OFFSET(ORÇAMENTO!$X$15,ROW(AD93)-ROW(AD$15),0),
ROUND(ROUND(OFFSET($P93,0,AD$13),15-13*ORÇAMENTO!$AF$7)*OFFSET(ORÇAMENTO!$W$15,ROW(AD93)-ROW(AD$15),0),15-13*ORÇAMENTO!$AF$11)),0)</f>
        <v>0</v>
      </c>
      <c r="AE93" s="542">
        <f ca="1">IF(AND($D93="Serviço",AE$12&lt;&gt;0,$H93&gt;0,OR(AUTOEVENTO&lt;&gt;"manual",$M93&lt;&gt;1)),
IF(Import.TipoArredondamento&lt;&gt;"TransfereGOV",
ROUND(OFFSET($P93,0,AE$13),15-13*ORÇAMENTO!$AF$7)/$H93*OFFSET(ORÇAMENTO!$X$15,ROW(AE93)-ROW(AE$15),0),
ROUND(ROUND(OFFSET($P93,0,AE$13),15-13*ORÇAMENTO!$AF$7)*OFFSET(ORÇAMENTO!$W$15,ROW(AE93)-ROW(AE$15),0),15-13*ORÇAMENTO!$AF$11)),0)</f>
        <v>0</v>
      </c>
      <c r="AF93" s="542">
        <f ca="1">IF(AND($D93="Serviço",AF$12&lt;&gt;0,$H93&gt;0,OR(AUTOEVENTO&lt;&gt;"manual",$M93&lt;&gt;1)),
IF(Import.TipoArredondamento&lt;&gt;"TransfereGOV",
ROUND(OFFSET($P93,0,AF$13),15-13*ORÇAMENTO!$AF$7)/$H93*OFFSET(ORÇAMENTO!$X$15,ROW(AF93)-ROW(AF$15),0),
ROUND(ROUND(OFFSET($P93,0,AF$13),15-13*ORÇAMENTO!$AF$7)*OFFSET(ORÇAMENTO!$W$15,ROW(AF93)-ROW(AF$15),0),15-13*ORÇAMENTO!$AF$11)),0)</f>
        <v>0</v>
      </c>
      <c r="AG93" s="542">
        <f ca="1">IF(AND($D93="Serviço",AG$12&lt;&gt;0,$H93&gt;0,OR(AUTOEVENTO&lt;&gt;"manual",$M93&lt;&gt;1)),
IF(Import.TipoArredondamento&lt;&gt;"TransfereGOV",
ROUND(OFFSET($P93,0,AG$13),15-13*ORÇAMENTO!$AF$7)/$H93*OFFSET(ORÇAMENTO!$X$15,ROW(AG93)-ROW(AG$15),0),
ROUND(ROUND(OFFSET($P93,0,AG$13),15-13*ORÇAMENTO!$AF$7)*OFFSET(ORÇAMENTO!$W$15,ROW(AG93)-ROW(AG$15),0),15-13*ORÇAMENTO!$AF$11)),0)</f>
        <v>0</v>
      </c>
      <c r="AH93" s="542">
        <f ca="1">IF(AND($D93="Serviço",AH$12&lt;&gt;0,$H93&gt;0,OR(AUTOEVENTO&lt;&gt;"manual",$M93&lt;&gt;1)),
IF(Import.TipoArredondamento&lt;&gt;"TransfereGOV",
ROUND(OFFSET($P93,0,AH$13),15-13*ORÇAMENTO!$AF$7)/$H93*OFFSET(ORÇAMENTO!$X$15,ROW(AH93)-ROW(AH$15),0),
ROUND(ROUND(OFFSET($P93,0,AH$13),15-13*ORÇAMENTO!$AF$7)*OFFSET(ORÇAMENTO!$W$15,ROW(AH93)-ROW(AH$15),0),15-13*ORÇAMENTO!$AF$11)),0)</f>
        <v>0</v>
      </c>
      <c r="AI93" s="542">
        <f ca="1">IF(AND($D93="Serviço",AI$12&lt;&gt;0,$H93&gt;0,OR(AUTOEVENTO&lt;&gt;"manual",$M93&lt;&gt;1)),
IF(Import.TipoArredondamento&lt;&gt;"TransfereGOV",
ROUND(OFFSET($P93,0,AI$13),15-13*ORÇAMENTO!$AF$7)/$H93*OFFSET(ORÇAMENTO!$X$15,ROW(AI93)-ROW(AI$15),0),
ROUND(ROUND(OFFSET($P93,0,AI$13),15-13*ORÇAMENTO!$AF$7)*OFFSET(ORÇAMENTO!$W$15,ROW(AI93)-ROW(AI$15),0),15-13*ORÇAMENTO!$AF$11)),0)</f>
        <v>0</v>
      </c>
      <c r="AJ93" s="542">
        <f ca="1">IF(AND($D93="Serviço",AJ$12&lt;&gt;0,$H93&gt;0,OR(AUTOEVENTO&lt;&gt;"manual",$M93&lt;&gt;1)),
IF(Import.TipoArredondamento&lt;&gt;"TransfereGOV",
ROUND(OFFSET($P93,0,AJ$13),15-13*ORÇAMENTO!$AF$7)/$H93*OFFSET(ORÇAMENTO!$X$15,ROW(AJ93)-ROW(AJ$15),0),
ROUND(ROUND(OFFSET($P93,0,AJ$13),15-13*ORÇAMENTO!$AF$7)*OFFSET(ORÇAMENTO!$W$15,ROW(AJ93)-ROW(AJ$15),0),15-13*ORÇAMENTO!$AF$11)),0)</f>
        <v>0</v>
      </c>
      <c r="AK93" s="543">
        <f ca="1">IF(AND($D93="Serviço",AK$12&lt;&gt;0,$H93&gt;0,OR(AUTOEVENTO&lt;&gt;"manual",$M93&lt;&gt;1)),
IF(Import.TipoArredondamento&lt;&gt;"TransfereGOV",
ROUND(OFFSET($P93,0,AK$13),15-13*ORÇAMENTO!$AF$7)/$H93*OFFSET(ORÇAMENTO!$X$15,ROW(AK93)-ROW(AK$15),0),
ROUND(ROUND(OFFSET($P93,0,AK$13),15-13*ORÇAMENTO!$AF$7)*OFFSET(ORÇAMENTO!$W$15,ROW(AK93)-ROW(AK$15),0),15-13*ORÇAMENTO!$AF$11)),0)</f>
        <v>0</v>
      </c>
      <c r="AM93" s="178">
        <f ca="1">IF($D93&lt;&gt;"Serviço",0,IF(AND(AUTOEVENTO="Manual",$M93=1),0,IF(OFFSET(CRONOPLE!$F$14,$M93,AM$13)="",10^12,OFFSET(CRONOPLE!$F$14,$M93,AM$13))))</f>
        <v>1000000000000</v>
      </c>
      <c r="AN93" s="178">
        <f ca="1">IF($D93&lt;&gt;"Serviço",0,IF(AND(AUTOEVENTO="Manual",$M93=1),0,IF(OFFSET(CRONOPLE!$F$14,$M93,AN$13)="",10^12,OFFSET(CRONOPLE!$F$14,$M93,AN$13))))</f>
        <v>1000000000000</v>
      </c>
      <c r="AO93" s="178">
        <f ca="1">IF($D93&lt;&gt;"Serviço",0,IF(AND(AUTOEVENTO="Manual",$M93=1),0,IF(OFFSET(CRONOPLE!$F$14,$M93,AO$13)="",10^12,OFFSET(CRONOPLE!$F$14,$M93,AO$13))))</f>
        <v>1000000000000</v>
      </c>
      <c r="AP93" s="178">
        <f ca="1">IF($D93&lt;&gt;"Serviço",0,IF(AND(AUTOEVENTO="Manual",$M93=1),0,IF(OFFSET(CRONOPLE!$F$14,$M93,AP$13)="",10^12,OFFSET(CRONOPLE!$F$14,$M93,AP$13))))</f>
        <v>1000000000000</v>
      </c>
      <c r="AQ93" s="178">
        <f ca="1">IF($D93&lt;&gt;"Serviço",0,IF(AND(AUTOEVENTO="Manual",$M93=1),0,IF(OFFSET(CRONOPLE!$F$14,$M93,AQ$13)="",10^12,OFFSET(CRONOPLE!$F$14,$M93,AQ$13))))</f>
        <v>1000000000000</v>
      </c>
      <c r="AR93" s="178">
        <f ca="1">IF($D93&lt;&gt;"Serviço",0,IF(AND(AUTOEVENTO="Manual",$M93=1),0,IF(OFFSET(CRONOPLE!$F$14,$M93,AR$13)="",10^12,OFFSET(CRONOPLE!$F$14,$M93,AR$13))))</f>
        <v>1000000000000</v>
      </c>
      <c r="AS93" s="178">
        <f ca="1">IF($D93&lt;&gt;"Serviço",0,IF(AND(AUTOEVENTO="Manual",$M93=1),0,IF(OFFSET(CRONOPLE!$F$14,$M93,AS$13)="",10^12,OFFSET(CRONOPLE!$F$14,$M93,AS$13))))</f>
        <v>1000000000000</v>
      </c>
      <c r="AT93" s="178">
        <f ca="1">IF($D93&lt;&gt;"Serviço",0,IF(AND(AUTOEVENTO="Manual",$M93=1),0,IF(OFFSET(CRONOPLE!$F$14,$M93,AT$13)="",10^12,OFFSET(CRONOPLE!$F$14,$M93,AT$13))))</f>
        <v>1000000000000</v>
      </c>
      <c r="AU93" s="178">
        <f ca="1">IF($D93&lt;&gt;"Serviço",0,IF(AND(AUTOEVENTO="Manual",$M93=1),0,IF(OFFSET(CRONOPLE!$F$14,$M93,AU$13)="",10^12,OFFSET(CRONOPLE!$F$14,$M93,AU$13))))</f>
        <v>1000000000000</v>
      </c>
      <c r="AV93" s="178">
        <f ca="1">IF($D93&lt;&gt;"Serviço",0,IF(AND(AUTOEVENTO="Manual",$M93=1),0,IF(OFFSET(CRONOPLE!$F$14,$M93,AV$13)="",10^12,OFFSET(CRONOPLE!$F$14,$M93,AV$13))))</f>
        <v>1000000000000</v>
      </c>
      <c r="AX93" s="179">
        <f ca="1">IF($D93&lt;&gt;"Serviço",0,IF(OR(AND(AUTOEVENTO="Manual",$M93=1),$M93&gt;(ROW(PLE.lastrow)-ROW(PLE.firstrow))),0,IF(OFFSET(PLE!$G$14,$M93,AX$13)="",10^12,OFFSET(PLE!$G$14,$M93,AX$13))))</f>
        <v>1000000000000</v>
      </c>
      <c r="AY93" s="179">
        <f ca="1">IF($D93&lt;&gt;"Serviço",0,IF(OR(AND(AUTOEVENTO="Manual",$M93=1),$M93&gt;(ROW(PLE.lastrow)-ROW(PLE.firstrow))),0,IF(OFFSET(PLE!$G$14,$M93,AY$13)="",10^12,OFFSET(PLE!$G$14,$M93,AY$13))))</f>
        <v>1000000000000</v>
      </c>
      <c r="AZ93" s="179">
        <f ca="1">IF($D93&lt;&gt;"Serviço",0,IF(OR(AND(AUTOEVENTO="Manual",$M93=1),$M93&gt;(ROW(PLE.lastrow)-ROW(PLE.firstrow))),0,IF(OFFSET(PLE!$G$14,$M93,AZ$13)="",10^12,OFFSET(PLE!$G$14,$M93,AZ$13))))</f>
        <v>1000000000000</v>
      </c>
      <c r="BA93" s="179">
        <f ca="1">IF($D93&lt;&gt;"Serviço",0,IF(OR(AND(AUTOEVENTO="Manual",$M93=1),$M93&gt;(ROW(PLE.lastrow)-ROW(PLE.firstrow))),0,IF(OFFSET(PLE!$G$14,$M93,BA$13)="",10^12,OFFSET(PLE!$G$14,$M93,BA$13))))</f>
        <v>1000000000000</v>
      </c>
      <c r="BB93" s="179">
        <f ca="1">IF($D93&lt;&gt;"Serviço",0,IF(OR(AND(AUTOEVENTO="Manual",$M93=1),$M93&gt;(ROW(PLE.lastrow)-ROW(PLE.firstrow))),0,IF(OFFSET(PLE!$G$14,$M93,BB$13)="",10^12,OFFSET(PLE!$G$14,$M93,BB$13))))</f>
        <v>1000000000000</v>
      </c>
      <c r="BC93" s="179">
        <f ca="1">IF($D93&lt;&gt;"Serviço",0,IF(OR(AND(AUTOEVENTO="Manual",$M93=1),$M93&gt;(ROW(PLE.lastrow)-ROW(PLE.firstrow))),0,IF(OFFSET(PLE!$G$14,$M93,BC$13)="",10^12,OFFSET(PLE!$G$14,$M93,BC$13))))</f>
        <v>1000000000000</v>
      </c>
      <c r="BD93" s="179">
        <f ca="1">IF($D93&lt;&gt;"Serviço",0,IF(OR(AND(AUTOEVENTO="Manual",$M93=1),$M93&gt;(ROW(PLE.lastrow)-ROW(PLE.firstrow))),0,IF(OFFSET(PLE!$G$14,$M93,BD$13)="",10^12,OFFSET(PLE!$G$14,$M93,BD$13))))</f>
        <v>1000000000000</v>
      </c>
      <c r="BE93" s="179">
        <f ca="1">IF($D93&lt;&gt;"Serviço",0,IF(OR(AND(AUTOEVENTO="Manual",$M93=1),$M93&gt;(ROW(PLE.lastrow)-ROW(PLE.firstrow))),0,IF(OFFSET(PLE!$G$14,$M93,BE$13)="",10^12,OFFSET(PLE!$G$14,$M93,BE$13))))</f>
        <v>1000000000000</v>
      </c>
      <c r="BF93" s="179">
        <f ca="1">IF($D93&lt;&gt;"Serviço",0,IF(OR(AND(AUTOEVENTO="Manual",$M93=1),$M93&gt;(ROW(PLE.lastrow)-ROW(PLE.firstrow))),0,IF(OFFSET(PLE!$G$14,$M93,BF$13)="",10^12,OFFSET(PLE!$G$14,$M93,BF$13))))</f>
        <v>1000000000000</v>
      </c>
      <c r="BG93" s="179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38.25" x14ac:dyDescent="0.2">
      <c r="A94" s="7" t="str">
        <f t="shared" ca="1" si="10"/>
        <v>76</v>
      </c>
      <c r="B94" s="7" t="str">
        <f ca="1">OFFSET(ORÇAMENTO!C$15,ROW(B94)-ROW(B$15),0)</f>
        <v>S</v>
      </c>
      <c r="C94" s="7" t="str">
        <f ca="1">OFFSET(ORÇAMENTO!L$15,ROW(C94)-ROW(C$15),0)</f>
        <v/>
      </c>
      <c r="D94" s="115" t="str">
        <f ca="1">OFFSET(ORÇAMENTO!N$15,ROW(D94)-ROW(D$15),0)</f>
        <v>Serviço</v>
      </c>
      <c r="E94" s="116" t="str">
        <f ca="1">OFFSET(ORÇAMENTO!O$15,ROW(E94)-ROW(E$15),0)</f>
        <v>-</v>
      </c>
      <c r="F94" s="169" t="str">
        <f ca="1">OFFSET(ORÇAMENTO!R$15,ROW(F94)-ROW(F$15),0)</f>
        <v>(abra o arquivo 'Referência 10-2024.xlsm)</v>
      </c>
      <c r="G94" s="170" t="str">
        <f ca="1">IF($D94&lt;&gt;"Serviço","",OFFSET(ORÇAMENTO!S$15,ROW(G94)-ROW(G$15),0))</f>
        <v>-</v>
      </c>
      <c r="H94" s="121">
        <f ca="1">IF($D94&lt;&gt;"Serviço",0,IF(ACOMPANHAMENTO="BM",ROUND(OFFSET(ORÇAMENTO!AJ$15,ROW(H94)-ROW(H$15),0),15-13*ORÇAMENTO!$AF$7),SUMPRODUCT(($Q$12:$AA$12&lt;&gt;"")*ROUND($Q94:$AA94,15-13*ORÇAMENTO!$AF$7))))</f>
        <v>15.25</v>
      </c>
      <c r="I94" s="558" t="s">
        <v>561</v>
      </c>
      <c r="K94" s="171"/>
      <c r="L94" s="172" t="s">
        <v>255</v>
      </c>
      <c r="M94" s="173">
        <f ca="1">IF($D94&lt;&gt;"Serviço","",IF(AUTOEVENTO="manual",$A94,IF(ISERROR(MATCH($A94,$A$15:OFFSET($A94,-1,0),0)),MAX($M$15:OFFSET(M94,-1,0))+1,INDEX($M$15:OFFSET(M94,-1,0),MATCH($A94,$A$15:OFFSET($A94,-1,0),0)))))</f>
        <v>14</v>
      </c>
      <c r="N94" s="174" t="str">
        <f ca="1">IF($D94&lt;&gt;"Serviço","",IF(AUTOEVENTO="Manual",IF($A94=0,"&lt;-- defina o número do agrupador",OFFSET(EVENTOS!$D$14,$A94,0)),OFFSET($F$15,$A94,0)))</f>
        <v>INSTALAÇÕES HIDROSSANITÁRIAS</v>
      </c>
      <c r="O94" s="175"/>
      <c r="Q94" s="175"/>
      <c r="R94" s="176"/>
      <c r="S94" s="176"/>
      <c r="T94" s="176"/>
      <c r="U94" s="176"/>
      <c r="V94" s="176"/>
      <c r="W94" s="176"/>
      <c r="X94" s="176"/>
      <c r="Y94" s="176"/>
      <c r="Z94" s="177"/>
      <c r="AB94" s="541">
        <f ca="1">IF(AND($D94="Serviço",AB$12&lt;&gt;0,$H94&gt;0,OR(AUTOEVENTO&lt;&gt;"manual",$M94&lt;&gt;1)),
IF(Import.TipoArredondamento&lt;&gt;"TransfereGOV",
ROUND(OFFSET($P94,0,AB$13),15-13*ORÇAMENTO!$AF$7)/$H94*OFFSET(ORÇAMENTO!$X$15,ROW(AB94)-ROW(AB$15),0),
ROUND(ROUND(OFFSET($P94,0,AB$13),15-13*ORÇAMENTO!$AF$7)*OFFSET(ORÇAMENTO!$W$15,ROW(AB94)-ROW(AB$15),0),15-13*ORÇAMENTO!$AF$11)),0)</f>
        <v>0</v>
      </c>
      <c r="AC94" s="542">
        <f ca="1">IF(AND($D94="Serviço",AC$12&lt;&gt;0,$H94&gt;0,OR(AUTOEVENTO&lt;&gt;"manual",$M94&lt;&gt;1)),
IF(Import.TipoArredondamento&lt;&gt;"TransfereGOV",
ROUND(OFFSET($P94,0,AC$13),15-13*ORÇAMENTO!$AF$7)/$H94*OFFSET(ORÇAMENTO!$X$15,ROW(AC94)-ROW(AC$15),0),
ROUND(ROUND(OFFSET($P94,0,AC$13),15-13*ORÇAMENTO!$AF$7)*OFFSET(ORÇAMENTO!$W$15,ROW(AC94)-ROW(AC$15),0),15-13*ORÇAMENTO!$AF$11)),0)</f>
        <v>0</v>
      </c>
      <c r="AD94" s="542">
        <f ca="1">IF(AND($D94="Serviço",AD$12&lt;&gt;0,$H94&gt;0,OR(AUTOEVENTO&lt;&gt;"manual",$M94&lt;&gt;1)),
IF(Import.TipoArredondamento&lt;&gt;"TransfereGOV",
ROUND(OFFSET($P94,0,AD$13),15-13*ORÇAMENTO!$AF$7)/$H94*OFFSET(ORÇAMENTO!$X$15,ROW(AD94)-ROW(AD$15),0),
ROUND(ROUND(OFFSET($P94,0,AD$13),15-13*ORÇAMENTO!$AF$7)*OFFSET(ORÇAMENTO!$W$15,ROW(AD94)-ROW(AD$15),0),15-13*ORÇAMENTO!$AF$11)),0)</f>
        <v>0</v>
      </c>
      <c r="AE94" s="542">
        <f ca="1">IF(AND($D94="Serviço",AE$12&lt;&gt;0,$H94&gt;0,OR(AUTOEVENTO&lt;&gt;"manual",$M94&lt;&gt;1)),
IF(Import.TipoArredondamento&lt;&gt;"TransfereGOV",
ROUND(OFFSET($P94,0,AE$13),15-13*ORÇAMENTO!$AF$7)/$H94*OFFSET(ORÇAMENTO!$X$15,ROW(AE94)-ROW(AE$15),0),
ROUND(ROUND(OFFSET($P94,0,AE$13),15-13*ORÇAMENTO!$AF$7)*OFFSET(ORÇAMENTO!$W$15,ROW(AE94)-ROW(AE$15),0),15-13*ORÇAMENTO!$AF$11)),0)</f>
        <v>0</v>
      </c>
      <c r="AF94" s="542">
        <f ca="1">IF(AND($D94="Serviço",AF$12&lt;&gt;0,$H94&gt;0,OR(AUTOEVENTO&lt;&gt;"manual",$M94&lt;&gt;1)),
IF(Import.TipoArredondamento&lt;&gt;"TransfereGOV",
ROUND(OFFSET($P94,0,AF$13),15-13*ORÇAMENTO!$AF$7)/$H94*OFFSET(ORÇAMENTO!$X$15,ROW(AF94)-ROW(AF$15),0),
ROUND(ROUND(OFFSET($P94,0,AF$13),15-13*ORÇAMENTO!$AF$7)*OFFSET(ORÇAMENTO!$W$15,ROW(AF94)-ROW(AF$15),0),15-13*ORÇAMENTO!$AF$11)),0)</f>
        <v>0</v>
      </c>
      <c r="AG94" s="542">
        <f ca="1">IF(AND($D94="Serviço",AG$12&lt;&gt;0,$H94&gt;0,OR(AUTOEVENTO&lt;&gt;"manual",$M94&lt;&gt;1)),
IF(Import.TipoArredondamento&lt;&gt;"TransfereGOV",
ROUND(OFFSET($P94,0,AG$13),15-13*ORÇAMENTO!$AF$7)/$H94*OFFSET(ORÇAMENTO!$X$15,ROW(AG94)-ROW(AG$15),0),
ROUND(ROUND(OFFSET($P94,0,AG$13),15-13*ORÇAMENTO!$AF$7)*OFFSET(ORÇAMENTO!$W$15,ROW(AG94)-ROW(AG$15),0),15-13*ORÇAMENTO!$AF$11)),0)</f>
        <v>0</v>
      </c>
      <c r="AH94" s="542">
        <f ca="1">IF(AND($D94="Serviço",AH$12&lt;&gt;0,$H94&gt;0,OR(AUTOEVENTO&lt;&gt;"manual",$M94&lt;&gt;1)),
IF(Import.TipoArredondamento&lt;&gt;"TransfereGOV",
ROUND(OFFSET($P94,0,AH$13),15-13*ORÇAMENTO!$AF$7)/$H94*OFFSET(ORÇAMENTO!$X$15,ROW(AH94)-ROW(AH$15),0),
ROUND(ROUND(OFFSET($P94,0,AH$13),15-13*ORÇAMENTO!$AF$7)*OFFSET(ORÇAMENTO!$W$15,ROW(AH94)-ROW(AH$15),0),15-13*ORÇAMENTO!$AF$11)),0)</f>
        <v>0</v>
      </c>
      <c r="AI94" s="542">
        <f ca="1">IF(AND($D94="Serviço",AI$12&lt;&gt;0,$H94&gt;0,OR(AUTOEVENTO&lt;&gt;"manual",$M94&lt;&gt;1)),
IF(Import.TipoArredondamento&lt;&gt;"TransfereGOV",
ROUND(OFFSET($P94,0,AI$13),15-13*ORÇAMENTO!$AF$7)/$H94*OFFSET(ORÇAMENTO!$X$15,ROW(AI94)-ROW(AI$15),0),
ROUND(ROUND(OFFSET($P94,0,AI$13),15-13*ORÇAMENTO!$AF$7)*OFFSET(ORÇAMENTO!$W$15,ROW(AI94)-ROW(AI$15),0),15-13*ORÇAMENTO!$AF$11)),0)</f>
        <v>0</v>
      </c>
      <c r="AJ94" s="542">
        <f ca="1">IF(AND($D94="Serviço",AJ$12&lt;&gt;0,$H94&gt;0,OR(AUTOEVENTO&lt;&gt;"manual",$M94&lt;&gt;1)),
IF(Import.TipoArredondamento&lt;&gt;"TransfereGOV",
ROUND(OFFSET($P94,0,AJ$13),15-13*ORÇAMENTO!$AF$7)/$H94*OFFSET(ORÇAMENTO!$X$15,ROW(AJ94)-ROW(AJ$15),0),
ROUND(ROUND(OFFSET($P94,0,AJ$13),15-13*ORÇAMENTO!$AF$7)*OFFSET(ORÇAMENTO!$W$15,ROW(AJ94)-ROW(AJ$15),0),15-13*ORÇAMENTO!$AF$11)),0)</f>
        <v>0</v>
      </c>
      <c r="AK94" s="543">
        <f ca="1">IF(AND($D94="Serviço",AK$12&lt;&gt;0,$H94&gt;0,OR(AUTOEVENTO&lt;&gt;"manual",$M94&lt;&gt;1)),
IF(Import.TipoArredondamento&lt;&gt;"TransfereGOV",
ROUND(OFFSET($P94,0,AK$13),15-13*ORÇAMENTO!$AF$7)/$H94*OFFSET(ORÇAMENTO!$X$15,ROW(AK94)-ROW(AK$15),0),
ROUND(ROUND(OFFSET($P94,0,AK$13),15-13*ORÇAMENTO!$AF$7)*OFFSET(ORÇAMENTO!$W$15,ROW(AK94)-ROW(AK$15),0),15-13*ORÇAMENTO!$AF$11)),0)</f>
        <v>0</v>
      </c>
      <c r="AM94" s="178">
        <f ca="1">IF($D94&lt;&gt;"Serviço",0,IF(AND(AUTOEVENTO="Manual",$M94=1),0,IF(OFFSET(CRONOPLE!$F$14,$M94,AM$13)="",10^12,OFFSET(CRONOPLE!$F$14,$M94,AM$13))))</f>
        <v>1000000000000</v>
      </c>
      <c r="AN94" s="178">
        <f ca="1">IF($D94&lt;&gt;"Serviço",0,IF(AND(AUTOEVENTO="Manual",$M94=1),0,IF(OFFSET(CRONOPLE!$F$14,$M94,AN$13)="",10^12,OFFSET(CRONOPLE!$F$14,$M94,AN$13))))</f>
        <v>1000000000000</v>
      </c>
      <c r="AO94" s="178">
        <f ca="1">IF($D94&lt;&gt;"Serviço",0,IF(AND(AUTOEVENTO="Manual",$M94=1),0,IF(OFFSET(CRONOPLE!$F$14,$M94,AO$13)="",10^12,OFFSET(CRONOPLE!$F$14,$M94,AO$13))))</f>
        <v>1000000000000</v>
      </c>
      <c r="AP94" s="178">
        <f ca="1">IF($D94&lt;&gt;"Serviço",0,IF(AND(AUTOEVENTO="Manual",$M94=1),0,IF(OFFSET(CRONOPLE!$F$14,$M94,AP$13)="",10^12,OFFSET(CRONOPLE!$F$14,$M94,AP$13))))</f>
        <v>1000000000000</v>
      </c>
      <c r="AQ94" s="178">
        <f ca="1">IF($D94&lt;&gt;"Serviço",0,IF(AND(AUTOEVENTO="Manual",$M94=1),0,IF(OFFSET(CRONOPLE!$F$14,$M94,AQ$13)="",10^12,OFFSET(CRONOPLE!$F$14,$M94,AQ$13))))</f>
        <v>1000000000000</v>
      </c>
      <c r="AR94" s="178">
        <f ca="1">IF($D94&lt;&gt;"Serviço",0,IF(AND(AUTOEVENTO="Manual",$M94=1),0,IF(OFFSET(CRONOPLE!$F$14,$M94,AR$13)="",10^12,OFFSET(CRONOPLE!$F$14,$M94,AR$13))))</f>
        <v>1000000000000</v>
      </c>
      <c r="AS94" s="178">
        <f ca="1">IF($D94&lt;&gt;"Serviço",0,IF(AND(AUTOEVENTO="Manual",$M94=1),0,IF(OFFSET(CRONOPLE!$F$14,$M94,AS$13)="",10^12,OFFSET(CRONOPLE!$F$14,$M94,AS$13))))</f>
        <v>1000000000000</v>
      </c>
      <c r="AT94" s="178">
        <f ca="1">IF($D94&lt;&gt;"Serviço",0,IF(AND(AUTOEVENTO="Manual",$M94=1),0,IF(OFFSET(CRONOPLE!$F$14,$M94,AT$13)="",10^12,OFFSET(CRONOPLE!$F$14,$M94,AT$13))))</f>
        <v>1000000000000</v>
      </c>
      <c r="AU94" s="178">
        <f ca="1">IF($D94&lt;&gt;"Serviço",0,IF(AND(AUTOEVENTO="Manual",$M94=1),0,IF(OFFSET(CRONOPLE!$F$14,$M94,AU$13)="",10^12,OFFSET(CRONOPLE!$F$14,$M94,AU$13))))</f>
        <v>1000000000000</v>
      </c>
      <c r="AV94" s="178">
        <f ca="1">IF($D94&lt;&gt;"Serviço",0,IF(AND(AUTOEVENTO="Manual",$M94=1),0,IF(OFFSET(CRONOPLE!$F$14,$M94,AV$13)="",10^12,OFFSET(CRONOPLE!$F$14,$M94,AV$13))))</f>
        <v>1000000000000</v>
      </c>
      <c r="AX94" s="179">
        <f ca="1">IF($D94&lt;&gt;"Serviço",0,IF(OR(AND(AUTOEVENTO="Manual",$M94=1),$M94&gt;(ROW(PLE.lastrow)-ROW(PLE.firstrow))),0,IF(OFFSET(PLE!$G$14,$M94,AX$13)="",10^12,OFFSET(PLE!$G$14,$M94,AX$13))))</f>
        <v>1000000000000</v>
      </c>
      <c r="AY94" s="179">
        <f ca="1">IF($D94&lt;&gt;"Serviço",0,IF(OR(AND(AUTOEVENTO="Manual",$M94=1),$M94&gt;(ROW(PLE.lastrow)-ROW(PLE.firstrow))),0,IF(OFFSET(PLE!$G$14,$M94,AY$13)="",10^12,OFFSET(PLE!$G$14,$M94,AY$13))))</f>
        <v>1000000000000</v>
      </c>
      <c r="AZ94" s="179">
        <f ca="1">IF($D94&lt;&gt;"Serviço",0,IF(OR(AND(AUTOEVENTO="Manual",$M94=1),$M94&gt;(ROW(PLE.lastrow)-ROW(PLE.firstrow))),0,IF(OFFSET(PLE!$G$14,$M94,AZ$13)="",10^12,OFFSET(PLE!$G$14,$M94,AZ$13))))</f>
        <v>1000000000000</v>
      </c>
      <c r="BA94" s="179">
        <f ca="1">IF($D94&lt;&gt;"Serviço",0,IF(OR(AND(AUTOEVENTO="Manual",$M94=1),$M94&gt;(ROW(PLE.lastrow)-ROW(PLE.firstrow))),0,IF(OFFSET(PLE!$G$14,$M94,BA$13)="",10^12,OFFSET(PLE!$G$14,$M94,BA$13))))</f>
        <v>1000000000000</v>
      </c>
      <c r="BB94" s="179">
        <f ca="1">IF($D94&lt;&gt;"Serviço",0,IF(OR(AND(AUTOEVENTO="Manual",$M94=1),$M94&gt;(ROW(PLE.lastrow)-ROW(PLE.firstrow))),0,IF(OFFSET(PLE!$G$14,$M94,BB$13)="",10^12,OFFSET(PLE!$G$14,$M94,BB$13))))</f>
        <v>1000000000000</v>
      </c>
      <c r="BC94" s="179">
        <f ca="1">IF($D94&lt;&gt;"Serviço",0,IF(OR(AND(AUTOEVENTO="Manual",$M94=1),$M94&gt;(ROW(PLE.lastrow)-ROW(PLE.firstrow))),0,IF(OFFSET(PLE!$G$14,$M94,BC$13)="",10^12,OFFSET(PLE!$G$14,$M94,BC$13))))</f>
        <v>1000000000000</v>
      </c>
      <c r="BD94" s="179">
        <f ca="1">IF($D94&lt;&gt;"Serviço",0,IF(OR(AND(AUTOEVENTO="Manual",$M94=1),$M94&gt;(ROW(PLE.lastrow)-ROW(PLE.firstrow))),0,IF(OFFSET(PLE!$G$14,$M94,BD$13)="",10^12,OFFSET(PLE!$G$14,$M94,BD$13))))</f>
        <v>1000000000000</v>
      </c>
      <c r="BE94" s="179">
        <f ca="1">IF($D94&lt;&gt;"Serviço",0,IF(OR(AND(AUTOEVENTO="Manual",$M94=1),$M94&gt;(ROW(PLE.lastrow)-ROW(PLE.firstrow))),0,IF(OFFSET(PLE!$G$14,$M94,BE$13)="",10^12,OFFSET(PLE!$G$14,$M94,BE$13))))</f>
        <v>1000000000000</v>
      </c>
      <c r="BF94" s="179">
        <f ca="1">IF($D94&lt;&gt;"Serviço",0,IF(OR(AND(AUTOEVENTO="Manual",$M94=1),$M94&gt;(ROW(PLE.lastrow)-ROW(PLE.firstrow))),0,IF(OFFSET(PLE!$G$14,$M94,BF$13)="",10^12,OFFSET(PLE!$G$14,$M94,BF$13))))</f>
        <v>1000000000000</v>
      </c>
      <c r="BG94" s="179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38.25" x14ac:dyDescent="0.2">
      <c r="A95" s="7" t="str">
        <f t="shared" ca="1" si="10"/>
        <v>76</v>
      </c>
      <c r="B95" s="7" t="str">
        <f ca="1">OFFSET(ORÇAMENTO!C$15,ROW(B95)-ROW(B$15),0)</f>
        <v>S</v>
      </c>
      <c r="C95" s="7" t="str">
        <f ca="1">OFFSET(ORÇAMENTO!L$15,ROW(C95)-ROW(C$15),0)</f>
        <v/>
      </c>
      <c r="D95" s="115" t="str">
        <f ca="1">OFFSET(ORÇAMENTO!N$15,ROW(D95)-ROW(D$15),0)</f>
        <v>Serviço</v>
      </c>
      <c r="E95" s="116" t="str">
        <f ca="1">OFFSET(ORÇAMENTO!O$15,ROW(E95)-ROW(E$15),0)</f>
        <v>-</v>
      </c>
      <c r="F95" s="169" t="str">
        <f ca="1">OFFSET(ORÇAMENTO!R$15,ROW(F95)-ROW(F$15),0)</f>
        <v>(abra o arquivo 'Referência 10-2024.xlsm)</v>
      </c>
      <c r="G95" s="170" t="str">
        <f ca="1">IF($D95&lt;&gt;"Serviço","",OFFSET(ORÇAMENTO!S$15,ROW(G95)-ROW(G$15),0))</f>
        <v>-</v>
      </c>
      <c r="H95" s="121">
        <f ca="1">IF($D95&lt;&gt;"Serviço",0,IF(ACOMPANHAMENTO="BM",ROUND(OFFSET(ORÇAMENTO!AJ$15,ROW(H95)-ROW(H$15),0),15-13*ORÇAMENTO!$AF$7),SUMPRODUCT(($Q$12:$AA$12&lt;&gt;"")*ROUND($Q95:$AA95,15-13*ORÇAMENTO!$AF$7))))</f>
        <v>4.5999999999999996</v>
      </c>
      <c r="I95" s="558" t="s">
        <v>561</v>
      </c>
      <c r="K95" s="171"/>
      <c r="L95" s="172" t="s">
        <v>255</v>
      </c>
      <c r="M95" s="173">
        <f ca="1">IF($D95&lt;&gt;"Serviço","",IF(AUTOEVENTO="manual",$A95,IF(ISERROR(MATCH($A95,$A$15:OFFSET($A95,-1,0),0)),MAX($M$15:OFFSET(M95,-1,0))+1,INDEX($M$15:OFFSET(M95,-1,0),MATCH($A95,$A$15:OFFSET($A95,-1,0),0)))))</f>
        <v>14</v>
      </c>
      <c r="N95" s="174" t="str">
        <f ca="1">IF($D95&lt;&gt;"Serviço","",IF(AUTOEVENTO="Manual",IF($A95=0,"&lt;-- defina o número do agrupador",OFFSET(EVENTOS!$D$14,$A95,0)),OFFSET($F$15,$A95,0)))</f>
        <v>INSTALAÇÕES HIDROSSANITÁRIAS</v>
      </c>
      <c r="O95" s="175"/>
      <c r="Q95" s="175"/>
      <c r="R95" s="176"/>
      <c r="S95" s="176"/>
      <c r="T95" s="176"/>
      <c r="U95" s="176"/>
      <c r="V95" s="176"/>
      <c r="W95" s="176"/>
      <c r="X95" s="176"/>
      <c r="Y95" s="176"/>
      <c r="Z95" s="177"/>
      <c r="AB95" s="541">
        <f ca="1">IF(AND($D95="Serviço",AB$12&lt;&gt;0,$H95&gt;0,OR(AUTOEVENTO&lt;&gt;"manual",$M95&lt;&gt;1)),
IF(Import.TipoArredondamento&lt;&gt;"TransfereGOV",
ROUND(OFFSET($P95,0,AB$13),15-13*ORÇAMENTO!$AF$7)/$H95*OFFSET(ORÇAMENTO!$X$15,ROW(AB95)-ROW(AB$15),0),
ROUND(ROUND(OFFSET($P95,0,AB$13),15-13*ORÇAMENTO!$AF$7)*OFFSET(ORÇAMENTO!$W$15,ROW(AB95)-ROW(AB$15),0),15-13*ORÇAMENTO!$AF$11)),0)</f>
        <v>0</v>
      </c>
      <c r="AC95" s="542">
        <f ca="1">IF(AND($D95="Serviço",AC$12&lt;&gt;0,$H95&gt;0,OR(AUTOEVENTO&lt;&gt;"manual",$M95&lt;&gt;1)),
IF(Import.TipoArredondamento&lt;&gt;"TransfereGOV",
ROUND(OFFSET($P95,0,AC$13),15-13*ORÇAMENTO!$AF$7)/$H95*OFFSET(ORÇAMENTO!$X$15,ROW(AC95)-ROW(AC$15),0),
ROUND(ROUND(OFFSET($P95,0,AC$13),15-13*ORÇAMENTO!$AF$7)*OFFSET(ORÇAMENTO!$W$15,ROW(AC95)-ROW(AC$15),0),15-13*ORÇAMENTO!$AF$11)),0)</f>
        <v>0</v>
      </c>
      <c r="AD95" s="542">
        <f ca="1">IF(AND($D95="Serviço",AD$12&lt;&gt;0,$H95&gt;0,OR(AUTOEVENTO&lt;&gt;"manual",$M95&lt;&gt;1)),
IF(Import.TipoArredondamento&lt;&gt;"TransfereGOV",
ROUND(OFFSET($P95,0,AD$13),15-13*ORÇAMENTO!$AF$7)/$H95*OFFSET(ORÇAMENTO!$X$15,ROW(AD95)-ROW(AD$15),0),
ROUND(ROUND(OFFSET($P95,0,AD$13),15-13*ORÇAMENTO!$AF$7)*OFFSET(ORÇAMENTO!$W$15,ROW(AD95)-ROW(AD$15),0),15-13*ORÇAMENTO!$AF$11)),0)</f>
        <v>0</v>
      </c>
      <c r="AE95" s="542">
        <f ca="1">IF(AND($D95="Serviço",AE$12&lt;&gt;0,$H95&gt;0,OR(AUTOEVENTO&lt;&gt;"manual",$M95&lt;&gt;1)),
IF(Import.TipoArredondamento&lt;&gt;"TransfereGOV",
ROUND(OFFSET($P95,0,AE$13),15-13*ORÇAMENTO!$AF$7)/$H95*OFFSET(ORÇAMENTO!$X$15,ROW(AE95)-ROW(AE$15),0),
ROUND(ROUND(OFFSET($P95,0,AE$13),15-13*ORÇAMENTO!$AF$7)*OFFSET(ORÇAMENTO!$W$15,ROW(AE95)-ROW(AE$15),0),15-13*ORÇAMENTO!$AF$11)),0)</f>
        <v>0</v>
      </c>
      <c r="AF95" s="542">
        <f ca="1">IF(AND($D95="Serviço",AF$12&lt;&gt;0,$H95&gt;0,OR(AUTOEVENTO&lt;&gt;"manual",$M95&lt;&gt;1)),
IF(Import.TipoArredondamento&lt;&gt;"TransfereGOV",
ROUND(OFFSET($P95,0,AF$13),15-13*ORÇAMENTO!$AF$7)/$H95*OFFSET(ORÇAMENTO!$X$15,ROW(AF95)-ROW(AF$15),0),
ROUND(ROUND(OFFSET($P95,0,AF$13),15-13*ORÇAMENTO!$AF$7)*OFFSET(ORÇAMENTO!$W$15,ROW(AF95)-ROW(AF$15),0),15-13*ORÇAMENTO!$AF$11)),0)</f>
        <v>0</v>
      </c>
      <c r="AG95" s="542">
        <f ca="1">IF(AND($D95="Serviço",AG$12&lt;&gt;0,$H95&gt;0,OR(AUTOEVENTO&lt;&gt;"manual",$M95&lt;&gt;1)),
IF(Import.TipoArredondamento&lt;&gt;"TransfereGOV",
ROUND(OFFSET($P95,0,AG$13),15-13*ORÇAMENTO!$AF$7)/$H95*OFFSET(ORÇAMENTO!$X$15,ROW(AG95)-ROW(AG$15),0),
ROUND(ROUND(OFFSET($P95,0,AG$13),15-13*ORÇAMENTO!$AF$7)*OFFSET(ORÇAMENTO!$W$15,ROW(AG95)-ROW(AG$15),0),15-13*ORÇAMENTO!$AF$11)),0)</f>
        <v>0</v>
      </c>
      <c r="AH95" s="542">
        <f ca="1">IF(AND($D95="Serviço",AH$12&lt;&gt;0,$H95&gt;0,OR(AUTOEVENTO&lt;&gt;"manual",$M95&lt;&gt;1)),
IF(Import.TipoArredondamento&lt;&gt;"TransfereGOV",
ROUND(OFFSET($P95,0,AH$13),15-13*ORÇAMENTO!$AF$7)/$H95*OFFSET(ORÇAMENTO!$X$15,ROW(AH95)-ROW(AH$15),0),
ROUND(ROUND(OFFSET($P95,0,AH$13),15-13*ORÇAMENTO!$AF$7)*OFFSET(ORÇAMENTO!$W$15,ROW(AH95)-ROW(AH$15),0),15-13*ORÇAMENTO!$AF$11)),0)</f>
        <v>0</v>
      </c>
      <c r="AI95" s="542">
        <f ca="1">IF(AND($D95="Serviço",AI$12&lt;&gt;0,$H95&gt;0,OR(AUTOEVENTO&lt;&gt;"manual",$M95&lt;&gt;1)),
IF(Import.TipoArredondamento&lt;&gt;"TransfereGOV",
ROUND(OFFSET($P95,0,AI$13),15-13*ORÇAMENTO!$AF$7)/$H95*OFFSET(ORÇAMENTO!$X$15,ROW(AI95)-ROW(AI$15),0),
ROUND(ROUND(OFFSET($P95,0,AI$13),15-13*ORÇAMENTO!$AF$7)*OFFSET(ORÇAMENTO!$W$15,ROW(AI95)-ROW(AI$15),0),15-13*ORÇAMENTO!$AF$11)),0)</f>
        <v>0</v>
      </c>
      <c r="AJ95" s="542">
        <f ca="1">IF(AND($D95="Serviço",AJ$12&lt;&gt;0,$H95&gt;0,OR(AUTOEVENTO&lt;&gt;"manual",$M95&lt;&gt;1)),
IF(Import.TipoArredondamento&lt;&gt;"TransfereGOV",
ROUND(OFFSET($P95,0,AJ$13),15-13*ORÇAMENTO!$AF$7)/$H95*OFFSET(ORÇAMENTO!$X$15,ROW(AJ95)-ROW(AJ$15),0),
ROUND(ROUND(OFFSET($P95,0,AJ$13),15-13*ORÇAMENTO!$AF$7)*OFFSET(ORÇAMENTO!$W$15,ROW(AJ95)-ROW(AJ$15),0),15-13*ORÇAMENTO!$AF$11)),0)</f>
        <v>0</v>
      </c>
      <c r="AK95" s="543">
        <f ca="1">IF(AND($D95="Serviço",AK$12&lt;&gt;0,$H95&gt;0,OR(AUTOEVENTO&lt;&gt;"manual",$M95&lt;&gt;1)),
IF(Import.TipoArredondamento&lt;&gt;"TransfereGOV",
ROUND(OFFSET($P95,0,AK$13),15-13*ORÇAMENTO!$AF$7)/$H95*OFFSET(ORÇAMENTO!$X$15,ROW(AK95)-ROW(AK$15),0),
ROUND(ROUND(OFFSET($P95,0,AK$13),15-13*ORÇAMENTO!$AF$7)*OFFSET(ORÇAMENTO!$W$15,ROW(AK95)-ROW(AK$15),0),15-13*ORÇAMENTO!$AF$11)),0)</f>
        <v>0</v>
      </c>
      <c r="AM95" s="178">
        <f ca="1">IF($D95&lt;&gt;"Serviço",0,IF(AND(AUTOEVENTO="Manual",$M95=1),0,IF(OFFSET(CRONOPLE!$F$14,$M95,AM$13)="",10^12,OFFSET(CRONOPLE!$F$14,$M95,AM$13))))</f>
        <v>1000000000000</v>
      </c>
      <c r="AN95" s="178">
        <f ca="1">IF($D95&lt;&gt;"Serviço",0,IF(AND(AUTOEVENTO="Manual",$M95=1),0,IF(OFFSET(CRONOPLE!$F$14,$M95,AN$13)="",10^12,OFFSET(CRONOPLE!$F$14,$M95,AN$13))))</f>
        <v>1000000000000</v>
      </c>
      <c r="AO95" s="178">
        <f ca="1">IF($D95&lt;&gt;"Serviço",0,IF(AND(AUTOEVENTO="Manual",$M95=1),0,IF(OFFSET(CRONOPLE!$F$14,$M95,AO$13)="",10^12,OFFSET(CRONOPLE!$F$14,$M95,AO$13))))</f>
        <v>1000000000000</v>
      </c>
      <c r="AP95" s="178">
        <f ca="1">IF($D95&lt;&gt;"Serviço",0,IF(AND(AUTOEVENTO="Manual",$M95=1),0,IF(OFFSET(CRONOPLE!$F$14,$M95,AP$13)="",10^12,OFFSET(CRONOPLE!$F$14,$M95,AP$13))))</f>
        <v>1000000000000</v>
      </c>
      <c r="AQ95" s="178">
        <f ca="1">IF($D95&lt;&gt;"Serviço",0,IF(AND(AUTOEVENTO="Manual",$M95=1),0,IF(OFFSET(CRONOPLE!$F$14,$M95,AQ$13)="",10^12,OFFSET(CRONOPLE!$F$14,$M95,AQ$13))))</f>
        <v>1000000000000</v>
      </c>
      <c r="AR95" s="178">
        <f ca="1">IF($D95&lt;&gt;"Serviço",0,IF(AND(AUTOEVENTO="Manual",$M95=1),0,IF(OFFSET(CRONOPLE!$F$14,$M95,AR$13)="",10^12,OFFSET(CRONOPLE!$F$14,$M95,AR$13))))</f>
        <v>1000000000000</v>
      </c>
      <c r="AS95" s="178">
        <f ca="1">IF($D95&lt;&gt;"Serviço",0,IF(AND(AUTOEVENTO="Manual",$M95=1),0,IF(OFFSET(CRONOPLE!$F$14,$M95,AS$13)="",10^12,OFFSET(CRONOPLE!$F$14,$M95,AS$13))))</f>
        <v>1000000000000</v>
      </c>
      <c r="AT95" s="178">
        <f ca="1">IF($D95&lt;&gt;"Serviço",0,IF(AND(AUTOEVENTO="Manual",$M95=1),0,IF(OFFSET(CRONOPLE!$F$14,$M95,AT$13)="",10^12,OFFSET(CRONOPLE!$F$14,$M95,AT$13))))</f>
        <v>1000000000000</v>
      </c>
      <c r="AU95" s="178">
        <f ca="1">IF($D95&lt;&gt;"Serviço",0,IF(AND(AUTOEVENTO="Manual",$M95=1),0,IF(OFFSET(CRONOPLE!$F$14,$M95,AU$13)="",10^12,OFFSET(CRONOPLE!$F$14,$M95,AU$13))))</f>
        <v>1000000000000</v>
      </c>
      <c r="AV95" s="178">
        <f ca="1">IF($D95&lt;&gt;"Serviço",0,IF(AND(AUTOEVENTO="Manual",$M95=1),0,IF(OFFSET(CRONOPLE!$F$14,$M95,AV$13)="",10^12,OFFSET(CRONOPLE!$F$14,$M95,AV$13))))</f>
        <v>1000000000000</v>
      </c>
      <c r="AX95" s="179">
        <f ca="1">IF($D95&lt;&gt;"Serviço",0,IF(OR(AND(AUTOEVENTO="Manual",$M95=1),$M95&gt;(ROW(PLE.lastrow)-ROW(PLE.firstrow))),0,IF(OFFSET(PLE!$G$14,$M95,AX$13)="",10^12,OFFSET(PLE!$G$14,$M95,AX$13))))</f>
        <v>1000000000000</v>
      </c>
      <c r="AY95" s="179">
        <f ca="1">IF($D95&lt;&gt;"Serviço",0,IF(OR(AND(AUTOEVENTO="Manual",$M95=1),$M95&gt;(ROW(PLE.lastrow)-ROW(PLE.firstrow))),0,IF(OFFSET(PLE!$G$14,$M95,AY$13)="",10^12,OFFSET(PLE!$G$14,$M95,AY$13))))</f>
        <v>1000000000000</v>
      </c>
      <c r="AZ95" s="179">
        <f ca="1">IF($D95&lt;&gt;"Serviço",0,IF(OR(AND(AUTOEVENTO="Manual",$M95=1),$M95&gt;(ROW(PLE.lastrow)-ROW(PLE.firstrow))),0,IF(OFFSET(PLE!$G$14,$M95,AZ$13)="",10^12,OFFSET(PLE!$G$14,$M95,AZ$13))))</f>
        <v>1000000000000</v>
      </c>
      <c r="BA95" s="179">
        <f ca="1">IF($D95&lt;&gt;"Serviço",0,IF(OR(AND(AUTOEVENTO="Manual",$M95=1),$M95&gt;(ROW(PLE.lastrow)-ROW(PLE.firstrow))),0,IF(OFFSET(PLE!$G$14,$M95,BA$13)="",10^12,OFFSET(PLE!$G$14,$M95,BA$13))))</f>
        <v>1000000000000</v>
      </c>
      <c r="BB95" s="179">
        <f ca="1">IF($D95&lt;&gt;"Serviço",0,IF(OR(AND(AUTOEVENTO="Manual",$M95=1),$M95&gt;(ROW(PLE.lastrow)-ROW(PLE.firstrow))),0,IF(OFFSET(PLE!$G$14,$M95,BB$13)="",10^12,OFFSET(PLE!$G$14,$M95,BB$13))))</f>
        <v>1000000000000</v>
      </c>
      <c r="BC95" s="179">
        <f ca="1">IF($D95&lt;&gt;"Serviço",0,IF(OR(AND(AUTOEVENTO="Manual",$M95=1),$M95&gt;(ROW(PLE.lastrow)-ROW(PLE.firstrow))),0,IF(OFFSET(PLE!$G$14,$M95,BC$13)="",10^12,OFFSET(PLE!$G$14,$M95,BC$13))))</f>
        <v>1000000000000</v>
      </c>
      <c r="BD95" s="179">
        <f ca="1">IF($D95&lt;&gt;"Serviço",0,IF(OR(AND(AUTOEVENTO="Manual",$M95=1),$M95&gt;(ROW(PLE.lastrow)-ROW(PLE.firstrow))),0,IF(OFFSET(PLE!$G$14,$M95,BD$13)="",10^12,OFFSET(PLE!$G$14,$M95,BD$13))))</f>
        <v>1000000000000</v>
      </c>
      <c r="BE95" s="179">
        <f ca="1">IF($D95&lt;&gt;"Serviço",0,IF(OR(AND(AUTOEVENTO="Manual",$M95=1),$M95&gt;(ROW(PLE.lastrow)-ROW(PLE.firstrow))),0,IF(OFFSET(PLE!$G$14,$M95,BE$13)="",10^12,OFFSET(PLE!$G$14,$M95,BE$13))))</f>
        <v>1000000000000</v>
      </c>
      <c r="BF95" s="179">
        <f ca="1">IF($D95&lt;&gt;"Serviço",0,IF(OR(AND(AUTOEVENTO="Manual",$M95=1),$M95&gt;(ROW(PLE.lastrow)-ROW(PLE.firstrow))),0,IF(OFFSET(PLE!$G$14,$M95,BF$13)="",10^12,OFFSET(PLE!$G$14,$M95,BF$13))))</f>
        <v>1000000000000</v>
      </c>
      <c r="BG95" s="179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38.25" x14ac:dyDescent="0.2">
      <c r="A96" s="7" t="str">
        <f t="shared" ca="1" si="10"/>
        <v>76</v>
      </c>
      <c r="B96" s="7" t="str">
        <f ca="1">OFFSET(ORÇAMENTO!C$15,ROW(B96)-ROW(B$15),0)</f>
        <v>S</v>
      </c>
      <c r="C96" s="7" t="str">
        <f ca="1">OFFSET(ORÇAMENTO!L$15,ROW(C96)-ROW(C$15),0)</f>
        <v/>
      </c>
      <c r="D96" s="115" t="str">
        <f ca="1">OFFSET(ORÇAMENTO!N$15,ROW(D96)-ROW(D$15),0)</f>
        <v>Serviço</v>
      </c>
      <c r="E96" s="116" t="str">
        <f ca="1">OFFSET(ORÇAMENTO!O$15,ROW(E96)-ROW(E$15),0)</f>
        <v>-</v>
      </c>
      <c r="F96" s="169" t="str">
        <f ca="1">OFFSET(ORÇAMENTO!R$15,ROW(F96)-ROW(F$15),0)</f>
        <v>(abra o arquivo 'Referência 10-2024.xlsm)</v>
      </c>
      <c r="G96" s="170" t="str">
        <f ca="1">IF($D96&lt;&gt;"Serviço","",OFFSET(ORÇAMENTO!S$15,ROW(G96)-ROW(G$15),0))</f>
        <v>-</v>
      </c>
      <c r="H96" s="121">
        <f ca="1">IF($D96&lt;&gt;"Serviço",0,IF(ACOMPANHAMENTO="BM",ROUND(OFFSET(ORÇAMENTO!AJ$15,ROW(H96)-ROW(H$15),0),15-13*ORÇAMENTO!$AF$7),SUMPRODUCT(($Q$12:$AA$12&lt;&gt;"")*ROUND($Q96:$AA96,15-13*ORÇAMENTO!$AF$7))))</f>
        <v>16.850000000000001</v>
      </c>
      <c r="I96" s="558" t="s">
        <v>561</v>
      </c>
      <c r="K96" s="171"/>
      <c r="L96" s="172" t="s">
        <v>255</v>
      </c>
      <c r="M96" s="173">
        <f ca="1">IF($D96&lt;&gt;"Serviço","",IF(AUTOEVENTO="manual",$A96,IF(ISERROR(MATCH($A96,$A$15:OFFSET($A96,-1,0),0)),MAX($M$15:OFFSET(M96,-1,0))+1,INDEX($M$15:OFFSET(M96,-1,0),MATCH($A96,$A$15:OFFSET($A96,-1,0),0)))))</f>
        <v>14</v>
      </c>
      <c r="N96" s="174" t="str">
        <f ca="1">IF($D96&lt;&gt;"Serviço","",IF(AUTOEVENTO="Manual",IF($A96=0,"&lt;-- defina o número do agrupador",OFFSET(EVENTOS!$D$14,$A96,0)),OFFSET($F$15,$A96,0)))</f>
        <v>INSTALAÇÕES HIDROSSANITÁRIAS</v>
      </c>
      <c r="O96" s="175"/>
      <c r="Q96" s="175"/>
      <c r="R96" s="176"/>
      <c r="S96" s="176"/>
      <c r="T96" s="176"/>
      <c r="U96" s="176"/>
      <c r="V96" s="176"/>
      <c r="W96" s="176"/>
      <c r="X96" s="176"/>
      <c r="Y96" s="176"/>
      <c r="Z96" s="177"/>
      <c r="AB96" s="541">
        <f ca="1">IF(AND($D96="Serviço",AB$12&lt;&gt;0,$H96&gt;0,OR(AUTOEVENTO&lt;&gt;"manual",$M96&lt;&gt;1)),
IF(Import.TipoArredondamento&lt;&gt;"TransfereGOV",
ROUND(OFFSET($P96,0,AB$13),15-13*ORÇAMENTO!$AF$7)/$H96*OFFSET(ORÇAMENTO!$X$15,ROW(AB96)-ROW(AB$15),0),
ROUND(ROUND(OFFSET($P96,0,AB$13),15-13*ORÇAMENTO!$AF$7)*OFFSET(ORÇAMENTO!$W$15,ROW(AB96)-ROW(AB$15),0),15-13*ORÇAMENTO!$AF$11)),0)</f>
        <v>0</v>
      </c>
      <c r="AC96" s="542">
        <f ca="1">IF(AND($D96="Serviço",AC$12&lt;&gt;0,$H96&gt;0,OR(AUTOEVENTO&lt;&gt;"manual",$M96&lt;&gt;1)),
IF(Import.TipoArredondamento&lt;&gt;"TransfereGOV",
ROUND(OFFSET($P96,0,AC$13),15-13*ORÇAMENTO!$AF$7)/$H96*OFFSET(ORÇAMENTO!$X$15,ROW(AC96)-ROW(AC$15),0),
ROUND(ROUND(OFFSET($P96,0,AC$13),15-13*ORÇAMENTO!$AF$7)*OFFSET(ORÇAMENTO!$W$15,ROW(AC96)-ROW(AC$15),0),15-13*ORÇAMENTO!$AF$11)),0)</f>
        <v>0</v>
      </c>
      <c r="AD96" s="542">
        <f ca="1">IF(AND($D96="Serviço",AD$12&lt;&gt;0,$H96&gt;0,OR(AUTOEVENTO&lt;&gt;"manual",$M96&lt;&gt;1)),
IF(Import.TipoArredondamento&lt;&gt;"TransfereGOV",
ROUND(OFFSET($P96,0,AD$13),15-13*ORÇAMENTO!$AF$7)/$H96*OFFSET(ORÇAMENTO!$X$15,ROW(AD96)-ROW(AD$15),0),
ROUND(ROUND(OFFSET($P96,0,AD$13),15-13*ORÇAMENTO!$AF$7)*OFFSET(ORÇAMENTO!$W$15,ROW(AD96)-ROW(AD$15),0),15-13*ORÇAMENTO!$AF$11)),0)</f>
        <v>0</v>
      </c>
      <c r="AE96" s="542">
        <f ca="1">IF(AND($D96="Serviço",AE$12&lt;&gt;0,$H96&gt;0,OR(AUTOEVENTO&lt;&gt;"manual",$M96&lt;&gt;1)),
IF(Import.TipoArredondamento&lt;&gt;"TransfereGOV",
ROUND(OFFSET($P96,0,AE$13),15-13*ORÇAMENTO!$AF$7)/$H96*OFFSET(ORÇAMENTO!$X$15,ROW(AE96)-ROW(AE$15),0),
ROUND(ROUND(OFFSET($P96,0,AE$13),15-13*ORÇAMENTO!$AF$7)*OFFSET(ORÇAMENTO!$W$15,ROW(AE96)-ROW(AE$15),0),15-13*ORÇAMENTO!$AF$11)),0)</f>
        <v>0</v>
      </c>
      <c r="AF96" s="542">
        <f ca="1">IF(AND($D96="Serviço",AF$12&lt;&gt;0,$H96&gt;0,OR(AUTOEVENTO&lt;&gt;"manual",$M96&lt;&gt;1)),
IF(Import.TipoArredondamento&lt;&gt;"TransfereGOV",
ROUND(OFFSET($P96,0,AF$13),15-13*ORÇAMENTO!$AF$7)/$H96*OFFSET(ORÇAMENTO!$X$15,ROW(AF96)-ROW(AF$15),0),
ROUND(ROUND(OFFSET($P96,0,AF$13),15-13*ORÇAMENTO!$AF$7)*OFFSET(ORÇAMENTO!$W$15,ROW(AF96)-ROW(AF$15),0),15-13*ORÇAMENTO!$AF$11)),0)</f>
        <v>0</v>
      </c>
      <c r="AG96" s="542">
        <f ca="1">IF(AND($D96="Serviço",AG$12&lt;&gt;0,$H96&gt;0,OR(AUTOEVENTO&lt;&gt;"manual",$M96&lt;&gt;1)),
IF(Import.TipoArredondamento&lt;&gt;"TransfereGOV",
ROUND(OFFSET($P96,0,AG$13),15-13*ORÇAMENTO!$AF$7)/$H96*OFFSET(ORÇAMENTO!$X$15,ROW(AG96)-ROW(AG$15),0),
ROUND(ROUND(OFFSET($P96,0,AG$13),15-13*ORÇAMENTO!$AF$7)*OFFSET(ORÇAMENTO!$W$15,ROW(AG96)-ROW(AG$15),0),15-13*ORÇAMENTO!$AF$11)),0)</f>
        <v>0</v>
      </c>
      <c r="AH96" s="542">
        <f ca="1">IF(AND($D96="Serviço",AH$12&lt;&gt;0,$H96&gt;0,OR(AUTOEVENTO&lt;&gt;"manual",$M96&lt;&gt;1)),
IF(Import.TipoArredondamento&lt;&gt;"TransfereGOV",
ROUND(OFFSET($P96,0,AH$13),15-13*ORÇAMENTO!$AF$7)/$H96*OFFSET(ORÇAMENTO!$X$15,ROW(AH96)-ROW(AH$15),0),
ROUND(ROUND(OFFSET($P96,0,AH$13),15-13*ORÇAMENTO!$AF$7)*OFFSET(ORÇAMENTO!$W$15,ROW(AH96)-ROW(AH$15),0),15-13*ORÇAMENTO!$AF$11)),0)</f>
        <v>0</v>
      </c>
      <c r="AI96" s="542">
        <f ca="1">IF(AND($D96="Serviço",AI$12&lt;&gt;0,$H96&gt;0,OR(AUTOEVENTO&lt;&gt;"manual",$M96&lt;&gt;1)),
IF(Import.TipoArredondamento&lt;&gt;"TransfereGOV",
ROUND(OFFSET($P96,0,AI$13),15-13*ORÇAMENTO!$AF$7)/$H96*OFFSET(ORÇAMENTO!$X$15,ROW(AI96)-ROW(AI$15),0),
ROUND(ROUND(OFFSET($P96,0,AI$13),15-13*ORÇAMENTO!$AF$7)*OFFSET(ORÇAMENTO!$W$15,ROW(AI96)-ROW(AI$15),0),15-13*ORÇAMENTO!$AF$11)),0)</f>
        <v>0</v>
      </c>
      <c r="AJ96" s="542">
        <f ca="1">IF(AND($D96="Serviço",AJ$12&lt;&gt;0,$H96&gt;0,OR(AUTOEVENTO&lt;&gt;"manual",$M96&lt;&gt;1)),
IF(Import.TipoArredondamento&lt;&gt;"TransfereGOV",
ROUND(OFFSET($P96,0,AJ$13),15-13*ORÇAMENTO!$AF$7)/$H96*OFFSET(ORÇAMENTO!$X$15,ROW(AJ96)-ROW(AJ$15),0),
ROUND(ROUND(OFFSET($P96,0,AJ$13),15-13*ORÇAMENTO!$AF$7)*OFFSET(ORÇAMENTO!$W$15,ROW(AJ96)-ROW(AJ$15),0),15-13*ORÇAMENTO!$AF$11)),0)</f>
        <v>0</v>
      </c>
      <c r="AK96" s="543">
        <f ca="1">IF(AND($D96="Serviço",AK$12&lt;&gt;0,$H96&gt;0,OR(AUTOEVENTO&lt;&gt;"manual",$M96&lt;&gt;1)),
IF(Import.TipoArredondamento&lt;&gt;"TransfereGOV",
ROUND(OFFSET($P96,0,AK$13),15-13*ORÇAMENTO!$AF$7)/$H96*OFFSET(ORÇAMENTO!$X$15,ROW(AK96)-ROW(AK$15),0),
ROUND(ROUND(OFFSET($P96,0,AK$13),15-13*ORÇAMENTO!$AF$7)*OFFSET(ORÇAMENTO!$W$15,ROW(AK96)-ROW(AK$15),0),15-13*ORÇAMENTO!$AF$11)),0)</f>
        <v>0</v>
      </c>
      <c r="AM96" s="178">
        <f ca="1">IF($D96&lt;&gt;"Serviço",0,IF(AND(AUTOEVENTO="Manual",$M96=1),0,IF(OFFSET(CRONOPLE!$F$14,$M96,AM$13)="",10^12,OFFSET(CRONOPLE!$F$14,$M96,AM$13))))</f>
        <v>1000000000000</v>
      </c>
      <c r="AN96" s="178">
        <f ca="1">IF($D96&lt;&gt;"Serviço",0,IF(AND(AUTOEVENTO="Manual",$M96=1),0,IF(OFFSET(CRONOPLE!$F$14,$M96,AN$13)="",10^12,OFFSET(CRONOPLE!$F$14,$M96,AN$13))))</f>
        <v>1000000000000</v>
      </c>
      <c r="AO96" s="178">
        <f ca="1">IF($D96&lt;&gt;"Serviço",0,IF(AND(AUTOEVENTO="Manual",$M96=1),0,IF(OFFSET(CRONOPLE!$F$14,$M96,AO$13)="",10^12,OFFSET(CRONOPLE!$F$14,$M96,AO$13))))</f>
        <v>1000000000000</v>
      </c>
      <c r="AP96" s="178">
        <f ca="1">IF($D96&lt;&gt;"Serviço",0,IF(AND(AUTOEVENTO="Manual",$M96=1),0,IF(OFFSET(CRONOPLE!$F$14,$M96,AP$13)="",10^12,OFFSET(CRONOPLE!$F$14,$M96,AP$13))))</f>
        <v>1000000000000</v>
      </c>
      <c r="AQ96" s="178">
        <f ca="1">IF($D96&lt;&gt;"Serviço",0,IF(AND(AUTOEVENTO="Manual",$M96=1),0,IF(OFFSET(CRONOPLE!$F$14,$M96,AQ$13)="",10^12,OFFSET(CRONOPLE!$F$14,$M96,AQ$13))))</f>
        <v>1000000000000</v>
      </c>
      <c r="AR96" s="178">
        <f ca="1">IF($D96&lt;&gt;"Serviço",0,IF(AND(AUTOEVENTO="Manual",$M96=1),0,IF(OFFSET(CRONOPLE!$F$14,$M96,AR$13)="",10^12,OFFSET(CRONOPLE!$F$14,$M96,AR$13))))</f>
        <v>1000000000000</v>
      </c>
      <c r="AS96" s="178">
        <f ca="1">IF($D96&lt;&gt;"Serviço",0,IF(AND(AUTOEVENTO="Manual",$M96=1),0,IF(OFFSET(CRONOPLE!$F$14,$M96,AS$13)="",10^12,OFFSET(CRONOPLE!$F$14,$M96,AS$13))))</f>
        <v>1000000000000</v>
      </c>
      <c r="AT96" s="178">
        <f ca="1">IF($D96&lt;&gt;"Serviço",0,IF(AND(AUTOEVENTO="Manual",$M96=1),0,IF(OFFSET(CRONOPLE!$F$14,$M96,AT$13)="",10^12,OFFSET(CRONOPLE!$F$14,$M96,AT$13))))</f>
        <v>1000000000000</v>
      </c>
      <c r="AU96" s="178">
        <f ca="1">IF($D96&lt;&gt;"Serviço",0,IF(AND(AUTOEVENTO="Manual",$M96=1),0,IF(OFFSET(CRONOPLE!$F$14,$M96,AU$13)="",10^12,OFFSET(CRONOPLE!$F$14,$M96,AU$13))))</f>
        <v>1000000000000</v>
      </c>
      <c r="AV96" s="178">
        <f ca="1">IF($D96&lt;&gt;"Serviço",0,IF(AND(AUTOEVENTO="Manual",$M96=1),0,IF(OFFSET(CRONOPLE!$F$14,$M96,AV$13)="",10^12,OFFSET(CRONOPLE!$F$14,$M96,AV$13))))</f>
        <v>1000000000000</v>
      </c>
      <c r="AX96" s="179">
        <f ca="1">IF($D96&lt;&gt;"Serviço",0,IF(OR(AND(AUTOEVENTO="Manual",$M96=1),$M96&gt;(ROW(PLE.lastrow)-ROW(PLE.firstrow))),0,IF(OFFSET(PLE!$G$14,$M96,AX$13)="",10^12,OFFSET(PLE!$G$14,$M96,AX$13))))</f>
        <v>1000000000000</v>
      </c>
      <c r="AY96" s="179">
        <f ca="1">IF($D96&lt;&gt;"Serviço",0,IF(OR(AND(AUTOEVENTO="Manual",$M96=1),$M96&gt;(ROW(PLE.lastrow)-ROW(PLE.firstrow))),0,IF(OFFSET(PLE!$G$14,$M96,AY$13)="",10^12,OFFSET(PLE!$G$14,$M96,AY$13))))</f>
        <v>1000000000000</v>
      </c>
      <c r="AZ96" s="179">
        <f ca="1">IF($D96&lt;&gt;"Serviço",0,IF(OR(AND(AUTOEVENTO="Manual",$M96=1),$M96&gt;(ROW(PLE.lastrow)-ROW(PLE.firstrow))),0,IF(OFFSET(PLE!$G$14,$M96,AZ$13)="",10^12,OFFSET(PLE!$G$14,$M96,AZ$13))))</f>
        <v>1000000000000</v>
      </c>
      <c r="BA96" s="179">
        <f ca="1">IF($D96&lt;&gt;"Serviço",0,IF(OR(AND(AUTOEVENTO="Manual",$M96=1),$M96&gt;(ROW(PLE.lastrow)-ROW(PLE.firstrow))),0,IF(OFFSET(PLE!$G$14,$M96,BA$13)="",10^12,OFFSET(PLE!$G$14,$M96,BA$13))))</f>
        <v>1000000000000</v>
      </c>
      <c r="BB96" s="179">
        <f ca="1">IF($D96&lt;&gt;"Serviço",0,IF(OR(AND(AUTOEVENTO="Manual",$M96=1),$M96&gt;(ROW(PLE.lastrow)-ROW(PLE.firstrow))),0,IF(OFFSET(PLE!$G$14,$M96,BB$13)="",10^12,OFFSET(PLE!$G$14,$M96,BB$13))))</f>
        <v>1000000000000</v>
      </c>
      <c r="BC96" s="179">
        <f ca="1">IF($D96&lt;&gt;"Serviço",0,IF(OR(AND(AUTOEVENTO="Manual",$M96=1),$M96&gt;(ROW(PLE.lastrow)-ROW(PLE.firstrow))),0,IF(OFFSET(PLE!$G$14,$M96,BC$13)="",10^12,OFFSET(PLE!$G$14,$M96,BC$13))))</f>
        <v>1000000000000</v>
      </c>
      <c r="BD96" s="179">
        <f ca="1">IF($D96&lt;&gt;"Serviço",0,IF(OR(AND(AUTOEVENTO="Manual",$M96=1),$M96&gt;(ROW(PLE.lastrow)-ROW(PLE.firstrow))),0,IF(OFFSET(PLE!$G$14,$M96,BD$13)="",10^12,OFFSET(PLE!$G$14,$M96,BD$13))))</f>
        <v>1000000000000</v>
      </c>
      <c r="BE96" s="179">
        <f ca="1">IF($D96&lt;&gt;"Serviço",0,IF(OR(AND(AUTOEVENTO="Manual",$M96=1),$M96&gt;(ROW(PLE.lastrow)-ROW(PLE.firstrow))),0,IF(OFFSET(PLE!$G$14,$M96,BE$13)="",10^12,OFFSET(PLE!$G$14,$M96,BE$13))))</f>
        <v>1000000000000</v>
      </c>
      <c r="BF96" s="179">
        <f ca="1">IF($D96&lt;&gt;"Serviço",0,IF(OR(AND(AUTOEVENTO="Manual",$M96=1),$M96&gt;(ROW(PLE.lastrow)-ROW(PLE.firstrow))),0,IF(OFFSET(PLE!$G$14,$M96,BF$13)="",10^12,OFFSET(PLE!$G$14,$M96,BF$13))))</f>
        <v>1000000000000</v>
      </c>
      <c r="BG96" s="179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38.25" x14ac:dyDescent="0.2">
      <c r="A97" s="7" t="str">
        <f t="shared" ca="1" si="10"/>
        <v>76</v>
      </c>
      <c r="B97" s="7" t="str">
        <f ca="1">OFFSET(ORÇAMENTO!C$15,ROW(B97)-ROW(B$15),0)</f>
        <v>S</v>
      </c>
      <c r="C97" s="7" t="str">
        <f ca="1">OFFSET(ORÇAMENTO!L$15,ROW(C97)-ROW(C$15),0)</f>
        <v/>
      </c>
      <c r="D97" s="115" t="str">
        <f ca="1">OFFSET(ORÇAMENTO!N$15,ROW(D97)-ROW(D$15),0)</f>
        <v>Serviço</v>
      </c>
      <c r="E97" s="116" t="str">
        <f ca="1">OFFSET(ORÇAMENTO!O$15,ROW(E97)-ROW(E$15),0)</f>
        <v>-</v>
      </c>
      <c r="F97" s="169" t="str">
        <f ca="1">OFFSET(ORÇAMENTO!R$15,ROW(F97)-ROW(F$15),0)</f>
        <v>(abra o arquivo 'Referência 10-2024.xlsm)</v>
      </c>
      <c r="G97" s="170" t="str">
        <f ca="1">IF($D97&lt;&gt;"Serviço","",OFFSET(ORÇAMENTO!S$15,ROW(G97)-ROW(G$15),0))</f>
        <v>-</v>
      </c>
      <c r="H97" s="121">
        <f ca="1">IF($D97&lt;&gt;"Serviço",0,IF(ACOMPANHAMENTO="BM",ROUND(OFFSET(ORÇAMENTO!AJ$15,ROW(H97)-ROW(H$15),0),15-13*ORÇAMENTO!$AF$7),SUMPRODUCT(($Q$12:$AA$12&lt;&gt;"")*ROUND($Q97:$AA97,15-13*ORÇAMENTO!$AF$7))))</f>
        <v>15.2</v>
      </c>
      <c r="I97" s="558" t="s">
        <v>561</v>
      </c>
      <c r="K97" s="171"/>
      <c r="L97" s="172" t="s">
        <v>255</v>
      </c>
      <c r="M97" s="173">
        <f ca="1">IF($D97&lt;&gt;"Serviço","",IF(AUTOEVENTO="manual",$A97,IF(ISERROR(MATCH($A97,$A$15:OFFSET($A97,-1,0),0)),MAX($M$15:OFFSET(M97,-1,0))+1,INDEX($M$15:OFFSET(M97,-1,0),MATCH($A97,$A$15:OFFSET($A97,-1,0),0)))))</f>
        <v>14</v>
      </c>
      <c r="N97" s="174" t="str">
        <f ca="1">IF($D97&lt;&gt;"Serviço","",IF(AUTOEVENTO="Manual",IF($A97=0,"&lt;-- defina o número do agrupador",OFFSET(EVENTOS!$D$14,$A97,0)),OFFSET($F$15,$A97,0)))</f>
        <v>INSTALAÇÕES HIDROSSANITÁRIAS</v>
      </c>
      <c r="O97" s="175"/>
      <c r="Q97" s="175"/>
      <c r="R97" s="176"/>
      <c r="S97" s="176"/>
      <c r="T97" s="176"/>
      <c r="U97" s="176"/>
      <c r="V97" s="176"/>
      <c r="W97" s="176"/>
      <c r="X97" s="176"/>
      <c r="Y97" s="176"/>
      <c r="Z97" s="177"/>
      <c r="AB97" s="541">
        <f ca="1">IF(AND($D97="Serviço",AB$12&lt;&gt;0,$H97&gt;0,OR(AUTOEVENTO&lt;&gt;"manual",$M97&lt;&gt;1)),
IF(Import.TipoArredondamento&lt;&gt;"TransfereGOV",
ROUND(OFFSET($P97,0,AB$13),15-13*ORÇAMENTO!$AF$7)/$H97*OFFSET(ORÇAMENTO!$X$15,ROW(AB97)-ROW(AB$15),0),
ROUND(ROUND(OFFSET($P97,0,AB$13),15-13*ORÇAMENTO!$AF$7)*OFFSET(ORÇAMENTO!$W$15,ROW(AB97)-ROW(AB$15),0),15-13*ORÇAMENTO!$AF$11)),0)</f>
        <v>0</v>
      </c>
      <c r="AC97" s="542">
        <f ca="1">IF(AND($D97="Serviço",AC$12&lt;&gt;0,$H97&gt;0,OR(AUTOEVENTO&lt;&gt;"manual",$M97&lt;&gt;1)),
IF(Import.TipoArredondamento&lt;&gt;"TransfereGOV",
ROUND(OFFSET($P97,0,AC$13),15-13*ORÇAMENTO!$AF$7)/$H97*OFFSET(ORÇAMENTO!$X$15,ROW(AC97)-ROW(AC$15),0),
ROUND(ROUND(OFFSET($P97,0,AC$13),15-13*ORÇAMENTO!$AF$7)*OFFSET(ORÇAMENTO!$W$15,ROW(AC97)-ROW(AC$15),0),15-13*ORÇAMENTO!$AF$11)),0)</f>
        <v>0</v>
      </c>
      <c r="AD97" s="542">
        <f ca="1">IF(AND($D97="Serviço",AD$12&lt;&gt;0,$H97&gt;0,OR(AUTOEVENTO&lt;&gt;"manual",$M97&lt;&gt;1)),
IF(Import.TipoArredondamento&lt;&gt;"TransfereGOV",
ROUND(OFFSET($P97,0,AD$13),15-13*ORÇAMENTO!$AF$7)/$H97*OFFSET(ORÇAMENTO!$X$15,ROW(AD97)-ROW(AD$15),0),
ROUND(ROUND(OFFSET($P97,0,AD$13),15-13*ORÇAMENTO!$AF$7)*OFFSET(ORÇAMENTO!$W$15,ROW(AD97)-ROW(AD$15),0),15-13*ORÇAMENTO!$AF$11)),0)</f>
        <v>0</v>
      </c>
      <c r="AE97" s="542">
        <f ca="1">IF(AND($D97="Serviço",AE$12&lt;&gt;0,$H97&gt;0,OR(AUTOEVENTO&lt;&gt;"manual",$M97&lt;&gt;1)),
IF(Import.TipoArredondamento&lt;&gt;"TransfereGOV",
ROUND(OFFSET($P97,0,AE$13),15-13*ORÇAMENTO!$AF$7)/$H97*OFFSET(ORÇAMENTO!$X$15,ROW(AE97)-ROW(AE$15),0),
ROUND(ROUND(OFFSET($P97,0,AE$13),15-13*ORÇAMENTO!$AF$7)*OFFSET(ORÇAMENTO!$W$15,ROW(AE97)-ROW(AE$15),0),15-13*ORÇAMENTO!$AF$11)),0)</f>
        <v>0</v>
      </c>
      <c r="AF97" s="542">
        <f ca="1">IF(AND($D97="Serviço",AF$12&lt;&gt;0,$H97&gt;0,OR(AUTOEVENTO&lt;&gt;"manual",$M97&lt;&gt;1)),
IF(Import.TipoArredondamento&lt;&gt;"TransfereGOV",
ROUND(OFFSET($P97,0,AF$13),15-13*ORÇAMENTO!$AF$7)/$H97*OFFSET(ORÇAMENTO!$X$15,ROW(AF97)-ROW(AF$15),0),
ROUND(ROUND(OFFSET($P97,0,AF$13),15-13*ORÇAMENTO!$AF$7)*OFFSET(ORÇAMENTO!$W$15,ROW(AF97)-ROW(AF$15),0),15-13*ORÇAMENTO!$AF$11)),0)</f>
        <v>0</v>
      </c>
      <c r="AG97" s="542">
        <f ca="1">IF(AND($D97="Serviço",AG$12&lt;&gt;0,$H97&gt;0,OR(AUTOEVENTO&lt;&gt;"manual",$M97&lt;&gt;1)),
IF(Import.TipoArredondamento&lt;&gt;"TransfereGOV",
ROUND(OFFSET($P97,0,AG$13),15-13*ORÇAMENTO!$AF$7)/$H97*OFFSET(ORÇAMENTO!$X$15,ROW(AG97)-ROW(AG$15),0),
ROUND(ROUND(OFFSET($P97,0,AG$13),15-13*ORÇAMENTO!$AF$7)*OFFSET(ORÇAMENTO!$W$15,ROW(AG97)-ROW(AG$15),0),15-13*ORÇAMENTO!$AF$11)),0)</f>
        <v>0</v>
      </c>
      <c r="AH97" s="542">
        <f ca="1">IF(AND($D97="Serviço",AH$12&lt;&gt;0,$H97&gt;0,OR(AUTOEVENTO&lt;&gt;"manual",$M97&lt;&gt;1)),
IF(Import.TipoArredondamento&lt;&gt;"TransfereGOV",
ROUND(OFFSET($P97,0,AH$13),15-13*ORÇAMENTO!$AF$7)/$H97*OFFSET(ORÇAMENTO!$X$15,ROW(AH97)-ROW(AH$15),0),
ROUND(ROUND(OFFSET($P97,0,AH$13),15-13*ORÇAMENTO!$AF$7)*OFFSET(ORÇAMENTO!$W$15,ROW(AH97)-ROW(AH$15),0),15-13*ORÇAMENTO!$AF$11)),0)</f>
        <v>0</v>
      </c>
      <c r="AI97" s="542">
        <f ca="1">IF(AND($D97="Serviço",AI$12&lt;&gt;0,$H97&gt;0,OR(AUTOEVENTO&lt;&gt;"manual",$M97&lt;&gt;1)),
IF(Import.TipoArredondamento&lt;&gt;"TransfereGOV",
ROUND(OFFSET($P97,0,AI$13),15-13*ORÇAMENTO!$AF$7)/$H97*OFFSET(ORÇAMENTO!$X$15,ROW(AI97)-ROW(AI$15),0),
ROUND(ROUND(OFFSET($P97,0,AI$13),15-13*ORÇAMENTO!$AF$7)*OFFSET(ORÇAMENTO!$W$15,ROW(AI97)-ROW(AI$15),0),15-13*ORÇAMENTO!$AF$11)),0)</f>
        <v>0</v>
      </c>
      <c r="AJ97" s="542">
        <f ca="1">IF(AND($D97="Serviço",AJ$12&lt;&gt;0,$H97&gt;0,OR(AUTOEVENTO&lt;&gt;"manual",$M97&lt;&gt;1)),
IF(Import.TipoArredondamento&lt;&gt;"TransfereGOV",
ROUND(OFFSET($P97,0,AJ$13),15-13*ORÇAMENTO!$AF$7)/$H97*OFFSET(ORÇAMENTO!$X$15,ROW(AJ97)-ROW(AJ$15),0),
ROUND(ROUND(OFFSET($P97,0,AJ$13),15-13*ORÇAMENTO!$AF$7)*OFFSET(ORÇAMENTO!$W$15,ROW(AJ97)-ROW(AJ$15),0),15-13*ORÇAMENTO!$AF$11)),0)</f>
        <v>0</v>
      </c>
      <c r="AK97" s="543">
        <f ca="1">IF(AND($D97="Serviço",AK$12&lt;&gt;0,$H97&gt;0,OR(AUTOEVENTO&lt;&gt;"manual",$M97&lt;&gt;1)),
IF(Import.TipoArredondamento&lt;&gt;"TransfereGOV",
ROUND(OFFSET($P97,0,AK$13),15-13*ORÇAMENTO!$AF$7)/$H97*OFFSET(ORÇAMENTO!$X$15,ROW(AK97)-ROW(AK$15),0),
ROUND(ROUND(OFFSET($P97,0,AK$13),15-13*ORÇAMENTO!$AF$7)*OFFSET(ORÇAMENTO!$W$15,ROW(AK97)-ROW(AK$15),0),15-13*ORÇAMENTO!$AF$11)),0)</f>
        <v>0</v>
      </c>
      <c r="AM97" s="178">
        <f ca="1">IF($D97&lt;&gt;"Serviço",0,IF(AND(AUTOEVENTO="Manual",$M97=1),0,IF(OFFSET(CRONOPLE!$F$14,$M97,AM$13)="",10^12,OFFSET(CRONOPLE!$F$14,$M97,AM$13))))</f>
        <v>1000000000000</v>
      </c>
      <c r="AN97" s="178">
        <f ca="1">IF($D97&lt;&gt;"Serviço",0,IF(AND(AUTOEVENTO="Manual",$M97=1),0,IF(OFFSET(CRONOPLE!$F$14,$M97,AN$13)="",10^12,OFFSET(CRONOPLE!$F$14,$M97,AN$13))))</f>
        <v>1000000000000</v>
      </c>
      <c r="AO97" s="178">
        <f ca="1">IF($D97&lt;&gt;"Serviço",0,IF(AND(AUTOEVENTO="Manual",$M97=1),0,IF(OFFSET(CRONOPLE!$F$14,$M97,AO$13)="",10^12,OFFSET(CRONOPLE!$F$14,$M97,AO$13))))</f>
        <v>1000000000000</v>
      </c>
      <c r="AP97" s="178">
        <f ca="1">IF($D97&lt;&gt;"Serviço",0,IF(AND(AUTOEVENTO="Manual",$M97=1),0,IF(OFFSET(CRONOPLE!$F$14,$M97,AP$13)="",10^12,OFFSET(CRONOPLE!$F$14,$M97,AP$13))))</f>
        <v>1000000000000</v>
      </c>
      <c r="AQ97" s="178">
        <f ca="1">IF($D97&lt;&gt;"Serviço",0,IF(AND(AUTOEVENTO="Manual",$M97=1),0,IF(OFFSET(CRONOPLE!$F$14,$M97,AQ$13)="",10^12,OFFSET(CRONOPLE!$F$14,$M97,AQ$13))))</f>
        <v>1000000000000</v>
      </c>
      <c r="AR97" s="178">
        <f ca="1">IF($D97&lt;&gt;"Serviço",0,IF(AND(AUTOEVENTO="Manual",$M97=1),0,IF(OFFSET(CRONOPLE!$F$14,$M97,AR$13)="",10^12,OFFSET(CRONOPLE!$F$14,$M97,AR$13))))</f>
        <v>1000000000000</v>
      </c>
      <c r="AS97" s="178">
        <f ca="1">IF($D97&lt;&gt;"Serviço",0,IF(AND(AUTOEVENTO="Manual",$M97=1),0,IF(OFFSET(CRONOPLE!$F$14,$M97,AS$13)="",10^12,OFFSET(CRONOPLE!$F$14,$M97,AS$13))))</f>
        <v>1000000000000</v>
      </c>
      <c r="AT97" s="178">
        <f ca="1">IF($D97&lt;&gt;"Serviço",0,IF(AND(AUTOEVENTO="Manual",$M97=1),0,IF(OFFSET(CRONOPLE!$F$14,$M97,AT$13)="",10^12,OFFSET(CRONOPLE!$F$14,$M97,AT$13))))</f>
        <v>1000000000000</v>
      </c>
      <c r="AU97" s="178">
        <f ca="1">IF($D97&lt;&gt;"Serviço",0,IF(AND(AUTOEVENTO="Manual",$M97=1),0,IF(OFFSET(CRONOPLE!$F$14,$M97,AU$13)="",10^12,OFFSET(CRONOPLE!$F$14,$M97,AU$13))))</f>
        <v>1000000000000</v>
      </c>
      <c r="AV97" s="178">
        <f ca="1">IF($D97&lt;&gt;"Serviço",0,IF(AND(AUTOEVENTO="Manual",$M97=1),0,IF(OFFSET(CRONOPLE!$F$14,$M97,AV$13)="",10^12,OFFSET(CRONOPLE!$F$14,$M97,AV$13))))</f>
        <v>1000000000000</v>
      </c>
      <c r="AX97" s="179">
        <f ca="1">IF($D97&lt;&gt;"Serviço",0,IF(OR(AND(AUTOEVENTO="Manual",$M97=1),$M97&gt;(ROW(PLE.lastrow)-ROW(PLE.firstrow))),0,IF(OFFSET(PLE!$G$14,$M97,AX$13)="",10^12,OFFSET(PLE!$G$14,$M97,AX$13))))</f>
        <v>1000000000000</v>
      </c>
      <c r="AY97" s="179">
        <f ca="1">IF($D97&lt;&gt;"Serviço",0,IF(OR(AND(AUTOEVENTO="Manual",$M97=1),$M97&gt;(ROW(PLE.lastrow)-ROW(PLE.firstrow))),0,IF(OFFSET(PLE!$G$14,$M97,AY$13)="",10^12,OFFSET(PLE!$G$14,$M97,AY$13))))</f>
        <v>1000000000000</v>
      </c>
      <c r="AZ97" s="179">
        <f ca="1">IF($D97&lt;&gt;"Serviço",0,IF(OR(AND(AUTOEVENTO="Manual",$M97=1),$M97&gt;(ROW(PLE.lastrow)-ROW(PLE.firstrow))),0,IF(OFFSET(PLE!$G$14,$M97,AZ$13)="",10^12,OFFSET(PLE!$G$14,$M97,AZ$13))))</f>
        <v>1000000000000</v>
      </c>
      <c r="BA97" s="179">
        <f ca="1">IF($D97&lt;&gt;"Serviço",0,IF(OR(AND(AUTOEVENTO="Manual",$M97=1),$M97&gt;(ROW(PLE.lastrow)-ROW(PLE.firstrow))),0,IF(OFFSET(PLE!$G$14,$M97,BA$13)="",10^12,OFFSET(PLE!$G$14,$M97,BA$13))))</f>
        <v>1000000000000</v>
      </c>
      <c r="BB97" s="179">
        <f ca="1">IF($D97&lt;&gt;"Serviço",0,IF(OR(AND(AUTOEVENTO="Manual",$M97=1),$M97&gt;(ROW(PLE.lastrow)-ROW(PLE.firstrow))),0,IF(OFFSET(PLE!$G$14,$M97,BB$13)="",10^12,OFFSET(PLE!$G$14,$M97,BB$13))))</f>
        <v>1000000000000</v>
      </c>
      <c r="BC97" s="179">
        <f ca="1">IF($D97&lt;&gt;"Serviço",0,IF(OR(AND(AUTOEVENTO="Manual",$M97=1),$M97&gt;(ROW(PLE.lastrow)-ROW(PLE.firstrow))),0,IF(OFFSET(PLE!$G$14,$M97,BC$13)="",10^12,OFFSET(PLE!$G$14,$M97,BC$13))))</f>
        <v>1000000000000</v>
      </c>
      <c r="BD97" s="179">
        <f ca="1">IF($D97&lt;&gt;"Serviço",0,IF(OR(AND(AUTOEVENTO="Manual",$M97=1),$M97&gt;(ROW(PLE.lastrow)-ROW(PLE.firstrow))),0,IF(OFFSET(PLE!$G$14,$M97,BD$13)="",10^12,OFFSET(PLE!$G$14,$M97,BD$13))))</f>
        <v>1000000000000</v>
      </c>
      <c r="BE97" s="179">
        <f ca="1">IF($D97&lt;&gt;"Serviço",0,IF(OR(AND(AUTOEVENTO="Manual",$M97=1),$M97&gt;(ROW(PLE.lastrow)-ROW(PLE.firstrow))),0,IF(OFFSET(PLE!$G$14,$M97,BE$13)="",10^12,OFFSET(PLE!$G$14,$M97,BE$13))))</f>
        <v>1000000000000</v>
      </c>
      <c r="BF97" s="179">
        <f ca="1">IF($D97&lt;&gt;"Serviço",0,IF(OR(AND(AUTOEVENTO="Manual",$M97=1),$M97&gt;(ROW(PLE.lastrow)-ROW(PLE.firstrow))),0,IF(OFFSET(PLE!$G$14,$M97,BF$13)="",10^12,OFFSET(PLE!$G$14,$M97,BF$13))))</f>
        <v>1000000000000</v>
      </c>
      <c r="BG97" s="179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7" t="str">
        <f t="shared" ca="1" si="10"/>
        <v>76</v>
      </c>
      <c r="B98" s="7" t="str">
        <f ca="1">OFFSET(ORÇAMENTO!C$15,ROW(B98)-ROW(B$15),0)</f>
        <v>S</v>
      </c>
      <c r="C98" s="7" t="str">
        <f ca="1">OFFSET(ORÇAMENTO!L$15,ROW(C98)-ROW(C$15),0)</f>
        <v/>
      </c>
      <c r="D98" s="115" t="str">
        <f ca="1">OFFSET(ORÇAMENTO!N$15,ROW(D98)-ROW(D$15),0)</f>
        <v>Serviço</v>
      </c>
      <c r="E98" s="116" t="str">
        <f ca="1">OFFSET(ORÇAMENTO!O$15,ROW(E98)-ROW(E$15),0)</f>
        <v>-</v>
      </c>
      <c r="F98" s="169" t="str">
        <f ca="1">OFFSET(ORÇAMENTO!R$15,ROW(F98)-ROW(F$15),0)</f>
        <v>(abra o arquivo 'Referência 10-2024.xlsm)</v>
      </c>
      <c r="G98" s="170" t="str">
        <f ca="1">IF($D98&lt;&gt;"Serviço","",OFFSET(ORÇAMENTO!S$15,ROW(G98)-ROW(G$15),0))</f>
        <v>-</v>
      </c>
      <c r="H98" s="121">
        <f ca="1">IF($D98&lt;&gt;"Serviço",0,IF(ACOMPANHAMENTO="BM",ROUND(OFFSET(ORÇAMENTO!AJ$15,ROW(H98)-ROW(H$15),0),15-13*ORÇAMENTO!$AF$7),SUMPRODUCT(($Q$12:$AA$12&lt;&gt;"")*ROUND($Q98:$AA98,15-13*ORÇAMENTO!$AF$7))))</f>
        <v>12.41</v>
      </c>
      <c r="I98" s="558" t="s">
        <v>561</v>
      </c>
      <c r="K98" s="171"/>
      <c r="L98" s="172" t="s">
        <v>255</v>
      </c>
      <c r="M98" s="173">
        <f ca="1">IF($D98&lt;&gt;"Serviço","",IF(AUTOEVENTO="manual",$A98,IF(ISERROR(MATCH($A98,$A$15:OFFSET($A98,-1,0),0)),MAX($M$15:OFFSET(M98,-1,0))+1,INDEX($M$15:OFFSET(M98,-1,0),MATCH($A98,$A$15:OFFSET($A98,-1,0),0)))))</f>
        <v>14</v>
      </c>
      <c r="N98" s="174" t="str">
        <f ca="1">IF($D98&lt;&gt;"Serviço","",IF(AUTOEVENTO="Manual",IF($A98=0,"&lt;-- defina o número do agrupador",OFFSET(EVENTOS!$D$14,$A98,0)),OFFSET($F$15,$A98,0)))</f>
        <v>INSTALAÇÕES HIDROSSANITÁRIAS</v>
      </c>
      <c r="O98" s="175"/>
      <c r="Q98" s="175"/>
      <c r="R98" s="176"/>
      <c r="S98" s="176"/>
      <c r="T98" s="176"/>
      <c r="U98" s="176"/>
      <c r="V98" s="176"/>
      <c r="W98" s="176"/>
      <c r="X98" s="176"/>
      <c r="Y98" s="176"/>
      <c r="Z98" s="177"/>
      <c r="AB98" s="541">
        <f ca="1">IF(AND($D98="Serviço",AB$12&lt;&gt;0,$H98&gt;0,OR(AUTOEVENTO&lt;&gt;"manual",$M98&lt;&gt;1)),
IF(Import.TipoArredondamento&lt;&gt;"TransfereGOV",
ROUND(OFFSET($P98,0,AB$13),15-13*ORÇAMENTO!$AF$7)/$H98*OFFSET(ORÇAMENTO!$X$15,ROW(AB98)-ROW(AB$15),0),
ROUND(ROUND(OFFSET($P98,0,AB$13),15-13*ORÇAMENTO!$AF$7)*OFFSET(ORÇAMENTO!$W$15,ROW(AB98)-ROW(AB$15),0),15-13*ORÇAMENTO!$AF$11)),0)</f>
        <v>0</v>
      </c>
      <c r="AC98" s="542">
        <f ca="1">IF(AND($D98="Serviço",AC$12&lt;&gt;0,$H98&gt;0,OR(AUTOEVENTO&lt;&gt;"manual",$M98&lt;&gt;1)),
IF(Import.TipoArredondamento&lt;&gt;"TransfereGOV",
ROUND(OFFSET($P98,0,AC$13),15-13*ORÇAMENTO!$AF$7)/$H98*OFFSET(ORÇAMENTO!$X$15,ROW(AC98)-ROW(AC$15),0),
ROUND(ROUND(OFFSET($P98,0,AC$13),15-13*ORÇAMENTO!$AF$7)*OFFSET(ORÇAMENTO!$W$15,ROW(AC98)-ROW(AC$15),0),15-13*ORÇAMENTO!$AF$11)),0)</f>
        <v>0</v>
      </c>
      <c r="AD98" s="542">
        <f ca="1">IF(AND($D98="Serviço",AD$12&lt;&gt;0,$H98&gt;0,OR(AUTOEVENTO&lt;&gt;"manual",$M98&lt;&gt;1)),
IF(Import.TipoArredondamento&lt;&gt;"TransfereGOV",
ROUND(OFFSET($P98,0,AD$13),15-13*ORÇAMENTO!$AF$7)/$H98*OFFSET(ORÇAMENTO!$X$15,ROW(AD98)-ROW(AD$15),0),
ROUND(ROUND(OFFSET($P98,0,AD$13),15-13*ORÇAMENTO!$AF$7)*OFFSET(ORÇAMENTO!$W$15,ROW(AD98)-ROW(AD$15),0),15-13*ORÇAMENTO!$AF$11)),0)</f>
        <v>0</v>
      </c>
      <c r="AE98" s="542">
        <f ca="1">IF(AND($D98="Serviço",AE$12&lt;&gt;0,$H98&gt;0,OR(AUTOEVENTO&lt;&gt;"manual",$M98&lt;&gt;1)),
IF(Import.TipoArredondamento&lt;&gt;"TransfereGOV",
ROUND(OFFSET($P98,0,AE$13),15-13*ORÇAMENTO!$AF$7)/$H98*OFFSET(ORÇAMENTO!$X$15,ROW(AE98)-ROW(AE$15),0),
ROUND(ROUND(OFFSET($P98,0,AE$13),15-13*ORÇAMENTO!$AF$7)*OFFSET(ORÇAMENTO!$W$15,ROW(AE98)-ROW(AE$15),0),15-13*ORÇAMENTO!$AF$11)),0)</f>
        <v>0</v>
      </c>
      <c r="AF98" s="542">
        <f ca="1">IF(AND($D98="Serviço",AF$12&lt;&gt;0,$H98&gt;0,OR(AUTOEVENTO&lt;&gt;"manual",$M98&lt;&gt;1)),
IF(Import.TipoArredondamento&lt;&gt;"TransfereGOV",
ROUND(OFFSET($P98,0,AF$13),15-13*ORÇAMENTO!$AF$7)/$H98*OFFSET(ORÇAMENTO!$X$15,ROW(AF98)-ROW(AF$15),0),
ROUND(ROUND(OFFSET($P98,0,AF$13),15-13*ORÇAMENTO!$AF$7)*OFFSET(ORÇAMENTO!$W$15,ROW(AF98)-ROW(AF$15),0),15-13*ORÇAMENTO!$AF$11)),0)</f>
        <v>0</v>
      </c>
      <c r="AG98" s="542">
        <f ca="1">IF(AND($D98="Serviço",AG$12&lt;&gt;0,$H98&gt;0,OR(AUTOEVENTO&lt;&gt;"manual",$M98&lt;&gt;1)),
IF(Import.TipoArredondamento&lt;&gt;"TransfereGOV",
ROUND(OFFSET($P98,0,AG$13),15-13*ORÇAMENTO!$AF$7)/$H98*OFFSET(ORÇAMENTO!$X$15,ROW(AG98)-ROW(AG$15),0),
ROUND(ROUND(OFFSET($P98,0,AG$13),15-13*ORÇAMENTO!$AF$7)*OFFSET(ORÇAMENTO!$W$15,ROW(AG98)-ROW(AG$15),0),15-13*ORÇAMENTO!$AF$11)),0)</f>
        <v>0</v>
      </c>
      <c r="AH98" s="542">
        <f ca="1">IF(AND($D98="Serviço",AH$12&lt;&gt;0,$H98&gt;0,OR(AUTOEVENTO&lt;&gt;"manual",$M98&lt;&gt;1)),
IF(Import.TipoArredondamento&lt;&gt;"TransfereGOV",
ROUND(OFFSET($P98,0,AH$13),15-13*ORÇAMENTO!$AF$7)/$H98*OFFSET(ORÇAMENTO!$X$15,ROW(AH98)-ROW(AH$15),0),
ROUND(ROUND(OFFSET($P98,0,AH$13),15-13*ORÇAMENTO!$AF$7)*OFFSET(ORÇAMENTO!$W$15,ROW(AH98)-ROW(AH$15),0),15-13*ORÇAMENTO!$AF$11)),0)</f>
        <v>0</v>
      </c>
      <c r="AI98" s="542">
        <f ca="1">IF(AND($D98="Serviço",AI$12&lt;&gt;0,$H98&gt;0,OR(AUTOEVENTO&lt;&gt;"manual",$M98&lt;&gt;1)),
IF(Import.TipoArredondamento&lt;&gt;"TransfereGOV",
ROUND(OFFSET($P98,0,AI$13),15-13*ORÇAMENTO!$AF$7)/$H98*OFFSET(ORÇAMENTO!$X$15,ROW(AI98)-ROW(AI$15),0),
ROUND(ROUND(OFFSET($P98,0,AI$13),15-13*ORÇAMENTO!$AF$7)*OFFSET(ORÇAMENTO!$W$15,ROW(AI98)-ROW(AI$15),0),15-13*ORÇAMENTO!$AF$11)),0)</f>
        <v>0</v>
      </c>
      <c r="AJ98" s="542">
        <f ca="1">IF(AND($D98="Serviço",AJ$12&lt;&gt;0,$H98&gt;0,OR(AUTOEVENTO&lt;&gt;"manual",$M98&lt;&gt;1)),
IF(Import.TipoArredondamento&lt;&gt;"TransfereGOV",
ROUND(OFFSET($P98,0,AJ$13),15-13*ORÇAMENTO!$AF$7)/$H98*OFFSET(ORÇAMENTO!$X$15,ROW(AJ98)-ROW(AJ$15),0),
ROUND(ROUND(OFFSET($P98,0,AJ$13),15-13*ORÇAMENTO!$AF$7)*OFFSET(ORÇAMENTO!$W$15,ROW(AJ98)-ROW(AJ$15),0),15-13*ORÇAMENTO!$AF$11)),0)</f>
        <v>0</v>
      </c>
      <c r="AK98" s="543">
        <f ca="1">IF(AND($D98="Serviço",AK$12&lt;&gt;0,$H98&gt;0,OR(AUTOEVENTO&lt;&gt;"manual",$M98&lt;&gt;1)),
IF(Import.TipoArredondamento&lt;&gt;"TransfereGOV",
ROUND(OFFSET($P98,0,AK$13),15-13*ORÇAMENTO!$AF$7)/$H98*OFFSET(ORÇAMENTO!$X$15,ROW(AK98)-ROW(AK$15),0),
ROUND(ROUND(OFFSET($P98,0,AK$13),15-13*ORÇAMENTO!$AF$7)*OFFSET(ORÇAMENTO!$W$15,ROW(AK98)-ROW(AK$15),0),15-13*ORÇAMENTO!$AF$11)),0)</f>
        <v>0</v>
      </c>
      <c r="AM98" s="178">
        <f ca="1">IF($D98&lt;&gt;"Serviço",0,IF(AND(AUTOEVENTO="Manual",$M98=1),0,IF(OFFSET(CRONOPLE!$F$14,$M98,AM$13)="",10^12,OFFSET(CRONOPLE!$F$14,$M98,AM$13))))</f>
        <v>1000000000000</v>
      </c>
      <c r="AN98" s="178">
        <f ca="1">IF($D98&lt;&gt;"Serviço",0,IF(AND(AUTOEVENTO="Manual",$M98=1),0,IF(OFFSET(CRONOPLE!$F$14,$M98,AN$13)="",10^12,OFFSET(CRONOPLE!$F$14,$M98,AN$13))))</f>
        <v>1000000000000</v>
      </c>
      <c r="AO98" s="178">
        <f ca="1">IF($D98&lt;&gt;"Serviço",0,IF(AND(AUTOEVENTO="Manual",$M98=1),0,IF(OFFSET(CRONOPLE!$F$14,$M98,AO$13)="",10^12,OFFSET(CRONOPLE!$F$14,$M98,AO$13))))</f>
        <v>1000000000000</v>
      </c>
      <c r="AP98" s="178">
        <f ca="1">IF($D98&lt;&gt;"Serviço",0,IF(AND(AUTOEVENTO="Manual",$M98=1),0,IF(OFFSET(CRONOPLE!$F$14,$M98,AP$13)="",10^12,OFFSET(CRONOPLE!$F$14,$M98,AP$13))))</f>
        <v>1000000000000</v>
      </c>
      <c r="AQ98" s="178">
        <f ca="1">IF($D98&lt;&gt;"Serviço",0,IF(AND(AUTOEVENTO="Manual",$M98=1),0,IF(OFFSET(CRONOPLE!$F$14,$M98,AQ$13)="",10^12,OFFSET(CRONOPLE!$F$14,$M98,AQ$13))))</f>
        <v>1000000000000</v>
      </c>
      <c r="AR98" s="178">
        <f ca="1">IF($D98&lt;&gt;"Serviço",0,IF(AND(AUTOEVENTO="Manual",$M98=1),0,IF(OFFSET(CRONOPLE!$F$14,$M98,AR$13)="",10^12,OFFSET(CRONOPLE!$F$14,$M98,AR$13))))</f>
        <v>1000000000000</v>
      </c>
      <c r="AS98" s="178">
        <f ca="1">IF($D98&lt;&gt;"Serviço",0,IF(AND(AUTOEVENTO="Manual",$M98=1),0,IF(OFFSET(CRONOPLE!$F$14,$M98,AS$13)="",10^12,OFFSET(CRONOPLE!$F$14,$M98,AS$13))))</f>
        <v>1000000000000</v>
      </c>
      <c r="AT98" s="178">
        <f ca="1">IF($D98&lt;&gt;"Serviço",0,IF(AND(AUTOEVENTO="Manual",$M98=1),0,IF(OFFSET(CRONOPLE!$F$14,$M98,AT$13)="",10^12,OFFSET(CRONOPLE!$F$14,$M98,AT$13))))</f>
        <v>1000000000000</v>
      </c>
      <c r="AU98" s="178">
        <f ca="1">IF($D98&lt;&gt;"Serviço",0,IF(AND(AUTOEVENTO="Manual",$M98=1),0,IF(OFFSET(CRONOPLE!$F$14,$M98,AU$13)="",10^12,OFFSET(CRONOPLE!$F$14,$M98,AU$13))))</f>
        <v>1000000000000</v>
      </c>
      <c r="AV98" s="178">
        <f ca="1">IF($D98&lt;&gt;"Serviço",0,IF(AND(AUTOEVENTO="Manual",$M98=1),0,IF(OFFSET(CRONOPLE!$F$14,$M98,AV$13)="",10^12,OFFSET(CRONOPLE!$F$14,$M98,AV$13))))</f>
        <v>1000000000000</v>
      </c>
      <c r="AX98" s="179">
        <f ca="1">IF($D98&lt;&gt;"Serviço",0,IF(OR(AND(AUTOEVENTO="Manual",$M98=1),$M98&gt;(ROW(PLE.lastrow)-ROW(PLE.firstrow))),0,IF(OFFSET(PLE!$G$14,$M98,AX$13)="",10^12,OFFSET(PLE!$G$14,$M98,AX$13))))</f>
        <v>1000000000000</v>
      </c>
      <c r="AY98" s="179">
        <f ca="1">IF($D98&lt;&gt;"Serviço",0,IF(OR(AND(AUTOEVENTO="Manual",$M98=1),$M98&gt;(ROW(PLE.lastrow)-ROW(PLE.firstrow))),0,IF(OFFSET(PLE!$G$14,$M98,AY$13)="",10^12,OFFSET(PLE!$G$14,$M98,AY$13))))</f>
        <v>1000000000000</v>
      </c>
      <c r="AZ98" s="179">
        <f ca="1">IF($D98&lt;&gt;"Serviço",0,IF(OR(AND(AUTOEVENTO="Manual",$M98=1),$M98&gt;(ROW(PLE.lastrow)-ROW(PLE.firstrow))),0,IF(OFFSET(PLE!$G$14,$M98,AZ$13)="",10^12,OFFSET(PLE!$G$14,$M98,AZ$13))))</f>
        <v>1000000000000</v>
      </c>
      <c r="BA98" s="179">
        <f ca="1">IF($D98&lt;&gt;"Serviço",0,IF(OR(AND(AUTOEVENTO="Manual",$M98=1),$M98&gt;(ROW(PLE.lastrow)-ROW(PLE.firstrow))),0,IF(OFFSET(PLE!$G$14,$M98,BA$13)="",10^12,OFFSET(PLE!$G$14,$M98,BA$13))))</f>
        <v>1000000000000</v>
      </c>
      <c r="BB98" s="179">
        <f ca="1">IF($D98&lt;&gt;"Serviço",0,IF(OR(AND(AUTOEVENTO="Manual",$M98=1),$M98&gt;(ROW(PLE.lastrow)-ROW(PLE.firstrow))),0,IF(OFFSET(PLE!$G$14,$M98,BB$13)="",10^12,OFFSET(PLE!$G$14,$M98,BB$13))))</f>
        <v>1000000000000</v>
      </c>
      <c r="BC98" s="179">
        <f ca="1">IF($D98&lt;&gt;"Serviço",0,IF(OR(AND(AUTOEVENTO="Manual",$M98=1),$M98&gt;(ROW(PLE.lastrow)-ROW(PLE.firstrow))),0,IF(OFFSET(PLE!$G$14,$M98,BC$13)="",10^12,OFFSET(PLE!$G$14,$M98,BC$13))))</f>
        <v>1000000000000</v>
      </c>
      <c r="BD98" s="179">
        <f ca="1">IF($D98&lt;&gt;"Serviço",0,IF(OR(AND(AUTOEVENTO="Manual",$M98=1),$M98&gt;(ROW(PLE.lastrow)-ROW(PLE.firstrow))),0,IF(OFFSET(PLE!$G$14,$M98,BD$13)="",10^12,OFFSET(PLE!$G$14,$M98,BD$13))))</f>
        <v>1000000000000</v>
      </c>
      <c r="BE98" s="179">
        <f ca="1">IF($D98&lt;&gt;"Serviço",0,IF(OR(AND(AUTOEVENTO="Manual",$M98=1),$M98&gt;(ROW(PLE.lastrow)-ROW(PLE.firstrow))),0,IF(OFFSET(PLE!$G$14,$M98,BE$13)="",10^12,OFFSET(PLE!$G$14,$M98,BE$13))))</f>
        <v>1000000000000</v>
      </c>
      <c r="BF98" s="179">
        <f ca="1">IF($D98&lt;&gt;"Serviço",0,IF(OR(AND(AUTOEVENTO="Manual",$M98=1),$M98&gt;(ROW(PLE.lastrow)-ROW(PLE.firstrow))),0,IF(OFFSET(PLE!$G$14,$M98,BF$13)="",10^12,OFFSET(PLE!$G$14,$M98,BF$13))))</f>
        <v>1000000000000</v>
      </c>
      <c r="BG98" s="179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25.5" x14ac:dyDescent="0.2">
      <c r="A99" s="7" t="str">
        <f t="shared" ca="1" si="10"/>
        <v>76</v>
      </c>
      <c r="B99" s="7" t="str">
        <f ca="1">OFFSET(ORÇAMENTO!C$15,ROW(B99)-ROW(B$15),0)</f>
        <v>S</v>
      </c>
      <c r="C99" s="7" t="str">
        <f ca="1">OFFSET(ORÇAMENTO!L$15,ROW(C99)-ROW(C$15),0)</f>
        <v/>
      </c>
      <c r="D99" s="115" t="str">
        <f ca="1">OFFSET(ORÇAMENTO!N$15,ROW(D99)-ROW(D$15),0)</f>
        <v>Serviço</v>
      </c>
      <c r="E99" s="116" t="str">
        <f ca="1">OFFSET(ORÇAMENTO!O$15,ROW(E99)-ROW(E$15),0)</f>
        <v>-</v>
      </c>
      <c r="F99" s="169" t="str">
        <f ca="1">OFFSET(ORÇAMENTO!R$15,ROW(F99)-ROW(F$15),0)</f>
        <v>(abra o arquivo 'Referência 10-2024.xlsm)</v>
      </c>
      <c r="G99" s="170" t="str">
        <f ca="1">IF($D99&lt;&gt;"Serviço","",OFFSET(ORÇAMENTO!S$15,ROW(G99)-ROW(G$15),0))</f>
        <v>-</v>
      </c>
      <c r="H99" s="121">
        <f ca="1">IF($D99&lt;&gt;"Serviço",0,IF(ACOMPANHAMENTO="BM",ROUND(OFFSET(ORÇAMENTO!AJ$15,ROW(H99)-ROW(H$15),0),15-13*ORÇAMENTO!$AF$7),SUMPRODUCT(($Q$12:$AA$12&lt;&gt;"")*ROUND($Q99:$AA99,15-13*ORÇAMENTO!$AF$7))))</f>
        <v>36.14</v>
      </c>
      <c r="I99" s="558" t="s">
        <v>561</v>
      </c>
      <c r="K99" s="171"/>
      <c r="L99" s="172" t="s">
        <v>255</v>
      </c>
      <c r="M99" s="173">
        <f ca="1">IF($D99&lt;&gt;"Serviço","",IF(AUTOEVENTO="manual",$A99,IF(ISERROR(MATCH($A99,$A$15:OFFSET($A99,-1,0),0)),MAX($M$15:OFFSET(M99,-1,0))+1,INDEX($M$15:OFFSET(M99,-1,0),MATCH($A99,$A$15:OFFSET($A99,-1,0),0)))))</f>
        <v>14</v>
      </c>
      <c r="N99" s="174" t="str">
        <f ca="1">IF($D99&lt;&gt;"Serviço","",IF(AUTOEVENTO="Manual",IF($A99=0,"&lt;-- defina o número do agrupador",OFFSET(EVENTOS!$D$14,$A99,0)),OFFSET($F$15,$A99,0)))</f>
        <v>INSTALAÇÕES HIDROSSANITÁRIAS</v>
      </c>
      <c r="O99" s="175"/>
      <c r="Q99" s="175"/>
      <c r="R99" s="176"/>
      <c r="S99" s="176"/>
      <c r="T99" s="176"/>
      <c r="U99" s="176"/>
      <c r="V99" s="176"/>
      <c r="W99" s="176"/>
      <c r="X99" s="176"/>
      <c r="Y99" s="176"/>
      <c r="Z99" s="177"/>
      <c r="AB99" s="541">
        <f ca="1">IF(AND($D99="Serviço",AB$12&lt;&gt;0,$H99&gt;0,OR(AUTOEVENTO&lt;&gt;"manual",$M99&lt;&gt;1)),
IF(Import.TipoArredondamento&lt;&gt;"TransfereGOV",
ROUND(OFFSET($P99,0,AB$13),15-13*ORÇAMENTO!$AF$7)/$H99*OFFSET(ORÇAMENTO!$X$15,ROW(AB99)-ROW(AB$15),0),
ROUND(ROUND(OFFSET($P99,0,AB$13),15-13*ORÇAMENTO!$AF$7)*OFFSET(ORÇAMENTO!$W$15,ROW(AB99)-ROW(AB$15),0),15-13*ORÇAMENTO!$AF$11)),0)</f>
        <v>0</v>
      </c>
      <c r="AC99" s="542">
        <f ca="1">IF(AND($D99="Serviço",AC$12&lt;&gt;0,$H99&gt;0,OR(AUTOEVENTO&lt;&gt;"manual",$M99&lt;&gt;1)),
IF(Import.TipoArredondamento&lt;&gt;"TransfereGOV",
ROUND(OFFSET($P99,0,AC$13),15-13*ORÇAMENTO!$AF$7)/$H99*OFFSET(ORÇAMENTO!$X$15,ROW(AC99)-ROW(AC$15),0),
ROUND(ROUND(OFFSET($P99,0,AC$13),15-13*ORÇAMENTO!$AF$7)*OFFSET(ORÇAMENTO!$W$15,ROW(AC99)-ROW(AC$15),0),15-13*ORÇAMENTO!$AF$11)),0)</f>
        <v>0</v>
      </c>
      <c r="AD99" s="542">
        <f ca="1">IF(AND($D99="Serviço",AD$12&lt;&gt;0,$H99&gt;0,OR(AUTOEVENTO&lt;&gt;"manual",$M99&lt;&gt;1)),
IF(Import.TipoArredondamento&lt;&gt;"TransfereGOV",
ROUND(OFFSET($P99,0,AD$13),15-13*ORÇAMENTO!$AF$7)/$H99*OFFSET(ORÇAMENTO!$X$15,ROW(AD99)-ROW(AD$15),0),
ROUND(ROUND(OFFSET($P99,0,AD$13),15-13*ORÇAMENTO!$AF$7)*OFFSET(ORÇAMENTO!$W$15,ROW(AD99)-ROW(AD$15),0),15-13*ORÇAMENTO!$AF$11)),0)</f>
        <v>0</v>
      </c>
      <c r="AE99" s="542">
        <f ca="1">IF(AND($D99="Serviço",AE$12&lt;&gt;0,$H99&gt;0,OR(AUTOEVENTO&lt;&gt;"manual",$M99&lt;&gt;1)),
IF(Import.TipoArredondamento&lt;&gt;"TransfereGOV",
ROUND(OFFSET($P99,0,AE$13),15-13*ORÇAMENTO!$AF$7)/$H99*OFFSET(ORÇAMENTO!$X$15,ROW(AE99)-ROW(AE$15),0),
ROUND(ROUND(OFFSET($P99,0,AE$13),15-13*ORÇAMENTO!$AF$7)*OFFSET(ORÇAMENTO!$W$15,ROW(AE99)-ROW(AE$15),0),15-13*ORÇAMENTO!$AF$11)),0)</f>
        <v>0</v>
      </c>
      <c r="AF99" s="542">
        <f ca="1">IF(AND($D99="Serviço",AF$12&lt;&gt;0,$H99&gt;0,OR(AUTOEVENTO&lt;&gt;"manual",$M99&lt;&gt;1)),
IF(Import.TipoArredondamento&lt;&gt;"TransfereGOV",
ROUND(OFFSET($P99,0,AF$13),15-13*ORÇAMENTO!$AF$7)/$H99*OFFSET(ORÇAMENTO!$X$15,ROW(AF99)-ROW(AF$15),0),
ROUND(ROUND(OFFSET($P99,0,AF$13),15-13*ORÇAMENTO!$AF$7)*OFFSET(ORÇAMENTO!$W$15,ROW(AF99)-ROW(AF$15),0),15-13*ORÇAMENTO!$AF$11)),0)</f>
        <v>0</v>
      </c>
      <c r="AG99" s="542">
        <f ca="1">IF(AND($D99="Serviço",AG$12&lt;&gt;0,$H99&gt;0,OR(AUTOEVENTO&lt;&gt;"manual",$M99&lt;&gt;1)),
IF(Import.TipoArredondamento&lt;&gt;"TransfereGOV",
ROUND(OFFSET($P99,0,AG$13),15-13*ORÇAMENTO!$AF$7)/$H99*OFFSET(ORÇAMENTO!$X$15,ROW(AG99)-ROW(AG$15),0),
ROUND(ROUND(OFFSET($P99,0,AG$13),15-13*ORÇAMENTO!$AF$7)*OFFSET(ORÇAMENTO!$W$15,ROW(AG99)-ROW(AG$15),0),15-13*ORÇAMENTO!$AF$11)),0)</f>
        <v>0</v>
      </c>
      <c r="AH99" s="542">
        <f ca="1">IF(AND($D99="Serviço",AH$12&lt;&gt;0,$H99&gt;0,OR(AUTOEVENTO&lt;&gt;"manual",$M99&lt;&gt;1)),
IF(Import.TipoArredondamento&lt;&gt;"TransfereGOV",
ROUND(OFFSET($P99,0,AH$13),15-13*ORÇAMENTO!$AF$7)/$H99*OFFSET(ORÇAMENTO!$X$15,ROW(AH99)-ROW(AH$15),0),
ROUND(ROUND(OFFSET($P99,0,AH$13),15-13*ORÇAMENTO!$AF$7)*OFFSET(ORÇAMENTO!$W$15,ROW(AH99)-ROW(AH$15),0),15-13*ORÇAMENTO!$AF$11)),0)</f>
        <v>0</v>
      </c>
      <c r="AI99" s="542">
        <f ca="1">IF(AND($D99="Serviço",AI$12&lt;&gt;0,$H99&gt;0,OR(AUTOEVENTO&lt;&gt;"manual",$M99&lt;&gt;1)),
IF(Import.TipoArredondamento&lt;&gt;"TransfereGOV",
ROUND(OFFSET($P99,0,AI$13),15-13*ORÇAMENTO!$AF$7)/$H99*OFFSET(ORÇAMENTO!$X$15,ROW(AI99)-ROW(AI$15),0),
ROUND(ROUND(OFFSET($P99,0,AI$13),15-13*ORÇAMENTO!$AF$7)*OFFSET(ORÇAMENTO!$W$15,ROW(AI99)-ROW(AI$15),0),15-13*ORÇAMENTO!$AF$11)),0)</f>
        <v>0</v>
      </c>
      <c r="AJ99" s="542">
        <f ca="1">IF(AND($D99="Serviço",AJ$12&lt;&gt;0,$H99&gt;0,OR(AUTOEVENTO&lt;&gt;"manual",$M99&lt;&gt;1)),
IF(Import.TipoArredondamento&lt;&gt;"TransfereGOV",
ROUND(OFFSET($P99,0,AJ$13),15-13*ORÇAMENTO!$AF$7)/$H99*OFFSET(ORÇAMENTO!$X$15,ROW(AJ99)-ROW(AJ$15),0),
ROUND(ROUND(OFFSET($P99,0,AJ$13),15-13*ORÇAMENTO!$AF$7)*OFFSET(ORÇAMENTO!$W$15,ROW(AJ99)-ROW(AJ$15),0),15-13*ORÇAMENTO!$AF$11)),0)</f>
        <v>0</v>
      </c>
      <c r="AK99" s="543">
        <f ca="1">IF(AND($D99="Serviço",AK$12&lt;&gt;0,$H99&gt;0,OR(AUTOEVENTO&lt;&gt;"manual",$M99&lt;&gt;1)),
IF(Import.TipoArredondamento&lt;&gt;"TransfereGOV",
ROUND(OFFSET($P99,0,AK$13),15-13*ORÇAMENTO!$AF$7)/$H99*OFFSET(ORÇAMENTO!$X$15,ROW(AK99)-ROW(AK$15),0),
ROUND(ROUND(OFFSET($P99,0,AK$13),15-13*ORÇAMENTO!$AF$7)*OFFSET(ORÇAMENTO!$W$15,ROW(AK99)-ROW(AK$15),0),15-13*ORÇAMENTO!$AF$11)),0)</f>
        <v>0</v>
      </c>
      <c r="AM99" s="178">
        <f ca="1">IF($D99&lt;&gt;"Serviço",0,IF(AND(AUTOEVENTO="Manual",$M99=1),0,IF(OFFSET(CRONOPLE!$F$14,$M99,AM$13)="",10^12,OFFSET(CRONOPLE!$F$14,$M99,AM$13))))</f>
        <v>1000000000000</v>
      </c>
      <c r="AN99" s="178">
        <f ca="1">IF($D99&lt;&gt;"Serviço",0,IF(AND(AUTOEVENTO="Manual",$M99=1),0,IF(OFFSET(CRONOPLE!$F$14,$M99,AN$13)="",10^12,OFFSET(CRONOPLE!$F$14,$M99,AN$13))))</f>
        <v>1000000000000</v>
      </c>
      <c r="AO99" s="178">
        <f ca="1">IF($D99&lt;&gt;"Serviço",0,IF(AND(AUTOEVENTO="Manual",$M99=1),0,IF(OFFSET(CRONOPLE!$F$14,$M99,AO$13)="",10^12,OFFSET(CRONOPLE!$F$14,$M99,AO$13))))</f>
        <v>1000000000000</v>
      </c>
      <c r="AP99" s="178">
        <f ca="1">IF($D99&lt;&gt;"Serviço",0,IF(AND(AUTOEVENTO="Manual",$M99=1),0,IF(OFFSET(CRONOPLE!$F$14,$M99,AP$13)="",10^12,OFFSET(CRONOPLE!$F$14,$M99,AP$13))))</f>
        <v>1000000000000</v>
      </c>
      <c r="AQ99" s="178">
        <f ca="1">IF($D99&lt;&gt;"Serviço",0,IF(AND(AUTOEVENTO="Manual",$M99=1),0,IF(OFFSET(CRONOPLE!$F$14,$M99,AQ$13)="",10^12,OFFSET(CRONOPLE!$F$14,$M99,AQ$13))))</f>
        <v>1000000000000</v>
      </c>
      <c r="AR99" s="178">
        <f ca="1">IF($D99&lt;&gt;"Serviço",0,IF(AND(AUTOEVENTO="Manual",$M99=1),0,IF(OFFSET(CRONOPLE!$F$14,$M99,AR$13)="",10^12,OFFSET(CRONOPLE!$F$14,$M99,AR$13))))</f>
        <v>1000000000000</v>
      </c>
      <c r="AS99" s="178">
        <f ca="1">IF($D99&lt;&gt;"Serviço",0,IF(AND(AUTOEVENTO="Manual",$M99=1),0,IF(OFFSET(CRONOPLE!$F$14,$M99,AS$13)="",10^12,OFFSET(CRONOPLE!$F$14,$M99,AS$13))))</f>
        <v>1000000000000</v>
      </c>
      <c r="AT99" s="178">
        <f ca="1">IF($D99&lt;&gt;"Serviço",0,IF(AND(AUTOEVENTO="Manual",$M99=1),0,IF(OFFSET(CRONOPLE!$F$14,$M99,AT$13)="",10^12,OFFSET(CRONOPLE!$F$14,$M99,AT$13))))</f>
        <v>1000000000000</v>
      </c>
      <c r="AU99" s="178">
        <f ca="1">IF($D99&lt;&gt;"Serviço",0,IF(AND(AUTOEVENTO="Manual",$M99=1),0,IF(OFFSET(CRONOPLE!$F$14,$M99,AU$13)="",10^12,OFFSET(CRONOPLE!$F$14,$M99,AU$13))))</f>
        <v>1000000000000</v>
      </c>
      <c r="AV99" s="178">
        <f ca="1">IF($D99&lt;&gt;"Serviço",0,IF(AND(AUTOEVENTO="Manual",$M99=1),0,IF(OFFSET(CRONOPLE!$F$14,$M99,AV$13)="",10^12,OFFSET(CRONOPLE!$F$14,$M99,AV$13))))</f>
        <v>1000000000000</v>
      </c>
      <c r="AX99" s="179">
        <f ca="1">IF($D99&lt;&gt;"Serviço",0,IF(OR(AND(AUTOEVENTO="Manual",$M99=1),$M99&gt;(ROW(PLE.lastrow)-ROW(PLE.firstrow))),0,IF(OFFSET(PLE!$G$14,$M99,AX$13)="",10^12,OFFSET(PLE!$G$14,$M99,AX$13))))</f>
        <v>1000000000000</v>
      </c>
      <c r="AY99" s="179">
        <f ca="1">IF($D99&lt;&gt;"Serviço",0,IF(OR(AND(AUTOEVENTO="Manual",$M99=1),$M99&gt;(ROW(PLE.lastrow)-ROW(PLE.firstrow))),0,IF(OFFSET(PLE!$G$14,$M99,AY$13)="",10^12,OFFSET(PLE!$G$14,$M99,AY$13))))</f>
        <v>1000000000000</v>
      </c>
      <c r="AZ99" s="179">
        <f ca="1">IF($D99&lt;&gt;"Serviço",0,IF(OR(AND(AUTOEVENTO="Manual",$M99=1),$M99&gt;(ROW(PLE.lastrow)-ROW(PLE.firstrow))),0,IF(OFFSET(PLE!$G$14,$M99,AZ$13)="",10^12,OFFSET(PLE!$G$14,$M99,AZ$13))))</f>
        <v>1000000000000</v>
      </c>
      <c r="BA99" s="179">
        <f ca="1">IF($D99&lt;&gt;"Serviço",0,IF(OR(AND(AUTOEVENTO="Manual",$M99=1),$M99&gt;(ROW(PLE.lastrow)-ROW(PLE.firstrow))),0,IF(OFFSET(PLE!$G$14,$M99,BA$13)="",10^12,OFFSET(PLE!$G$14,$M99,BA$13))))</f>
        <v>1000000000000</v>
      </c>
      <c r="BB99" s="179">
        <f ca="1">IF($D99&lt;&gt;"Serviço",0,IF(OR(AND(AUTOEVENTO="Manual",$M99=1),$M99&gt;(ROW(PLE.lastrow)-ROW(PLE.firstrow))),0,IF(OFFSET(PLE!$G$14,$M99,BB$13)="",10^12,OFFSET(PLE!$G$14,$M99,BB$13))))</f>
        <v>1000000000000</v>
      </c>
      <c r="BC99" s="179">
        <f ca="1">IF($D99&lt;&gt;"Serviço",0,IF(OR(AND(AUTOEVENTO="Manual",$M99=1),$M99&gt;(ROW(PLE.lastrow)-ROW(PLE.firstrow))),0,IF(OFFSET(PLE!$G$14,$M99,BC$13)="",10^12,OFFSET(PLE!$G$14,$M99,BC$13))))</f>
        <v>1000000000000</v>
      </c>
      <c r="BD99" s="179">
        <f ca="1">IF($D99&lt;&gt;"Serviço",0,IF(OR(AND(AUTOEVENTO="Manual",$M99=1),$M99&gt;(ROW(PLE.lastrow)-ROW(PLE.firstrow))),0,IF(OFFSET(PLE!$G$14,$M99,BD$13)="",10^12,OFFSET(PLE!$G$14,$M99,BD$13))))</f>
        <v>1000000000000</v>
      </c>
      <c r="BE99" s="179">
        <f ca="1">IF($D99&lt;&gt;"Serviço",0,IF(OR(AND(AUTOEVENTO="Manual",$M99=1),$M99&gt;(ROW(PLE.lastrow)-ROW(PLE.firstrow))),0,IF(OFFSET(PLE!$G$14,$M99,BE$13)="",10^12,OFFSET(PLE!$G$14,$M99,BE$13))))</f>
        <v>1000000000000</v>
      </c>
      <c r="BF99" s="179">
        <f ca="1">IF($D99&lt;&gt;"Serviço",0,IF(OR(AND(AUTOEVENTO="Manual",$M99=1),$M99&gt;(ROW(PLE.lastrow)-ROW(PLE.firstrow))),0,IF(OFFSET(PLE!$G$14,$M99,BF$13)="",10^12,OFFSET(PLE!$G$14,$M99,BF$13))))</f>
        <v>1000000000000</v>
      </c>
      <c r="BG99" s="179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7" t="str">
        <f t="shared" ca="1" si="10"/>
        <v>76</v>
      </c>
      <c r="B100" s="7" t="str">
        <f ca="1">OFFSET(ORÇAMENTO!C$15,ROW(B100)-ROW(B$15),0)</f>
        <v>S</v>
      </c>
      <c r="C100" s="7" t="str">
        <f ca="1">OFFSET(ORÇAMENTO!L$15,ROW(C100)-ROW(C$15),0)</f>
        <v/>
      </c>
      <c r="D100" s="115" t="str">
        <f ca="1">OFFSET(ORÇAMENTO!N$15,ROW(D100)-ROW(D$15),0)</f>
        <v>Serviço</v>
      </c>
      <c r="E100" s="116" t="str">
        <f ca="1">OFFSET(ORÇAMENTO!O$15,ROW(E100)-ROW(E$15),0)</f>
        <v>-</v>
      </c>
      <c r="F100" s="169" t="str">
        <f ca="1">OFFSET(ORÇAMENTO!R$15,ROW(F100)-ROW(F$15),0)</f>
        <v>(abra o arquivo 'Referência 10-2024.xlsm)</v>
      </c>
      <c r="G100" s="170" t="str">
        <f ca="1">IF($D100&lt;&gt;"Serviço","",OFFSET(ORÇAMENTO!S$15,ROW(G100)-ROW(G$15),0))</f>
        <v>-</v>
      </c>
      <c r="H100" s="121">
        <f ca="1">IF($D100&lt;&gt;"Serviço",0,IF(ACOMPANHAMENTO="BM",ROUND(OFFSET(ORÇAMENTO!AJ$15,ROW(H100)-ROW(H$15),0),15-13*ORÇAMENTO!$AF$7),SUMPRODUCT(($Q$12:$AA$12&lt;&gt;"")*ROUND($Q100:$AA100,15-13*ORÇAMENTO!$AF$7))))</f>
        <v>2</v>
      </c>
      <c r="I100" s="558" t="s">
        <v>561</v>
      </c>
      <c r="K100" s="171"/>
      <c r="L100" s="172" t="s">
        <v>255</v>
      </c>
      <c r="M100" s="173">
        <f ca="1">IF($D100&lt;&gt;"Serviço","",IF(AUTOEVENTO="manual",$A100,IF(ISERROR(MATCH($A100,$A$15:OFFSET($A100,-1,0),0)),MAX($M$15:OFFSET(M100,-1,0))+1,INDEX($M$15:OFFSET(M100,-1,0),MATCH($A100,$A$15:OFFSET($A100,-1,0),0)))))</f>
        <v>14</v>
      </c>
      <c r="N100" s="174" t="str">
        <f ca="1">IF($D100&lt;&gt;"Serviço","",IF(AUTOEVENTO="Manual",IF($A100=0,"&lt;-- defina o número do agrupador",OFFSET(EVENTOS!$D$14,$A100,0)),OFFSET($F$15,$A100,0)))</f>
        <v>INSTALAÇÕES HIDROSSANITÁRIAS</v>
      </c>
      <c r="O100" s="175"/>
      <c r="Q100" s="175"/>
      <c r="R100" s="176"/>
      <c r="S100" s="176"/>
      <c r="T100" s="176"/>
      <c r="U100" s="176"/>
      <c r="V100" s="176"/>
      <c r="W100" s="176"/>
      <c r="X100" s="176"/>
      <c r="Y100" s="176"/>
      <c r="Z100" s="177"/>
      <c r="AB100" s="541">
        <f ca="1">IF(AND($D100="Serviço",AB$12&lt;&gt;0,$H100&gt;0,OR(AUTOEVENTO&lt;&gt;"manual",$M100&lt;&gt;1)),
IF(Import.TipoArredondamento&lt;&gt;"TransfereGOV",
ROUND(OFFSET($P100,0,AB$13),15-13*ORÇAMENTO!$AF$7)/$H100*OFFSET(ORÇAMENTO!$X$15,ROW(AB100)-ROW(AB$15),0),
ROUND(ROUND(OFFSET($P100,0,AB$13),15-13*ORÇAMENTO!$AF$7)*OFFSET(ORÇAMENTO!$W$15,ROW(AB100)-ROW(AB$15),0),15-13*ORÇAMENTO!$AF$11)),0)</f>
        <v>0</v>
      </c>
      <c r="AC100" s="542">
        <f ca="1">IF(AND($D100="Serviço",AC$12&lt;&gt;0,$H100&gt;0,OR(AUTOEVENTO&lt;&gt;"manual",$M100&lt;&gt;1)),
IF(Import.TipoArredondamento&lt;&gt;"TransfereGOV",
ROUND(OFFSET($P100,0,AC$13),15-13*ORÇAMENTO!$AF$7)/$H100*OFFSET(ORÇAMENTO!$X$15,ROW(AC100)-ROW(AC$15),0),
ROUND(ROUND(OFFSET($P100,0,AC$13),15-13*ORÇAMENTO!$AF$7)*OFFSET(ORÇAMENTO!$W$15,ROW(AC100)-ROW(AC$15),0),15-13*ORÇAMENTO!$AF$11)),0)</f>
        <v>0</v>
      </c>
      <c r="AD100" s="542">
        <f ca="1">IF(AND($D100="Serviço",AD$12&lt;&gt;0,$H100&gt;0,OR(AUTOEVENTO&lt;&gt;"manual",$M100&lt;&gt;1)),
IF(Import.TipoArredondamento&lt;&gt;"TransfereGOV",
ROUND(OFFSET($P100,0,AD$13),15-13*ORÇAMENTO!$AF$7)/$H100*OFFSET(ORÇAMENTO!$X$15,ROW(AD100)-ROW(AD$15),0),
ROUND(ROUND(OFFSET($P100,0,AD$13),15-13*ORÇAMENTO!$AF$7)*OFFSET(ORÇAMENTO!$W$15,ROW(AD100)-ROW(AD$15),0),15-13*ORÇAMENTO!$AF$11)),0)</f>
        <v>0</v>
      </c>
      <c r="AE100" s="542">
        <f ca="1">IF(AND($D100="Serviço",AE$12&lt;&gt;0,$H100&gt;0,OR(AUTOEVENTO&lt;&gt;"manual",$M100&lt;&gt;1)),
IF(Import.TipoArredondamento&lt;&gt;"TransfereGOV",
ROUND(OFFSET($P100,0,AE$13),15-13*ORÇAMENTO!$AF$7)/$H100*OFFSET(ORÇAMENTO!$X$15,ROW(AE100)-ROW(AE$15),0),
ROUND(ROUND(OFFSET($P100,0,AE$13),15-13*ORÇAMENTO!$AF$7)*OFFSET(ORÇAMENTO!$W$15,ROW(AE100)-ROW(AE$15),0),15-13*ORÇAMENTO!$AF$11)),0)</f>
        <v>0</v>
      </c>
      <c r="AF100" s="542">
        <f ca="1">IF(AND($D100="Serviço",AF$12&lt;&gt;0,$H100&gt;0,OR(AUTOEVENTO&lt;&gt;"manual",$M100&lt;&gt;1)),
IF(Import.TipoArredondamento&lt;&gt;"TransfereGOV",
ROUND(OFFSET($P100,0,AF$13),15-13*ORÇAMENTO!$AF$7)/$H100*OFFSET(ORÇAMENTO!$X$15,ROW(AF100)-ROW(AF$15),0),
ROUND(ROUND(OFFSET($P100,0,AF$13),15-13*ORÇAMENTO!$AF$7)*OFFSET(ORÇAMENTO!$W$15,ROW(AF100)-ROW(AF$15),0),15-13*ORÇAMENTO!$AF$11)),0)</f>
        <v>0</v>
      </c>
      <c r="AG100" s="542">
        <f ca="1">IF(AND($D100="Serviço",AG$12&lt;&gt;0,$H100&gt;0,OR(AUTOEVENTO&lt;&gt;"manual",$M100&lt;&gt;1)),
IF(Import.TipoArredondamento&lt;&gt;"TransfereGOV",
ROUND(OFFSET($P100,0,AG$13),15-13*ORÇAMENTO!$AF$7)/$H100*OFFSET(ORÇAMENTO!$X$15,ROW(AG100)-ROW(AG$15),0),
ROUND(ROUND(OFFSET($P100,0,AG$13),15-13*ORÇAMENTO!$AF$7)*OFFSET(ORÇAMENTO!$W$15,ROW(AG100)-ROW(AG$15),0),15-13*ORÇAMENTO!$AF$11)),0)</f>
        <v>0</v>
      </c>
      <c r="AH100" s="542">
        <f ca="1">IF(AND($D100="Serviço",AH$12&lt;&gt;0,$H100&gt;0,OR(AUTOEVENTO&lt;&gt;"manual",$M100&lt;&gt;1)),
IF(Import.TipoArredondamento&lt;&gt;"TransfereGOV",
ROUND(OFFSET($P100,0,AH$13),15-13*ORÇAMENTO!$AF$7)/$H100*OFFSET(ORÇAMENTO!$X$15,ROW(AH100)-ROW(AH$15),0),
ROUND(ROUND(OFFSET($P100,0,AH$13),15-13*ORÇAMENTO!$AF$7)*OFFSET(ORÇAMENTO!$W$15,ROW(AH100)-ROW(AH$15),0),15-13*ORÇAMENTO!$AF$11)),0)</f>
        <v>0</v>
      </c>
      <c r="AI100" s="542">
        <f ca="1">IF(AND($D100="Serviço",AI$12&lt;&gt;0,$H100&gt;0,OR(AUTOEVENTO&lt;&gt;"manual",$M100&lt;&gt;1)),
IF(Import.TipoArredondamento&lt;&gt;"TransfereGOV",
ROUND(OFFSET($P100,0,AI$13),15-13*ORÇAMENTO!$AF$7)/$H100*OFFSET(ORÇAMENTO!$X$15,ROW(AI100)-ROW(AI$15),0),
ROUND(ROUND(OFFSET($P100,0,AI$13),15-13*ORÇAMENTO!$AF$7)*OFFSET(ORÇAMENTO!$W$15,ROW(AI100)-ROW(AI$15),0),15-13*ORÇAMENTO!$AF$11)),0)</f>
        <v>0</v>
      </c>
      <c r="AJ100" s="542">
        <f ca="1">IF(AND($D100="Serviço",AJ$12&lt;&gt;0,$H100&gt;0,OR(AUTOEVENTO&lt;&gt;"manual",$M100&lt;&gt;1)),
IF(Import.TipoArredondamento&lt;&gt;"TransfereGOV",
ROUND(OFFSET($P100,0,AJ$13),15-13*ORÇAMENTO!$AF$7)/$H100*OFFSET(ORÇAMENTO!$X$15,ROW(AJ100)-ROW(AJ$15),0),
ROUND(ROUND(OFFSET($P100,0,AJ$13),15-13*ORÇAMENTO!$AF$7)*OFFSET(ORÇAMENTO!$W$15,ROW(AJ100)-ROW(AJ$15),0),15-13*ORÇAMENTO!$AF$11)),0)</f>
        <v>0</v>
      </c>
      <c r="AK100" s="543">
        <f ca="1">IF(AND($D100="Serviço",AK$12&lt;&gt;0,$H100&gt;0,OR(AUTOEVENTO&lt;&gt;"manual",$M100&lt;&gt;1)),
IF(Import.TipoArredondamento&lt;&gt;"TransfereGOV",
ROUND(OFFSET($P100,0,AK$13),15-13*ORÇAMENTO!$AF$7)/$H100*OFFSET(ORÇAMENTO!$X$15,ROW(AK100)-ROW(AK$15),0),
ROUND(ROUND(OFFSET($P100,0,AK$13),15-13*ORÇAMENTO!$AF$7)*OFFSET(ORÇAMENTO!$W$15,ROW(AK100)-ROW(AK$15),0),15-13*ORÇAMENTO!$AF$11)),0)</f>
        <v>0</v>
      </c>
      <c r="AM100" s="178">
        <f ca="1">IF($D100&lt;&gt;"Serviço",0,IF(AND(AUTOEVENTO="Manual",$M100=1),0,IF(OFFSET(CRONOPLE!$F$14,$M100,AM$13)="",10^12,OFFSET(CRONOPLE!$F$14,$M100,AM$13))))</f>
        <v>1000000000000</v>
      </c>
      <c r="AN100" s="178">
        <f ca="1">IF($D100&lt;&gt;"Serviço",0,IF(AND(AUTOEVENTO="Manual",$M100=1),0,IF(OFFSET(CRONOPLE!$F$14,$M100,AN$13)="",10^12,OFFSET(CRONOPLE!$F$14,$M100,AN$13))))</f>
        <v>1000000000000</v>
      </c>
      <c r="AO100" s="178">
        <f ca="1">IF($D100&lt;&gt;"Serviço",0,IF(AND(AUTOEVENTO="Manual",$M100=1),0,IF(OFFSET(CRONOPLE!$F$14,$M100,AO$13)="",10^12,OFFSET(CRONOPLE!$F$14,$M100,AO$13))))</f>
        <v>1000000000000</v>
      </c>
      <c r="AP100" s="178">
        <f ca="1">IF($D100&lt;&gt;"Serviço",0,IF(AND(AUTOEVENTO="Manual",$M100=1),0,IF(OFFSET(CRONOPLE!$F$14,$M100,AP$13)="",10^12,OFFSET(CRONOPLE!$F$14,$M100,AP$13))))</f>
        <v>1000000000000</v>
      </c>
      <c r="AQ100" s="178">
        <f ca="1">IF($D100&lt;&gt;"Serviço",0,IF(AND(AUTOEVENTO="Manual",$M100=1),0,IF(OFFSET(CRONOPLE!$F$14,$M100,AQ$13)="",10^12,OFFSET(CRONOPLE!$F$14,$M100,AQ$13))))</f>
        <v>1000000000000</v>
      </c>
      <c r="AR100" s="178">
        <f ca="1">IF($D100&lt;&gt;"Serviço",0,IF(AND(AUTOEVENTO="Manual",$M100=1),0,IF(OFFSET(CRONOPLE!$F$14,$M100,AR$13)="",10^12,OFFSET(CRONOPLE!$F$14,$M100,AR$13))))</f>
        <v>1000000000000</v>
      </c>
      <c r="AS100" s="178">
        <f ca="1">IF($D100&lt;&gt;"Serviço",0,IF(AND(AUTOEVENTO="Manual",$M100=1),0,IF(OFFSET(CRONOPLE!$F$14,$M100,AS$13)="",10^12,OFFSET(CRONOPLE!$F$14,$M100,AS$13))))</f>
        <v>1000000000000</v>
      </c>
      <c r="AT100" s="178">
        <f ca="1">IF($D100&lt;&gt;"Serviço",0,IF(AND(AUTOEVENTO="Manual",$M100=1),0,IF(OFFSET(CRONOPLE!$F$14,$M100,AT$13)="",10^12,OFFSET(CRONOPLE!$F$14,$M100,AT$13))))</f>
        <v>1000000000000</v>
      </c>
      <c r="AU100" s="178">
        <f ca="1">IF($D100&lt;&gt;"Serviço",0,IF(AND(AUTOEVENTO="Manual",$M100=1),0,IF(OFFSET(CRONOPLE!$F$14,$M100,AU$13)="",10^12,OFFSET(CRONOPLE!$F$14,$M100,AU$13))))</f>
        <v>1000000000000</v>
      </c>
      <c r="AV100" s="178">
        <f ca="1">IF($D100&lt;&gt;"Serviço",0,IF(AND(AUTOEVENTO="Manual",$M100=1),0,IF(OFFSET(CRONOPLE!$F$14,$M100,AV$13)="",10^12,OFFSET(CRONOPLE!$F$14,$M100,AV$13))))</f>
        <v>1000000000000</v>
      </c>
      <c r="AX100" s="179">
        <f ca="1">IF($D100&lt;&gt;"Serviço",0,IF(OR(AND(AUTOEVENTO="Manual",$M100=1),$M100&gt;(ROW(PLE.lastrow)-ROW(PLE.firstrow))),0,IF(OFFSET(PLE!$G$14,$M100,AX$13)="",10^12,OFFSET(PLE!$G$14,$M100,AX$13))))</f>
        <v>1000000000000</v>
      </c>
      <c r="AY100" s="179">
        <f ca="1">IF($D100&lt;&gt;"Serviço",0,IF(OR(AND(AUTOEVENTO="Manual",$M100=1),$M100&gt;(ROW(PLE.lastrow)-ROW(PLE.firstrow))),0,IF(OFFSET(PLE!$G$14,$M100,AY$13)="",10^12,OFFSET(PLE!$G$14,$M100,AY$13))))</f>
        <v>1000000000000</v>
      </c>
      <c r="AZ100" s="179">
        <f ca="1">IF($D100&lt;&gt;"Serviço",0,IF(OR(AND(AUTOEVENTO="Manual",$M100=1),$M100&gt;(ROW(PLE.lastrow)-ROW(PLE.firstrow))),0,IF(OFFSET(PLE!$G$14,$M100,AZ$13)="",10^12,OFFSET(PLE!$G$14,$M100,AZ$13))))</f>
        <v>1000000000000</v>
      </c>
      <c r="BA100" s="179">
        <f ca="1">IF($D100&lt;&gt;"Serviço",0,IF(OR(AND(AUTOEVENTO="Manual",$M100=1),$M100&gt;(ROW(PLE.lastrow)-ROW(PLE.firstrow))),0,IF(OFFSET(PLE!$G$14,$M100,BA$13)="",10^12,OFFSET(PLE!$G$14,$M100,BA$13))))</f>
        <v>1000000000000</v>
      </c>
      <c r="BB100" s="179">
        <f ca="1">IF($D100&lt;&gt;"Serviço",0,IF(OR(AND(AUTOEVENTO="Manual",$M100=1),$M100&gt;(ROW(PLE.lastrow)-ROW(PLE.firstrow))),0,IF(OFFSET(PLE!$G$14,$M100,BB$13)="",10^12,OFFSET(PLE!$G$14,$M100,BB$13))))</f>
        <v>1000000000000</v>
      </c>
      <c r="BC100" s="179">
        <f ca="1">IF($D100&lt;&gt;"Serviço",0,IF(OR(AND(AUTOEVENTO="Manual",$M100=1),$M100&gt;(ROW(PLE.lastrow)-ROW(PLE.firstrow))),0,IF(OFFSET(PLE!$G$14,$M100,BC$13)="",10^12,OFFSET(PLE!$G$14,$M100,BC$13))))</f>
        <v>1000000000000</v>
      </c>
      <c r="BD100" s="179">
        <f ca="1">IF($D100&lt;&gt;"Serviço",0,IF(OR(AND(AUTOEVENTO="Manual",$M100=1),$M100&gt;(ROW(PLE.lastrow)-ROW(PLE.firstrow))),0,IF(OFFSET(PLE!$G$14,$M100,BD$13)="",10^12,OFFSET(PLE!$G$14,$M100,BD$13))))</f>
        <v>1000000000000</v>
      </c>
      <c r="BE100" s="179">
        <f ca="1">IF($D100&lt;&gt;"Serviço",0,IF(OR(AND(AUTOEVENTO="Manual",$M100=1),$M100&gt;(ROW(PLE.lastrow)-ROW(PLE.firstrow))),0,IF(OFFSET(PLE!$G$14,$M100,BE$13)="",10^12,OFFSET(PLE!$G$14,$M100,BE$13))))</f>
        <v>1000000000000</v>
      </c>
      <c r="BF100" s="179">
        <f ca="1">IF($D100&lt;&gt;"Serviço",0,IF(OR(AND(AUTOEVENTO="Manual",$M100=1),$M100&gt;(ROW(PLE.lastrow)-ROW(PLE.firstrow))),0,IF(OFFSET(PLE!$G$14,$M100,BF$13)="",10^12,OFFSET(PLE!$G$14,$M100,BF$13))))</f>
        <v>1000000000000</v>
      </c>
      <c r="BG100" s="179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38.25" x14ac:dyDescent="0.2">
      <c r="A101" s="7" t="str">
        <f t="shared" ca="1" si="10"/>
        <v>76</v>
      </c>
      <c r="B101" s="7" t="str">
        <f ca="1">OFFSET(ORÇAMENTO!C$15,ROW(B101)-ROW(B$15),0)</f>
        <v>S</v>
      </c>
      <c r="C101" s="7" t="str">
        <f ca="1">OFFSET(ORÇAMENTO!L$15,ROW(C101)-ROW(C$15),0)</f>
        <v/>
      </c>
      <c r="D101" s="115" t="str">
        <f ca="1">OFFSET(ORÇAMENTO!N$15,ROW(D101)-ROW(D$15),0)</f>
        <v>Serviço</v>
      </c>
      <c r="E101" s="116" t="str">
        <f ca="1">OFFSET(ORÇAMENTO!O$15,ROW(E101)-ROW(E$15),0)</f>
        <v>-</v>
      </c>
      <c r="F101" s="169" t="str">
        <f ca="1">OFFSET(ORÇAMENTO!R$15,ROW(F101)-ROW(F$15),0)</f>
        <v>(abra o arquivo 'Referência 10-2024.xlsm)</v>
      </c>
      <c r="G101" s="170" t="str">
        <f ca="1">IF($D101&lt;&gt;"Serviço","",OFFSET(ORÇAMENTO!S$15,ROW(G101)-ROW(G$15),0))</f>
        <v>-</v>
      </c>
      <c r="H101" s="121">
        <f ca="1">IF($D101&lt;&gt;"Serviço",0,IF(ACOMPANHAMENTO="BM",ROUND(OFFSET(ORÇAMENTO!AJ$15,ROW(H101)-ROW(H$15),0),15-13*ORÇAMENTO!$AF$7),SUMPRODUCT(($Q$12:$AA$12&lt;&gt;"")*ROUND($Q101:$AA101,15-13*ORÇAMENTO!$AF$7))))</f>
        <v>1</v>
      </c>
      <c r="I101" s="558" t="s">
        <v>561</v>
      </c>
      <c r="K101" s="171"/>
      <c r="L101" s="172" t="s">
        <v>255</v>
      </c>
      <c r="M101" s="173">
        <f ca="1">IF($D101&lt;&gt;"Serviço","",IF(AUTOEVENTO="manual",$A101,IF(ISERROR(MATCH($A101,$A$15:OFFSET($A101,-1,0),0)),MAX($M$15:OFFSET(M101,-1,0))+1,INDEX($M$15:OFFSET(M101,-1,0),MATCH($A101,$A$15:OFFSET($A101,-1,0),0)))))</f>
        <v>14</v>
      </c>
      <c r="N101" s="174" t="str">
        <f ca="1">IF($D101&lt;&gt;"Serviço","",IF(AUTOEVENTO="Manual",IF($A101=0,"&lt;-- defina o número do agrupador",OFFSET(EVENTOS!$D$14,$A101,0)),OFFSET($F$15,$A101,0)))</f>
        <v>INSTALAÇÕES HIDROSSANITÁRIAS</v>
      </c>
      <c r="O101" s="175"/>
      <c r="Q101" s="175"/>
      <c r="R101" s="176"/>
      <c r="S101" s="176"/>
      <c r="T101" s="176"/>
      <c r="U101" s="176"/>
      <c r="V101" s="176"/>
      <c r="W101" s="176"/>
      <c r="X101" s="176"/>
      <c r="Y101" s="176"/>
      <c r="Z101" s="177"/>
      <c r="AB101" s="541">
        <f ca="1">IF(AND($D101="Serviço",AB$12&lt;&gt;0,$H101&gt;0,OR(AUTOEVENTO&lt;&gt;"manual",$M101&lt;&gt;1)),
IF(Import.TipoArredondamento&lt;&gt;"TransfereGOV",
ROUND(OFFSET($P101,0,AB$13),15-13*ORÇAMENTO!$AF$7)/$H101*OFFSET(ORÇAMENTO!$X$15,ROW(AB101)-ROW(AB$15),0),
ROUND(ROUND(OFFSET($P101,0,AB$13),15-13*ORÇAMENTO!$AF$7)*OFFSET(ORÇAMENTO!$W$15,ROW(AB101)-ROW(AB$15),0),15-13*ORÇAMENTO!$AF$11)),0)</f>
        <v>0</v>
      </c>
      <c r="AC101" s="542">
        <f ca="1">IF(AND($D101="Serviço",AC$12&lt;&gt;0,$H101&gt;0,OR(AUTOEVENTO&lt;&gt;"manual",$M101&lt;&gt;1)),
IF(Import.TipoArredondamento&lt;&gt;"TransfereGOV",
ROUND(OFFSET($P101,0,AC$13),15-13*ORÇAMENTO!$AF$7)/$H101*OFFSET(ORÇAMENTO!$X$15,ROW(AC101)-ROW(AC$15),0),
ROUND(ROUND(OFFSET($P101,0,AC$13),15-13*ORÇAMENTO!$AF$7)*OFFSET(ORÇAMENTO!$W$15,ROW(AC101)-ROW(AC$15),0),15-13*ORÇAMENTO!$AF$11)),0)</f>
        <v>0</v>
      </c>
      <c r="AD101" s="542">
        <f ca="1">IF(AND($D101="Serviço",AD$12&lt;&gt;0,$H101&gt;0,OR(AUTOEVENTO&lt;&gt;"manual",$M101&lt;&gt;1)),
IF(Import.TipoArredondamento&lt;&gt;"TransfereGOV",
ROUND(OFFSET($P101,0,AD$13),15-13*ORÇAMENTO!$AF$7)/$H101*OFFSET(ORÇAMENTO!$X$15,ROW(AD101)-ROW(AD$15),0),
ROUND(ROUND(OFFSET($P101,0,AD$13),15-13*ORÇAMENTO!$AF$7)*OFFSET(ORÇAMENTO!$W$15,ROW(AD101)-ROW(AD$15),0),15-13*ORÇAMENTO!$AF$11)),0)</f>
        <v>0</v>
      </c>
      <c r="AE101" s="542">
        <f ca="1">IF(AND($D101="Serviço",AE$12&lt;&gt;0,$H101&gt;0,OR(AUTOEVENTO&lt;&gt;"manual",$M101&lt;&gt;1)),
IF(Import.TipoArredondamento&lt;&gt;"TransfereGOV",
ROUND(OFFSET($P101,0,AE$13),15-13*ORÇAMENTO!$AF$7)/$H101*OFFSET(ORÇAMENTO!$X$15,ROW(AE101)-ROW(AE$15),0),
ROUND(ROUND(OFFSET($P101,0,AE$13),15-13*ORÇAMENTO!$AF$7)*OFFSET(ORÇAMENTO!$W$15,ROW(AE101)-ROW(AE$15),0),15-13*ORÇAMENTO!$AF$11)),0)</f>
        <v>0</v>
      </c>
      <c r="AF101" s="542">
        <f ca="1">IF(AND($D101="Serviço",AF$12&lt;&gt;0,$H101&gt;0,OR(AUTOEVENTO&lt;&gt;"manual",$M101&lt;&gt;1)),
IF(Import.TipoArredondamento&lt;&gt;"TransfereGOV",
ROUND(OFFSET($P101,0,AF$13),15-13*ORÇAMENTO!$AF$7)/$H101*OFFSET(ORÇAMENTO!$X$15,ROW(AF101)-ROW(AF$15),0),
ROUND(ROUND(OFFSET($P101,0,AF$13),15-13*ORÇAMENTO!$AF$7)*OFFSET(ORÇAMENTO!$W$15,ROW(AF101)-ROW(AF$15),0),15-13*ORÇAMENTO!$AF$11)),0)</f>
        <v>0</v>
      </c>
      <c r="AG101" s="542">
        <f ca="1">IF(AND($D101="Serviço",AG$12&lt;&gt;0,$H101&gt;0,OR(AUTOEVENTO&lt;&gt;"manual",$M101&lt;&gt;1)),
IF(Import.TipoArredondamento&lt;&gt;"TransfereGOV",
ROUND(OFFSET($P101,0,AG$13),15-13*ORÇAMENTO!$AF$7)/$H101*OFFSET(ORÇAMENTO!$X$15,ROW(AG101)-ROW(AG$15),0),
ROUND(ROUND(OFFSET($P101,0,AG$13),15-13*ORÇAMENTO!$AF$7)*OFFSET(ORÇAMENTO!$W$15,ROW(AG101)-ROW(AG$15),0),15-13*ORÇAMENTO!$AF$11)),0)</f>
        <v>0</v>
      </c>
      <c r="AH101" s="542">
        <f ca="1">IF(AND($D101="Serviço",AH$12&lt;&gt;0,$H101&gt;0,OR(AUTOEVENTO&lt;&gt;"manual",$M101&lt;&gt;1)),
IF(Import.TipoArredondamento&lt;&gt;"TransfereGOV",
ROUND(OFFSET($P101,0,AH$13),15-13*ORÇAMENTO!$AF$7)/$H101*OFFSET(ORÇAMENTO!$X$15,ROW(AH101)-ROW(AH$15),0),
ROUND(ROUND(OFFSET($P101,0,AH$13),15-13*ORÇAMENTO!$AF$7)*OFFSET(ORÇAMENTO!$W$15,ROW(AH101)-ROW(AH$15),0),15-13*ORÇAMENTO!$AF$11)),0)</f>
        <v>0</v>
      </c>
      <c r="AI101" s="542">
        <f ca="1">IF(AND($D101="Serviço",AI$12&lt;&gt;0,$H101&gt;0,OR(AUTOEVENTO&lt;&gt;"manual",$M101&lt;&gt;1)),
IF(Import.TipoArredondamento&lt;&gt;"TransfereGOV",
ROUND(OFFSET($P101,0,AI$13),15-13*ORÇAMENTO!$AF$7)/$H101*OFFSET(ORÇAMENTO!$X$15,ROW(AI101)-ROW(AI$15),0),
ROUND(ROUND(OFFSET($P101,0,AI$13),15-13*ORÇAMENTO!$AF$7)*OFFSET(ORÇAMENTO!$W$15,ROW(AI101)-ROW(AI$15),0),15-13*ORÇAMENTO!$AF$11)),0)</f>
        <v>0</v>
      </c>
      <c r="AJ101" s="542">
        <f ca="1">IF(AND($D101="Serviço",AJ$12&lt;&gt;0,$H101&gt;0,OR(AUTOEVENTO&lt;&gt;"manual",$M101&lt;&gt;1)),
IF(Import.TipoArredondamento&lt;&gt;"TransfereGOV",
ROUND(OFFSET($P101,0,AJ$13),15-13*ORÇAMENTO!$AF$7)/$H101*OFFSET(ORÇAMENTO!$X$15,ROW(AJ101)-ROW(AJ$15),0),
ROUND(ROUND(OFFSET($P101,0,AJ$13),15-13*ORÇAMENTO!$AF$7)*OFFSET(ORÇAMENTO!$W$15,ROW(AJ101)-ROW(AJ$15),0),15-13*ORÇAMENTO!$AF$11)),0)</f>
        <v>0</v>
      </c>
      <c r="AK101" s="543">
        <f ca="1">IF(AND($D101="Serviço",AK$12&lt;&gt;0,$H101&gt;0,OR(AUTOEVENTO&lt;&gt;"manual",$M101&lt;&gt;1)),
IF(Import.TipoArredondamento&lt;&gt;"TransfereGOV",
ROUND(OFFSET($P101,0,AK$13),15-13*ORÇAMENTO!$AF$7)/$H101*OFFSET(ORÇAMENTO!$X$15,ROW(AK101)-ROW(AK$15),0),
ROUND(ROUND(OFFSET($P101,0,AK$13),15-13*ORÇAMENTO!$AF$7)*OFFSET(ORÇAMENTO!$W$15,ROW(AK101)-ROW(AK$15),0),15-13*ORÇAMENTO!$AF$11)),0)</f>
        <v>0</v>
      </c>
      <c r="AM101" s="178">
        <f ca="1">IF($D101&lt;&gt;"Serviço",0,IF(AND(AUTOEVENTO="Manual",$M101=1),0,IF(OFFSET(CRONOPLE!$F$14,$M101,AM$13)="",10^12,OFFSET(CRONOPLE!$F$14,$M101,AM$13))))</f>
        <v>1000000000000</v>
      </c>
      <c r="AN101" s="178">
        <f ca="1">IF($D101&lt;&gt;"Serviço",0,IF(AND(AUTOEVENTO="Manual",$M101=1),0,IF(OFFSET(CRONOPLE!$F$14,$M101,AN$13)="",10^12,OFFSET(CRONOPLE!$F$14,$M101,AN$13))))</f>
        <v>1000000000000</v>
      </c>
      <c r="AO101" s="178">
        <f ca="1">IF($D101&lt;&gt;"Serviço",0,IF(AND(AUTOEVENTO="Manual",$M101=1),0,IF(OFFSET(CRONOPLE!$F$14,$M101,AO$13)="",10^12,OFFSET(CRONOPLE!$F$14,$M101,AO$13))))</f>
        <v>1000000000000</v>
      </c>
      <c r="AP101" s="178">
        <f ca="1">IF($D101&lt;&gt;"Serviço",0,IF(AND(AUTOEVENTO="Manual",$M101=1),0,IF(OFFSET(CRONOPLE!$F$14,$M101,AP$13)="",10^12,OFFSET(CRONOPLE!$F$14,$M101,AP$13))))</f>
        <v>1000000000000</v>
      </c>
      <c r="AQ101" s="178">
        <f ca="1">IF($D101&lt;&gt;"Serviço",0,IF(AND(AUTOEVENTO="Manual",$M101=1),0,IF(OFFSET(CRONOPLE!$F$14,$M101,AQ$13)="",10^12,OFFSET(CRONOPLE!$F$14,$M101,AQ$13))))</f>
        <v>1000000000000</v>
      </c>
      <c r="AR101" s="178">
        <f ca="1">IF($D101&lt;&gt;"Serviço",0,IF(AND(AUTOEVENTO="Manual",$M101=1),0,IF(OFFSET(CRONOPLE!$F$14,$M101,AR$13)="",10^12,OFFSET(CRONOPLE!$F$14,$M101,AR$13))))</f>
        <v>1000000000000</v>
      </c>
      <c r="AS101" s="178">
        <f ca="1">IF($D101&lt;&gt;"Serviço",0,IF(AND(AUTOEVENTO="Manual",$M101=1),0,IF(OFFSET(CRONOPLE!$F$14,$M101,AS$13)="",10^12,OFFSET(CRONOPLE!$F$14,$M101,AS$13))))</f>
        <v>1000000000000</v>
      </c>
      <c r="AT101" s="178">
        <f ca="1">IF($D101&lt;&gt;"Serviço",0,IF(AND(AUTOEVENTO="Manual",$M101=1),0,IF(OFFSET(CRONOPLE!$F$14,$M101,AT$13)="",10^12,OFFSET(CRONOPLE!$F$14,$M101,AT$13))))</f>
        <v>1000000000000</v>
      </c>
      <c r="AU101" s="178">
        <f ca="1">IF($D101&lt;&gt;"Serviço",0,IF(AND(AUTOEVENTO="Manual",$M101=1),0,IF(OFFSET(CRONOPLE!$F$14,$M101,AU$13)="",10^12,OFFSET(CRONOPLE!$F$14,$M101,AU$13))))</f>
        <v>1000000000000</v>
      </c>
      <c r="AV101" s="178">
        <f ca="1">IF($D101&lt;&gt;"Serviço",0,IF(AND(AUTOEVENTO="Manual",$M101=1),0,IF(OFFSET(CRONOPLE!$F$14,$M101,AV$13)="",10^12,OFFSET(CRONOPLE!$F$14,$M101,AV$13))))</f>
        <v>1000000000000</v>
      </c>
      <c r="AX101" s="179">
        <f ca="1">IF($D101&lt;&gt;"Serviço",0,IF(OR(AND(AUTOEVENTO="Manual",$M101=1),$M101&gt;(ROW(PLE.lastrow)-ROW(PLE.firstrow))),0,IF(OFFSET(PLE!$G$14,$M101,AX$13)="",10^12,OFFSET(PLE!$G$14,$M101,AX$13))))</f>
        <v>1000000000000</v>
      </c>
      <c r="AY101" s="179">
        <f ca="1">IF($D101&lt;&gt;"Serviço",0,IF(OR(AND(AUTOEVENTO="Manual",$M101=1),$M101&gt;(ROW(PLE.lastrow)-ROW(PLE.firstrow))),0,IF(OFFSET(PLE!$G$14,$M101,AY$13)="",10^12,OFFSET(PLE!$G$14,$M101,AY$13))))</f>
        <v>1000000000000</v>
      </c>
      <c r="AZ101" s="179">
        <f ca="1">IF($D101&lt;&gt;"Serviço",0,IF(OR(AND(AUTOEVENTO="Manual",$M101=1),$M101&gt;(ROW(PLE.lastrow)-ROW(PLE.firstrow))),0,IF(OFFSET(PLE!$G$14,$M101,AZ$13)="",10^12,OFFSET(PLE!$G$14,$M101,AZ$13))))</f>
        <v>1000000000000</v>
      </c>
      <c r="BA101" s="179">
        <f ca="1">IF($D101&lt;&gt;"Serviço",0,IF(OR(AND(AUTOEVENTO="Manual",$M101=1),$M101&gt;(ROW(PLE.lastrow)-ROW(PLE.firstrow))),0,IF(OFFSET(PLE!$G$14,$M101,BA$13)="",10^12,OFFSET(PLE!$G$14,$M101,BA$13))))</f>
        <v>1000000000000</v>
      </c>
      <c r="BB101" s="179">
        <f ca="1">IF($D101&lt;&gt;"Serviço",0,IF(OR(AND(AUTOEVENTO="Manual",$M101=1),$M101&gt;(ROW(PLE.lastrow)-ROW(PLE.firstrow))),0,IF(OFFSET(PLE!$G$14,$M101,BB$13)="",10^12,OFFSET(PLE!$G$14,$M101,BB$13))))</f>
        <v>1000000000000</v>
      </c>
      <c r="BC101" s="179">
        <f ca="1">IF($D101&lt;&gt;"Serviço",0,IF(OR(AND(AUTOEVENTO="Manual",$M101=1),$M101&gt;(ROW(PLE.lastrow)-ROW(PLE.firstrow))),0,IF(OFFSET(PLE!$G$14,$M101,BC$13)="",10^12,OFFSET(PLE!$G$14,$M101,BC$13))))</f>
        <v>1000000000000</v>
      </c>
      <c r="BD101" s="179">
        <f ca="1">IF($D101&lt;&gt;"Serviço",0,IF(OR(AND(AUTOEVENTO="Manual",$M101=1),$M101&gt;(ROW(PLE.lastrow)-ROW(PLE.firstrow))),0,IF(OFFSET(PLE!$G$14,$M101,BD$13)="",10^12,OFFSET(PLE!$G$14,$M101,BD$13))))</f>
        <v>1000000000000</v>
      </c>
      <c r="BE101" s="179">
        <f ca="1">IF($D101&lt;&gt;"Serviço",0,IF(OR(AND(AUTOEVENTO="Manual",$M101=1),$M101&gt;(ROW(PLE.lastrow)-ROW(PLE.firstrow))),0,IF(OFFSET(PLE!$G$14,$M101,BE$13)="",10^12,OFFSET(PLE!$G$14,$M101,BE$13))))</f>
        <v>1000000000000</v>
      </c>
      <c r="BF101" s="179">
        <f ca="1">IF($D101&lt;&gt;"Serviço",0,IF(OR(AND(AUTOEVENTO="Manual",$M101=1),$M101&gt;(ROW(PLE.lastrow)-ROW(PLE.firstrow))),0,IF(OFFSET(PLE!$G$14,$M101,BF$13)="",10^12,OFFSET(PLE!$G$14,$M101,BF$13))))</f>
        <v>1000000000000</v>
      </c>
      <c r="BG101" s="179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38.25" x14ac:dyDescent="0.2">
      <c r="A102" s="7" t="str">
        <f t="shared" ca="1" si="10"/>
        <v>76</v>
      </c>
      <c r="B102" s="7" t="str">
        <f ca="1">OFFSET(ORÇAMENTO!C$15,ROW(B102)-ROW(B$15),0)</f>
        <v>S</v>
      </c>
      <c r="C102" s="7" t="str">
        <f ca="1">OFFSET(ORÇAMENTO!L$15,ROW(C102)-ROW(C$15),0)</f>
        <v/>
      </c>
      <c r="D102" s="115" t="str">
        <f ca="1">OFFSET(ORÇAMENTO!N$15,ROW(D102)-ROW(D$15),0)</f>
        <v>Serviço</v>
      </c>
      <c r="E102" s="116" t="str">
        <f ca="1">OFFSET(ORÇAMENTO!O$15,ROW(E102)-ROW(E$15),0)</f>
        <v>-</v>
      </c>
      <c r="F102" s="169" t="str">
        <f ca="1">OFFSET(ORÇAMENTO!R$15,ROW(F102)-ROW(F$15),0)</f>
        <v>(abra o arquivo 'Referência 10-2024.xlsm)</v>
      </c>
      <c r="G102" s="170" t="str">
        <f ca="1">IF($D102&lt;&gt;"Serviço","",OFFSET(ORÇAMENTO!S$15,ROW(G102)-ROW(G$15),0))</f>
        <v>-</v>
      </c>
      <c r="H102" s="121">
        <f ca="1">IF($D102&lt;&gt;"Serviço",0,IF(ACOMPANHAMENTO="BM",ROUND(OFFSET(ORÇAMENTO!AJ$15,ROW(H102)-ROW(H$15),0),15-13*ORÇAMENTO!$AF$7),SUMPRODUCT(($Q$12:$AA$12&lt;&gt;"")*ROUND($Q102:$AA102,15-13*ORÇAMENTO!$AF$7))))</f>
        <v>1</v>
      </c>
      <c r="I102" s="558" t="s">
        <v>561</v>
      </c>
      <c r="K102" s="171"/>
      <c r="L102" s="172" t="s">
        <v>255</v>
      </c>
      <c r="M102" s="173">
        <f ca="1">IF($D102&lt;&gt;"Serviço","",IF(AUTOEVENTO="manual",$A102,IF(ISERROR(MATCH($A102,$A$15:OFFSET($A102,-1,0),0)),MAX($M$15:OFFSET(M102,-1,0))+1,INDEX($M$15:OFFSET(M102,-1,0),MATCH($A102,$A$15:OFFSET($A102,-1,0),0)))))</f>
        <v>14</v>
      </c>
      <c r="N102" s="174" t="str">
        <f ca="1">IF($D102&lt;&gt;"Serviço","",IF(AUTOEVENTO="Manual",IF($A102=0,"&lt;-- defina o número do agrupador",OFFSET(EVENTOS!$D$14,$A102,0)),OFFSET($F$15,$A102,0)))</f>
        <v>INSTALAÇÕES HIDROSSANITÁRIAS</v>
      </c>
      <c r="O102" s="175"/>
      <c r="Q102" s="175"/>
      <c r="R102" s="176"/>
      <c r="S102" s="176"/>
      <c r="T102" s="176"/>
      <c r="U102" s="176"/>
      <c r="V102" s="176"/>
      <c r="W102" s="176"/>
      <c r="X102" s="176"/>
      <c r="Y102" s="176"/>
      <c r="Z102" s="177"/>
      <c r="AB102" s="541">
        <f ca="1">IF(AND($D102="Serviço",AB$12&lt;&gt;0,$H102&gt;0,OR(AUTOEVENTO&lt;&gt;"manual",$M102&lt;&gt;1)),
IF(Import.TipoArredondamento&lt;&gt;"TransfereGOV",
ROUND(OFFSET($P102,0,AB$13),15-13*ORÇAMENTO!$AF$7)/$H102*OFFSET(ORÇAMENTO!$X$15,ROW(AB102)-ROW(AB$15),0),
ROUND(ROUND(OFFSET($P102,0,AB$13),15-13*ORÇAMENTO!$AF$7)*OFFSET(ORÇAMENTO!$W$15,ROW(AB102)-ROW(AB$15),0),15-13*ORÇAMENTO!$AF$11)),0)</f>
        <v>0</v>
      </c>
      <c r="AC102" s="542">
        <f ca="1">IF(AND($D102="Serviço",AC$12&lt;&gt;0,$H102&gt;0,OR(AUTOEVENTO&lt;&gt;"manual",$M102&lt;&gt;1)),
IF(Import.TipoArredondamento&lt;&gt;"TransfereGOV",
ROUND(OFFSET($P102,0,AC$13),15-13*ORÇAMENTO!$AF$7)/$H102*OFFSET(ORÇAMENTO!$X$15,ROW(AC102)-ROW(AC$15),0),
ROUND(ROUND(OFFSET($P102,0,AC$13),15-13*ORÇAMENTO!$AF$7)*OFFSET(ORÇAMENTO!$W$15,ROW(AC102)-ROW(AC$15),0),15-13*ORÇAMENTO!$AF$11)),0)</f>
        <v>0</v>
      </c>
      <c r="AD102" s="542">
        <f ca="1">IF(AND($D102="Serviço",AD$12&lt;&gt;0,$H102&gt;0,OR(AUTOEVENTO&lt;&gt;"manual",$M102&lt;&gt;1)),
IF(Import.TipoArredondamento&lt;&gt;"TransfereGOV",
ROUND(OFFSET($P102,0,AD$13),15-13*ORÇAMENTO!$AF$7)/$H102*OFFSET(ORÇAMENTO!$X$15,ROW(AD102)-ROW(AD$15),0),
ROUND(ROUND(OFFSET($P102,0,AD$13),15-13*ORÇAMENTO!$AF$7)*OFFSET(ORÇAMENTO!$W$15,ROW(AD102)-ROW(AD$15),0),15-13*ORÇAMENTO!$AF$11)),0)</f>
        <v>0</v>
      </c>
      <c r="AE102" s="542">
        <f ca="1">IF(AND($D102="Serviço",AE$12&lt;&gt;0,$H102&gt;0,OR(AUTOEVENTO&lt;&gt;"manual",$M102&lt;&gt;1)),
IF(Import.TipoArredondamento&lt;&gt;"TransfereGOV",
ROUND(OFFSET($P102,0,AE$13),15-13*ORÇAMENTO!$AF$7)/$H102*OFFSET(ORÇAMENTO!$X$15,ROW(AE102)-ROW(AE$15),0),
ROUND(ROUND(OFFSET($P102,0,AE$13),15-13*ORÇAMENTO!$AF$7)*OFFSET(ORÇAMENTO!$W$15,ROW(AE102)-ROW(AE$15),0),15-13*ORÇAMENTO!$AF$11)),0)</f>
        <v>0</v>
      </c>
      <c r="AF102" s="542">
        <f ca="1">IF(AND($D102="Serviço",AF$12&lt;&gt;0,$H102&gt;0,OR(AUTOEVENTO&lt;&gt;"manual",$M102&lt;&gt;1)),
IF(Import.TipoArredondamento&lt;&gt;"TransfereGOV",
ROUND(OFFSET($P102,0,AF$13),15-13*ORÇAMENTO!$AF$7)/$H102*OFFSET(ORÇAMENTO!$X$15,ROW(AF102)-ROW(AF$15),0),
ROUND(ROUND(OFFSET($P102,0,AF$13),15-13*ORÇAMENTO!$AF$7)*OFFSET(ORÇAMENTO!$W$15,ROW(AF102)-ROW(AF$15),0),15-13*ORÇAMENTO!$AF$11)),0)</f>
        <v>0</v>
      </c>
      <c r="AG102" s="542">
        <f ca="1">IF(AND($D102="Serviço",AG$12&lt;&gt;0,$H102&gt;0,OR(AUTOEVENTO&lt;&gt;"manual",$M102&lt;&gt;1)),
IF(Import.TipoArredondamento&lt;&gt;"TransfereGOV",
ROUND(OFFSET($P102,0,AG$13),15-13*ORÇAMENTO!$AF$7)/$H102*OFFSET(ORÇAMENTO!$X$15,ROW(AG102)-ROW(AG$15),0),
ROUND(ROUND(OFFSET($P102,0,AG$13),15-13*ORÇAMENTO!$AF$7)*OFFSET(ORÇAMENTO!$W$15,ROW(AG102)-ROW(AG$15),0),15-13*ORÇAMENTO!$AF$11)),0)</f>
        <v>0</v>
      </c>
      <c r="AH102" s="542">
        <f ca="1">IF(AND($D102="Serviço",AH$12&lt;&gt;0,$H102&gt;0,OR(AUTOEVENTO&lt;&gt;"manual",$M102&lt;&gt;1)),
IF(Import.TipoArredondamento&lt;&gt;"TransfereGOV",
ROUND(OFFSET($P102,0,AH$13),15-13*ORÇAMENTO!$AF$7)/$H102*OFFSET(ORÇAMENTO!$X$15,ROW(AH102)-ROW(AH$15),0),
ROUND(ROUND(OFFSET($P102,0,AH$13),15-13*ORÇAMENTO!$AF$7)*OFFSET(ORÇAMENTO!$W$15,ROW(AH102)-ROW(AH$15),0),15-13*ORÇAMENTO!$AF$11)),0)</f>
        <v>0</v>
      </c>
      <c r="AI102" s="542">
        <f ca="1">IF(AND($D102="Serviço",AI$12&lt;&gt;0,$H102&gt;0,OR(AUTOEVENTO&lt;&gt;"manual",$M102&lt;&gt;1)),
IF(Import.TipoArredondamento&lt;&gt;"TransfereGOV",
ROUND(OFFSET($P102,0,AI$13),15-13*ORÇAMENTO!$AF$7)/$H102*OFFSET(ORÇAMENTO!$X$15,ROW(AI102)-ROW(AI$15),0),
ROUND(ROUND(OFFSET($P102,0,AI$13),15-13*ORÇAMENTO!$AF$7)*OFFSET(ORÇAMENTO!$W$15,ROW(AI102)-ROW(AI$15),0),15-13*ORÇAMENTO!$AF$11)),0)</f>
        <v>0</v>
      </c>
      <c r="AJ102" s="542">
        <f ca="1">IF(AND($D102="Serviço",AJ$12&lt;&gt;0,$H102&gt;0,OR(AUTOEVENTO&lt;&gt;"manual",$M102&lt;&gt;1)),
IF(Import.TipoArredondamento&lt;&gt;"TransfereGOV",
ROUND(OFFSET($P102,0,AJ$13),15-13*ORÇAMENTO!$AF$7)/$H102*OFFSET(ORÇAMENTO!$X$15,ROW(AJ102)-ROW(AJ$15),0),
ROUND(ROUND(OFFSET($P102,0,AJ$13),15-13*ORÇAMENTO!$AF$7)*OFFSET(ORÇAMENTO!$W$15,ROW(AJ102)-ROW(AJ$15),0),15-13*ORÇAMENTO!$AF$11)),0)</f>
        <v>0</v>
      </c>
      <c r="AK102" s="543">
        <f ca="1">IF(AND($D102="Serviço",AK$12&lt;&gt;0,$H102&gt;0,OR(AUTOEVENTO&lt;&gt;"manual",$M102&lt;&gt;1)),
IF(Import.TipoArredondamento&lt;&gt;"TransfereGOV",
ROUND(OFFSET($P102,0,AK$13),15-13*ORÇAMENTO!$AF$7)/$H102*OFFSET(ORÇAMENTO!$X$15,ROW(AK102)-ROW(AK$15),0),
ROUND(ROUND(OFFSET($P102,0,AK$13),15-13*ORÇAMENTO!$AF$7)*OFFSET(ORÇAMENTO!$W$15,ROW(AK102)-ROW(AK$15),0),15-13*ORÇAMENTO!$AF$11)),0)</f>
        <v>0</v>
      </c>
      <c r="AM102" s="178">
        <f ca="1">IF($D102&lt;&gt;"Serviço",0,IF(AND(AUTOEVENTO="Manual",$M102=1),0,IF(OFFSET(CRONOPLE!$F$14,$M102,AM$13)="",10^12,OFFSET(CRONOPLE!$F$14,$M102,AM$13))))</f>
        <v>1000000000000</v>
      </c>
      <c r="AN102" s="178">
        <f ca="1">IF($D102&lt;&gt;"Serviço",0,IF(AND(AUTOEVENTO="Manual",$M102=1),0,IF(OFFSET(CRONOPLE!$F$14,$M102,AN$13)="",10^12,OFFSET(CRONOPLE!$F$14,$M102,AN$13))))</f>
        <v>1000000000000</v>
      </c>
      <c r="AO102" s="178">
        <f ca="1">IF($D102&lt;&gt;"Serviço",0,IF(AND(AUTOEVENTO="Manual",$M102=1),0,IF(OFFSET(CRONOPLE!$F$14,$M102,AO$13)="",10^12,OFFSET(CRONOPLE!$F$14,$M102,AO$13))))</f>
        <v>1000000000000</v>
      </c>
      <c r="AP102" s="178">
        <f ca="1">IF($D102&lt;&gt;"Serviço",0,IF(AND(AUTOEVENTO="Manual",$M102=1),0,IF(OFFSET(CRONOPLE!$F$14,$M102,AP$13)="",10^12,OFFSET(CRONOPLE!$F$14,$M102,AP$13))))</f>
        <v>1000000000000</v>
      </c>
      <c r="AQ102" s="178">
        <f ca="1">IF($D102&lt;&gt;"Serviço",0,IF(AND(AUTOEVENTO="Manual",$M102=1),0,IF(OFFSET(CRONOPLE!$F$14,$M102,AQ$13)="",10^12,OFFSET(CRONOPLE!$F$14,$M102,AQ$13))))</f>
        <v>1000000000000</v>
      </c>
      <c r="AR102" s="178">
        <f ca="1">IF($D102&lt;&gt;"Serviço",0,IF(AND(AUTOEVENTO="Manual",$M102=1),0,IF(OFFSET(CRONOPLE!$F$14,$M102,AR$13)="",10^12,OFFSET(CRONOPLE!$F$14,$M102,AR$13))))</f>
        <v>1000000000000</v>
      </c>
      <c r="AS102" s="178">
        <f ca="1">IF($D102&lt;&gt;"Serviço",0,IF(AND(AUTOEVENTO="Manual",$M102=1),0,IF(OFFSET(CRONOPLE!$F$14,$M102,AS$13)="",10^12,OFFSET(CRONOPLE!$F$14,$M102,AS$13))))</f>
        <v>1000000000000</v>
      </c>
      <c r="AT102" s="178">
        <f ca="1">IF($D102&lt;&gt;"Serviço",0,IF(AND(AUTOEVENTO="Manual",$M102=1),0,IF(OFFSET(CRONOPLE!$F$14,$M102,AT$13)="",10^12,OFFSET(CRONOPLE!$F$14,$M102,AT$13))))</f>
        <v>1000000000000</v>
      </c>
      <c r="AU102" s="178">
        <f ca="1">IF($D102&lt;&gt;"Serviço",0,IF(AND(AUTOEVENTO="Manual",$M102=1),0,IF(OFFSET(CRONOPLE!$F$14,$M102,AU$13)="",10^12,OFFSET(CRONOPLE!$F$14,$M102,AU$13))))</f>
        <v>1000000000000</v>
      </c>
      <c r="AV102" s="178">
        <f ca="1">IF($D102&lt;&gt;"Serviço",0,IF(AND(AUTOEVENTO="Manual",$M102=1),0,IF(OFFSET(CRONOPLE!$F$14,$M102,AV$13)="",10^12,OFFSET(CRONOPLE!$F$14,$M102,AV$13))))</f>
        <v>1000000000000</v>
      </c>
      <c r="AX102" s="179">
        <f ca="1">IF($D102&lt;&gt;"Serviço",0,IF(OR(AND(AUTOEVENTO="Manual",$M102=1),$M102&gt;(ROW(PLE.lastrow)-ROW(PLE.firstrow))),0,IF(OFFSET(PLE!$G$14,$M102,AX$13)="",10^12,OFFSET(PLE!$G$14,$M102,AX$13))))</f>
        <v>1000000000000</v>
      </c>
      <c r="AY102" s="179">
        <f ca="1">IF($D102&lt;&gt;"Serviço",0,IF(OR(AND(AUTOEVENTO="Manual",$M102=1),$M102&gt;(ROW(PLE.lastrow)-ROW(PLE.firstrow))),0,IF(OFFSET(PLE!$G$14,$M102,AY$13)="",10^12,OFFSET(PLE!$G$14,$M102,AY$13))))</f>
        <v>1000000000000</v>
      </c>
      <c r="AZ102" s="179">
        <f ca="1">IF($D102&lt;&gt;"Serviço",0,IF(OR(AND(AUTOEVENTO="Manual",$M102=1),$M102&gt;(ROW(PLE.lastrow)-ROW(PLE.firstrow))),0,IF(OFFSET(PLE!$G$14,$M102,AZ$13)="",10^12,OFFSET(PLE!$G$14,$M102,AZ$13))))</f>
        <v>1000000000000</v>
      </c>
      <c r="BA102" s="179">
        <f ca="1">IF($D102&lt;&gt;"Serviço",0,IF(OR(AND(AUTOEVENTO="Manual",$M102=1),$M102&gt;(ROW(PLE.lastrow)-ROW(PLE.firstrow))),0,IF(OFFSET(PLE!$G$14,$M102,BA$13)="",10^12,OFFSET(PLE!$G$14,$M102,BA$13))))</f>
        <v>1000000000000</v>
      </c>
      <c r="BB102" s="179">
        <f ca="1">IF($D102&lt;&gt;"Serviço",0,IF(OR(AND(AUTOEVENTO="Manual",$M102=1),$M102&gt;(ROW(PLE.lastrow)-ROW(PLE.firstrow))),0,IF(OFFSET(PLE!$G$14,$M102,BB$13)="",10^12,OFFSET(PLE!$G$14,$M102,BB$13))))</f>
        <v>1000000000000</v>
      </c>
      <c r="BC102" s="179">
        <f ca="1">IF($D102&lt;&gt;"Serviço",0,IF(OR(AND(AUTOEVENTO="Manual",$M102=1),$M102&gt;(ROW(PLE.lastrow)-ROW(PLE.firstrow))),0,IF(OFFSET(PLE!$G$14,$M102,BC$13)="",10^12,OFFSET(PLE!$G$14,$M102,BC$13))))</f>
        <v>1000000000000</v>
      </c>
      <c r="BD102" s="179">
        <f ca="1">IF($D102&lt;&gt;"Serviço",0,IF(OR(AND(AUTOEVENTO="Manual",$M102=1),$M102&gt;(ROW(PLE.lastrow)-ROW(PLE.firstrow))),0,IF(OFFSET(PLE!$G$14,$M102,BD$13)="",10^12,OFFSET(PLE!$G$14,$M102,BD$13))))</f>
        <v>1000000000000</v>
      </c>
      <c r="BE102" s="179">
        <f ca="1">IF($D102&lt;&gt;"Serviço",0,IF(OR(AND(AUTOEVENTO="Manual",$M102=1),$M102&gt;(ROW(PLE.lastrow)-ROW(PLE.firstrow))),0,IF(OFFSET(PLE!$G$14,$M102,BE$13)="",10^12,OFFSET(PLE!$G$14,$M102,BE$13))))</f>
        <v>1000000000000</v>
      </c>
      <c r="BF102" s="179">
        <f ca="1">IF($D102&lt;&gt;"Serviço",0,IF(OR(AND(AUTOEVENTO="Manual",$M102=1),$M102&gt;(ROW(PLE.lastrow)-ROW(PLE.firstrow))),0,IF(OFFSET(PLE!$G$14,$M102,BF$13)="",10^12,OFFSET(PLE!$G$14,$M102,BF$13))))</f>
        <v>1000000000000</v>
      </c>
      <c r="BG102" s="179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7" t="str">
        <f t="shared" ca="1" si="10"/>
        <v>88.</v>
      </c>
      <c r="B103" s="7">
        <f ca="1">OFFSET(ORÇAMENTO!C$15,ROW(B103)-ROW(B$15),0)</f>
        <v>2</v>
      </c>
      <c r="C103" s="7" t="str">
        <f ca="1">OFFSET(ORÇAMENTO!L$15,ROW(C103)-ROW(C$15),0)</f>
        <v>F</v>
      </c>
      <c r="D103" s="115" t="str">
        <f ca="1">OFFSET(ORÇAMENTO!N$15,ROW(D103)-ROW(D$15),0)</f>
        <v>Nível 2</v>
      </c>
      <c r="E103" s="116" t="str">
        <f ca="1">OFFSET(ORÇAMENTO!O$15,ROW(E103)-ROW(E$15),0)</f>
        <v>1.14.</v>
      </c>
      <c r="F103" s="169" t="str">
        <f ca="1">OFFSET(ORÇAMENTO!R$15,ROW(F103)-ROW(F$15),0)</f>
        <v>INSTALAÇÕES ELÉTRICAS</v>
      </c>
      <c r="G103" s="170" t="str">
        <f ca="1">IF($D103&lt;&gt;"Serviço","",OFFSET(ORÇAMENTO!S$15,ROW(G103)-ROW(G$15),0))</f>
        <v/>
      </c>
      <c r="H103" s="121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558"/>
      <c r="K103" s="171"/>
      <c r="L103" s="172" t="s">
        <v>255</v>
      </c>
      <c r="M103" s="173" t="str">
        <f ca="1">IF($D103&lt;&gt;"Serviço","",IF(AUTOEVENTO="manual",$A103,IF(ISERROR(MATCH($A103,$A$15:OFFSET($A103,-1,0),0)),MAX($M$15:OFFSET(M103,-1,0))+1,INDEX($M$15:OFFSET(M103,-1,0),MATCH($A103,$A$15:OFFSET($A103,-1,0),0)))))</f>
        <v/>
      </c>
      <c r="N103" s="174" t="str">
        <f ca="1">IF($D103&lt;&gt;"Serviço","",IF(AUTOEVENTO="Manual",IF($A103=0,"&lt;-- defina o número do agrupador",OFFSET(EVENTOS!$D$14,$A103,0)),OFFSET($F$15,$A103,0)))</f>
        <v/>
      </c>
      <c r="O103" s="175"/>
      <c r="Q103" s="175"/>
      <c r="R103" s="176"/>
      <c r="S103" s="176"/>
      <c r="T103" s="176"/>
      <c r="U103" s="176"/>
      <c r="V103" s="176"/>
      <c r="W103" s="176"/>
      <c r="X103" s="176"/>
      <c r="Y103" s="176"/>
      <c r="Z103" s="177"/>
      <c r="AB103" s="541">
        <f ca="1">IF(AND($D103="Serviço",AB$12&lt;&gt;0,$H103&gt;0,OR(AUTOEVENTO&lt;&gt;"manual",$M103&lt;&gt;1)),
IF(Import.TipoArredondamento&lt;&gt;"TransfereGOV",
ROUND(OFFSET($P103,0,AB$13),15-13*ORÇAMENTO!$AF$7)/$H103*OFFSET(ORÇAMENTO!$X$15,ROW(AB103)-ROW(AB$15),0),
ROUND(ROUND(OFFSET($P103,0,AB$13),15-13*ORÇAMENTO!$AF$7)*OFFSET(ORÇAMENTO!$W$15,ROW(AB103)-ROW(AB$15),0),15-13*ORÇAMENTO!$AF$11)),0)</f>
        <v>0</v>
      </c>
      <c r="AC103" s="542">
        <f ca="1">IF(AND($D103="Serviço",AC$12&lt;&gt;0,$H103&gt;0,OR(AUTOEVENTO&lt;&gt;"manual",$M103&lt;&gt;1)),
IF(Import.TipoArredondamento&lt;&gt;"TransfereGOV",
ROUND(OFFSET($P103,0,AC$13),15-13*ORÇAMENTO!$AF$7)/$H103*OFFSET(ORÇAMENTO!$X$15,ROW(AC103)-ROW(AC$15),0),
ROUND(ROUND(OFFSET($P103,0,AC$13),15-13*ORÇAMENTO!$AF$7)*OFFSET(ORÇAMENTO!$W$15,ROW(AC103)-ROW(AC$15),0),15-13*ORÇAMENTO!$AF$11)),0)</f>
        <v>0</v>
      </c>
      <c r="AD103" s="542">
        <f ca="1">IF(AND($D103="Serviço",AD$12&lt;&gt;0,$H103&gt;0,OR(AUTOEVENTO&lt;&gt;"manual",$M103&lt;&gt;1)),
IF(Import.TipoArredondamento&lt;&gt;"TransfereGOV",
ROUND(OFFSET($P103,0,AD$13),15-13*ORÇAMENTO!$AF$7)/$H103*OFFSET(ORÇAMENTO!$X$15,ROW(AD103)-ROW(AD$15),0),
ROUND(ROUND(OFFSET($P103,0,AD$13),15-13*ORÇAMENTO!$AF$7)*OFFSET(ORÇAMENTO!$W$15,ROW(AD103)-ROW(AD$15),0),15-13*ORÇAMENTO!$AF$11)),0)</f>
        <v>0</v>
      </c>
      <c r="AE103" s="542">
        <f ca="1">IF(AND($D103="Serviço",AE$12&lt;&gt;0,$H103&gt;0,OR(AUTOEVENTO&lt;&gt;"manual",$M103&lt;&gt;1)),
IF(Import.TipoArredondamento&lt;&gt;"TransfereGOV",
ROUND(OFFSET($P103,0,AE$13),15-13*ORÇAMENTO!$AF$7)/$H103*OFFSET(ORÇAMENTO!$X$15,ROW(AE103)-ROW(AE$15),0),
ROUND(ROUND(OFFSET($P103,0,AE$13),15-13*ORÇAMENTO!$AF$7)*OFFSET(ORÇAMENTO!$W$15,ROW(AE103)-ROW(AE$15),0),15-13*ORÇAMENTO!$AF$11)),0)</f>
        <v>0</v>
      </c>
      <c r="AF103" s="542">
        <f ca="1">IF(AND($D103="Serviço",AF$12&lt;&gt;0,$H103&gt;0,OR(AUTOEVENTO&lt;&gt;"manual",$M103&lt;&gt;1)),
IF(Import.TipoArredondamento&lt;&gt;"TransfereGOV",
ROUND(OFFSET($P103,0,AF$13),15-13*ORÇAMENTO!$AF$7)/$H103*OFFSET(ORÇAMENTO!$X$15,ROW(AF103)-ROW(AF$15),0),
ROUND(ROUND(OFFSET($P103,0,AF$13),15-13*ORÇAMENTO!$AF$7)*OFFSET(ORÇAMENTO!$W$15,ROW(AF103)-ROW(AF$15),0),15-13*ORÇAMENTO!$AF$11)),0)</f>
        <v>0</v>
      </c>
      <c r="AG103" s="542">
        <f ca="1">IF(AND($D103="Serviço",AG$12&lt;&gt;0,$H103&gt;0,OR(AUTOEVENTO&lt;&gt;"manual",$M103&lt;&gt;1)),
IF(Import.TipoArredondamento&lt;&gt;"TransfereGOV",
ROUND(OFFSET($P103,0,AG$13),15-13*ORÇAMENTO!$AF$7)/$H103*OFFSET(ORÇAMENTO!$X$15,ROW(AG103)-ROW(AG$15),0),
ROUND(ROUND(OFFSET($P103,0,AG$13),15-13*ORÇAMENTO!$AF$7)*OFFSET(ORÇAMENTO!$W$15,ROW(AG103)-ROW(AG$15),0),15-13*ORÇAMENTO!$AF$11)),0)</f>
        <v>0</v>
      </c>
      <c r="AH103" s="542">
        <f ca="1">IF(AND($D103="Serviço",AH$12&lt;&gt;0,$H103&gt;0,OR(AUTOEVENTO&lt;&gt;"manual",$M103&lt;&gt;1)),
IF(Import.TipoArredondamento&lt;&gt;"TransfereGOV",
ROUND(OFFSET($P103,0,AH$13),15-13*ORÇAMENTO!$AF$7)/$H103*OFFSET(ORÇAMENTO!$X$15,ROW(AH103)-ROW(AH$15),0),
ROUND(ROUND(OFFSET($P103,0,AH$13),15-13*ORÇAMENTO!$AF$7)*OFFSET(ORÇAMENTO!$W$15,ROW(AH103)-ROW(AH$15),0),15-13*ORÇAMENTO!$AF$11)),0)</f>
        <v>0</v>
      </c>
      <c r="AI103" s="542">
        <f ca="1">IF(AND($D103="Serviço",AI$12&lt;&gt;0,$H103&gt;0,OR(AUTOEVENTO&lt;&gt;"manual",$M103&lt;&gt;1)),
IF(Import.TipoArredondamento&lt;&gt;"TransfereGOV",
ROUND(OFFSET($P103,0,AI$13),15-13*ORÇAMENTO!$AF$7)/$H103*OFFSET(ORÇAMENTO!$X$15,ROW(AI103)-ROW(AI$15),0),
ROUND(ROUND(OFFSET($P103,0,AI$13),15-13*ORÇAMENTO!$AF$7)*OFFSET(ORÇAMENTO!$W$15,ROW(AI103)-ROW(AI$15),0),15-13*ORÇAMENTO!$AF$11)),0)</f>
        <v>0</v>
      </c>
      <c r="AJ103" s="542">
        <f ca="1">IF(AND($D103="Serviço",AJ$12&lt;&gt;0,$H103&gt;0,OR(AUTOEVENTO&lt;&gt;"manual",$M103&lt;&gt;1)),
IF(Import.TipoArredondamento&lt;&gt;"TransfereGOV",
ROUND(OFFSET($P103,0,AJ$13),15-13*ORÇAMENTO!$AF$7)/$H103*OFFSET(ORÇAMENTO!$X$15,ROW(AJ103)-ROW(AJ$15),0),
ROUND(ROUND(OFFSET($P103,0,AJ$13),15-13*ORÇAMENTO!$AF$7)*OFFSET(ORÇAMENTO!$W$15,ROW(AJ103)-ROW(AJ$15),0),15-13*ORÇAMENTO!$AF$11)),0)</f>
        <v>0</v>
      </c>
      <c r="AK103" s="543">
        <f ca="1">IF(AND($D103="Serviço",AK$12&lt;&gt;0,$H103&gt;0,OR(AUTOEVENTO&lt;&gt;"manual",$M103&lt;&gt;1)),
IF(Import.TipoArredondamento&lt;&gt;"TransfereGOV",
ROUND(OFFSET($P103,0,AK$13),15-13*ORÇAMENTO!$AF$7)/$H103*OFFSET(ORÇAMENTO!$X$15,ROW(AK103)-ROW(AK$15),0),
ROUND(ROUND(OFFSET($P103,0,AK$13),15-13*ORÇAMENTO!$AF$7)*OFFSET(ORÇAMENTO!$W$15,ROW(AK103)-ROW(AK$15),0),15-13*ORÇAMENTO!$AF$11)),0)</f>
        <v>0</v>
      </c>
      <c r="AM103" s="178">
        <f ca="1">IF($D103&lt;&gt;"Serviço",0,IF(AND(AUTOEVENTO="Manual",$M103=1),0,IF(OFFSET(CRONOPLE!$F$14,$M103,AM$13)="",10^12,OFFSET(CRONOPLE!$F$14,$M103,AM$13))))</f>
        <v>0</v>
      </c>
      <c r="AN103" s="178">
        <f ca="1">IF($D103&lt;&gt;"Serviço",0,IF(AND(AUTOEVENTO="Manual",$M103=1),0,IF(OFFSET(CRONOPLE!$F$14,$M103,AN$13)="",10^12,OFFSET(CRONOPLE!$F$14,$M103,AN$13))))</f>
        <v>0</v>
      </c>
      <c r="AO103" s="178">
        <f ca="1">IF($D103&lt;&gt;"Serviço",0,IF(AND(AUTOEVENTO="Manual",$M103=1),0,IF(OFFSET(CRONOPLE!$F$14,$M103,AO$13)="",10^12,OFFSET(CRONOPLE!$F$14,$M103,AO$13))))</f>
        <v>0</v>
      </c>
      <c r="AP103" s="178">
        <f ca="1">IF($D103&lt;&gt;"Serviço",0,IF(AND(AUTOEVENTO="Manual",$M103=1),0,IF(OFFSET(CRONOPLE!$F$14,$M103,AP$13)="",10^12,OFFSET(CRONOPLE!$F$14,$M103,AP$13))))</f>
        <v>0</v>
      </c>
      <c r="AQ103" s="178">
        <f ca="1">IF($D103&lt;&gt;"Serviço",0,IF(AND(AUTOEVENTO="Manual",$M103=1),0,IF(OFFSET(CRONOPLE!$F$14,$M103,AQ$13)="",10^12,OFFSET(CRONOPLE!$F$14,$M103,AQ$13))))</f>
        <v>0</v>
      </c>
      <c r="AR103" s="178">
        <f ca="1">IF($D103&lt;&gt;"Serviço",0,IF(AND(AUTOEVENTO="Manual",$M103=1),0,IF(OFFSET(CRONOPLE!$F$14,$M103,AR$13)="",10^12,OFFSET(CRONOPLE!$F$14,$M103,AR$13))))</f>
        <v>0</v>
      </c>
      <c r="AS103" s="178">
        <f ca="1">IF($D103&lt;&gt;"Serviço",0,IF(AND(AUTOEVENTO="Manual",$M103=1),0,IF(OFFSET(CRONOPLE!$F$14,$M103,AS$13)="",10^12,OFFSET(CRONOPLE!$F$14,$M103,AS$13))))</f>
        <v>0</v>
      </c>
      <c r="AT103" s="178">
        <f ca="1">IF($D103&lt;&gt;"Serviço",0,IF(AND(AUTOEVENTO="Manual",$M103=1),0,IF(OFFSET(CRONOPLE!$F$14,$M103,AT$13)="",10^12,OFFSET(CRONOPLE!$F$14,$M103,AT$13))))</f>
        <v>0</v>
      </c>
      <c r="AU103" s="178">
        <f ca="1">IF($D103&lt;&gt;"Serviço",0,IF(AND(AUTOEVENTO="Manual",$M103=1),0,IF(OFFSET(CRONOPLE!$F$14,$M103,AU$13)="",10^12,OFFSET(CRONOPLE!$F$14,$M103,AU$13))))</f>
        <v>0</v>
      </c>
      <c r="AV103" s="178">
        <f ca="1">IF($D103&lt;&gt;"Serviço",0,IF(AND(AUTOEVENTO="Manual",$M103=1),0,IF(OFFSET(CRONOPLE!$F$14,$M103,AV$13)="",10^12,OFFSET(CRONOPLE!$F$14,$M103,AV$13))))</f>
        <v>0</v>
      </c>
      <c r="AX103" s="179">
        <f ca="1">IF($D103&lt;&gt;"Serviço",0,IF(OR(AND(AUTOEVENTO="Manual",$M103=1),$M103&gt;(ROW(PLE.lastrow)-ROW(PLE.firstrow))),0,IF(OFFSET(PLE!$G$14,$M103,AX$13)="",10^12,OFFSET(PLE!$G$14,$M103,AX$13))))</f>
        <v>0</v>
      </c>
      <c r="AY103" s="179">
        <f ca="1">IF($D103&lt;&gt;"Serviço",0,IF(OR(AND(AUTOEVENTO="Manual",$M103=1),$M103&gt;(ROW(PLE.lastrow)-ROW(PLE.firstrow))),0,IF(OFFSET(PLE!$G$14,$M103,AY$13)="",10^12,OFFSET(PLE!$G$14,$M103,AY$13))))</f>
        <v>0</v>
      </c>
      <c r="AZ103" s="179">
        <f ca="1">IF($D103&lt;&gt;"Serviço",0,IF(OR(AND(AUTOEVENTO="Manual",$M103=1),$M103&gt;(ROW(PLE.lastrow)-ROW(PLE.firstrow))),0,IF(OFFSET(PLE!$G$14,$M103,AZ$13)="",10^12,OFFSET(PLE!$G$14,$M103,AZ$13))))</f>
        <v>0</v>
      </c>
      <c r="BA103" s="179">
        <f ca="1">IF($D103&lt;&gt;"Serviço",0,IF(OR(AND(AUTOEVENTO="Manual",$M103=1),$M103&gt;(ROW(PLE.lastrow)-ROW(PLE.firstrow))),0,IF(OFFSET(PLE!$G$14,$M103,BA$13)="",10^12,OFFSET(PLE!$G$14,$M103,BA$13))))</f>
        <v>0</v>
      </c>
      <c r="BB103" s="179">
        <f ca="1">IF($D103&lt;&gt;"Serviço",0,IF(OR(AND(AUTOEVENTO="Manual",$M103=1),$M103&gt;(ROW(PLE.lastrow)-ROW(PLE.firstrow))),0,IF(OFFSET(PLE!$G$14,$M103,BB$13)="",10^12,OFFSET(PLE!$G$14,$M103,BB$13))))</f>
        <v>0</v>
      </c>
      <c r="BC103" s="179">
        <f ca="1">IF($D103&lt;&gt;"Serviço",0,IF(OR(AND(AUTOEVENTO="Manual",$M103=1),$M103&gt;(ROW(PLE.lastrow)-ROW(PLE.firstrow))),0,IF(OFFSET(PLE!$G$14,$M103,BC$13)="",10^12,OFFSET(PLE!$G$14,$M103,BC$13))))</f>
        <v>0</v>
      </c>
      <c r="BD103" s="179">
        <f ca="1">IF($D103&lt;&gt;"Serviço",0,IF(OR(AND(AUTOEVENTO="Manual",$M103=1),$M103&gt;(ROW(PLE.lastrow)-ROW(PLE.firstrow))),0,IF(OFFSET(PLE!$G$14,$M103,BD$13)="",10^12,OFFSET(PLE!$G$14,$M103,BD$13))))</f>
        <v>0</v>
      </c>
      <c r="BE103" s="179">
        <f ca="1">IF($D103&lt;&gt;"Serviço",0,IF(OR(AND(AUTOEVENTO="Manual",$M103=1),$M103&gt;(ROW(PLE.lastrow)-ROW(PLE.firstrow))),0,IF(OFFSET(PLE!$G$14,$M103,BE$13)="",10^12,OFFSET(PLE!$G$14,$M103,BE$13))))</f>
        <v>0</v>
      </c>
      <c r="BF103" s="179">
        <f ca="1">IF($D103&lt;&gt;"Serviço",0,IF(OR(AND(AUTOEVENTO="Manual",$M103=1),$M103&gt;(ROW(PLE.lastrow)-ROW(PLE.firstrow))),0,IF(OFFSET(PLE!$G$14,$M103,BF$13)="",10^12,OFFSET(PLE!$G$14,$M103,BF$13))))</f>
        <v>0</v>
      </c>
      <c r="BG103" s="179">
        <f ca="1">IF($D103&lt;&gt;"Serviço",0,IF(OR(AND(AUTOEVENTO="Manual",$M103=1),$M103&gt;(ROW(PLE.lastrow)-ROW(PLE.firstrow))),0,IF(OFFSET(PLE!$G$14,$M103,BG$13)="",10^12,OFFSET(PLE!$G$14,$M103,BG$13))))</f>
        <v>0</v>
      </c>
    </row>
    <row r="104" spans="1:59" ht="38.25" x14ac:dyDescent="0.2">
      <c r="A104" s="7" t="str">
        <f t="shared" ca="1" si="10"/>
        <v>88</v>
      </c>
      <c r="B104" s="7" t="str">
        <f ca="1">OFFSET(ORÇAMENTO!C$15,ROW(B104)-ROW(B$15),0)</f>
        <v>S</v>
      </c>
      <c r="C104" s="7" t="str">
        <f ca="1">OFFSET(ORÇAMENTO!L$15,ROW(C104)-ROW(C$15),0)</f>
        <v/>
      </c>
      <c r="D104" s="115" t="str">
        <f ca="1">OFFSET(ORÇAMENTO!N$15,ROW(D104)-ROW(D$15),0)</f>
        <v>Serviço</v>
      </c>
      <c r="E104" s="116" t="str">
        <f ca="1">OFFSET(ORÇAMENTO!O$15,ROW(E104)-ROW(E$15),0)</f>
        <v>-</v>
      </c>
      <c r="F104" s="169" t="str">
        <f ca="1">OFFSET(ORÇAMENTO!R$15,ROW(F104)-ROW(F$15),0)</f>
        <v>(abra o arquivo 'Referência 10-2024.xlsm)</v>
      </c>
      <c r="G104" s="170" t="str">
        <f ca="1">IF($D104&lt;&gt;"Serviço","",OFFSET(ORÇAMENTO!S$15,ROW(G104)-ROW(G$15),0))</f>
        <v>-</v>
      </c>
      <c r="H104" s="121">
        <f ca="1">IF($D104&lt;&gt;"Serviço",0,IF(ACOMPANHAMENTO="BM",ROUND(OFFSET(ORÇAMENTO!AJ$15,ROW(H104)-ROW(H$15),0),15-13*ORÇAMENTO!$AF$7),SUMPRODUCT(($Q$12:$AA$12&lt;&gt;"")*ROUND($Q104:$AA104,15-13*ORÇAMENTO!$AF$7))))</f>
        <v>1</v>
      </c>
      <c r="I104" s="558" t="s">
        <v>561</v>
      </c>
      <c r="K104" s="171"/>
      <c r="L104" s="172" t="s">
        <v>255</v>
      </c>
      <c r="M104" s="173">
        <f ca="1">IF($D104&lt;&gt;"Serviço","",IF(AUTOEVENTO="manual",$A104,IF(ISERROR(MATCH($A104,$A$15:OFFSET($A104,-1,0),0)),MAX($M$15:OFFSET(M104,-1,0))+1,INDEX($M$15:OFFSET(M104,-1,0),MATCH($A104,$A$15:OFFSET($A104,-1,0),0)))))</f>
        <v>15</v>
      </c>
      <c r="N104" s="174" t="str">
        <f ca="1">IF($D104&lt;&gt;"Serviço","",IF(AUTOEVENTO="Manual",IF($A104=0,"&lt;-- defina o número do agrupador",OFFSET(EVENTOS!$D$14,$A104,0)),OFFSET($F$15,$A104,0)))</f>
        <v>INSTALAÇÕES ELÉTRICAS</v>
      </c>
      <c r="O104" s="175"/>
      <c r="Q104" s="175"/>
      <c r="R104" s="176"/>
      <c r="S104" s="176"/>
      <c r="T104" s="176"/>
      <c r="U104" s="176"/>
      <c r="V104" s="176"/>
      <c r="W104" s="176"/>
      <c r="X104" s="176"/>
      <c r="Y104" s="176"/>
      <c r="Z104" s="177"/>
      <c r="AB104" s="541">
        <f ca="1">IF(AND($D104="Serviço",AB$12&lt;&gt;0,$H104&gt;0,OR(AUTOEVENTO&lt;&gt;"manual",$M104&lt;&gt;1)),
IF(Import.TipoArredondamento&lt;&gt;"TransfereGOV",
ROUND(OFFSET($P104,0,AB$13),15-13*ORÇAMENTO!$AF$7)/$H104*OFFSET(ORÇAMENTO!$X$15,ROW(AB104)-ROW(AB$15),0),
ROUND(ROUND(OFFSET($P104,0,AB$13),15-13*ORÇAMENTO!$AF$7)*OFFSET(ORÇAMENTO!$W$15,ROW(AB104)-ROW(AB$15),0),15-13*ORÇAMENTO!$AF$11)),0)</f>
        <v>0</v>
      </c>
      <c r="AC104" s="542">
        <f ca="1">IF(AND($D104="Serviço",AC$12&lt;&gt;0,$H104&gt;0,OR(AUTOEVENTO&lt;&gt;"manual",$M104&lt;&gt;1)),
IF(Import.TipoArredondamento&lt;&gt;"TransfereGOV",
ROUND(OFFSET($P104,0,AC$13),15-13*ORÇAMENTO!$AF$7)/$H104*OFFSET(ORÇAMENTO!$X$15,ROW(AC104)-ROW(AC$15),0),
ROUND(ROUND(OFFSET($P104,0,AC$13),15-13*ORÇAMENTO!$AF$7)*OFFSET(ORÇAMENTO!$W$15,ROW(AC104)-ROW(AC$15),0),15-13*ORÇAMENTO!$AF$11)),0)</f>
        <v>0</v>
      </c>
      <c r="AD104" s="542">
        <f ca="1">IF(AND($D104="Serviço",AD$12&lt;&gt;0,$H104&gt;0,OR(AUTOEVENTO&lt;&gt;"manual",$M104&lt;&gt;1)),
IF(Import.TipoArredondamento&lt;&gt;"TransfereGOV",
ROUND(OFFSET($P104,0,AD$13),15-13*ORÇAMENTO!$AF$7)/$H104*OFFSET(ORÇAMENTO!$X$15,ROW(AD104)-ROW(AD$15),0),
ROUND(ROUND(OFFSET($P104,0,AD$13),15-13*ORÇAMENTO!$AF$7)*OFFSET(ORÇAMENTO!$W$15,ROW(AD104)-ROW(AD$15),0),15-13*ORÇAMENTO!$AF$11)),0)</f>
        <v>0</v>
      </c>
      <c r="AE104" s="542">
        <f ca="1">IF(AND($D104="Serviço",AE$12&lt;&gt;0,$H104&gt;0,OR(AUTOEVENTO&lt;&gt;"manual",$M104&lt;&gt;1)),
IF(Import.TipoArredondamento&lt;&gt;"TransfereGOV",
ROUND(OFFSET($P104,0,AE$13),15-13*ORÇAMENTO!$AF$7)/$H104*OFFSET(ORÇAMENTO!$X$15,ROW(AE104)-ROW(AE$15),0),
ROUND(ROUND(OFFSET($P104,0,AE$13),15-13*ORÇAMENTO!$AF$7)*OFFSET(ORÇAMENTO!$W$15,ROW(AE104)-ROW(AE$15),0),15-13*ORÇAMENTO!$AF$11)),0)</f>
        <v>0</v>
      </c>
      <c r="AF104" s="542">
        <f ca="1">IF(AND($D104="Serviço",AF$12&lt;&gt;0,$H104&gt;0,OR(AUTOEVENTO&lt;&gt;"manual",$M104&lt;&gt;1)),
IF(Import.TipoArredondamento&lt;&gt;"TransfereGOV",
ROUND(OFFSET($P104,0,AF$13),15-13*ORÇAMENTO!$AF$7)/$H104*OFFSET(ORÇAMENTO!$X$15,ROW(AF104)-ROW(AF$15),0),
ROUND(ROUND(OFFSET($P104,0,AF$13),15-13*ORÇAMENTO!$AF$7)*OFFSET(ORÇAMENTO!$W$15,ROW(AF104)-ROW(AF$15),0),15-13*ORÇAMENTO!$AF$11)),0)</f>
        <v>0</v>
      </c>
      <c r="AG104" s="542">
        <f ca="1">IF(AND($D104="Serviço",AG$12&lt;&gt;0,$H104&gt;0,OR(AUTOEVENTO&lt;&gt;"manual",$M104&lt;&gt;1)),
IF(Import.TipoArredondamento&lt;&gt;"TransfereGOV",
ROUND(OFFSET($P104,0,AG$13),15-13*ORÇAMENTO!$AF$7)/$H104*OFFSET(ORÇAMENTO!$X$15,ROW(AG104)-ROW(AG$15),0),
ROUND(ROUND(OFFSET($P104,0,AG$13),15-13*ORÇAMENTO!$AF$7)*OFFSET(ORÇAMENTO!$W$15,ROW(AG104)-ROW(AG$15),0),15-13*ORÇAMENTO!$AF$11)),0)</f>
        <v>0</v>
      </c>
      <c r="AH104" s="542">
        <f ca="1">IF(AND($D104="Serviço",AH$12&lt;&gt;0,$H104&gt;0,OR(AUTOEVENTO&lt;&gt;"manual",$M104&lt;&gt;1)),
IF(Import.TipoArredondamento&lt;&gt;"TransfereGOV",
ROUND(OFFSET($P104,0,AH$13),15-13*ORÇAMENTO!$AF$7)/$H104*OFFSET(ORÇAMENTO!$X$15,ROW(AH104)-ROW(AH$15),0),
ROUND(ROUND(OFFSET($P104,0,AH$13),15-13*ORÇAMENTO!$AF$7)*OFFSET(ORÇAMENTO!$W$15,ROW(AH104)-ROW(AH$15),0),15-13*ORÇAMENTO!$AF$11)),0)</f>
        <v>0</v>
      </c>
      <c r="AI104" s="542">
        <f ca="1">IF(AND($D104="Serviço",AI$12&lt;&gt;0,$H104&gt;0,OR(AUTOEVENTO&lt;&gt;"manual",$M104&lt;&gt;1)),
IF(Import.TipoArredondamento&lt;&gt;"TransfereGOV",
ROUND(OFFSET($P104,0,AI$13),15-13*ORÇAMENTO!$AF$7)/$H104*OFFSET(ORÇAMENTO!$X$15,ROW(AI104)-ROW(AI$15),0),
ROUND(ROUND(OFFSET($P104,0,AI$13),15-13*ORÇAMENTO!$AF$7)*OFFSET(ORÇAMENTO!$W$15,ROW(AI104)-ROW(AI$15),0),15-13*ORÇAMENTO!$AF$11)),0)</f>
        <v>0</v>
      </c>
      <c r="AJ104" s="542">
        <f ca="1">IF(AND($D104="Serviço",AJ$12&lt;&gt;0,$H104&gt;0,OR(AUTOEVENTO&lt;&gt;"manual",$M104&lt;&gt;1)),
IF(Import.TipoArredondamento&lt;&gt;"TransfereGOV",
ROUND(OFFSET($P104,0,AJ$13),15-13*ORÇAMENTO!$AF$7)/$H104*OFFSET(ORÇAMENTO!$X$15,ROW(AJ104)-ROW(AJ$15),0),
ROUND(ROUND(OFFSET($P104,0,AJ$13),15-13*ORÇAMENTO!$AF$7)*OFFSET(ORÇAMENTO!$W$15,ROW(AJ104)-ROW(AJ$15),0),15-13*ORÇAMENTO!$AF$11)),0)</f>
        <v>0</v>
      </c>
      <c r="AK104" s="543">
        <f ca="1">IF(AND($D104="Serviço",AK$12&lt;&gt;0,$H104&gt;0,OR(AUTOEVENTO&lt;&gt;"manual",$M104&lt;&gt;1)),
IF(Import.TipoArredondamento&lt;&gt;"TransfereGOV",
ROUND(OFFSET($P104,0,AK$13),15-13*ORÇAMENTO!$AF$7)/$H104*OFFSET(ORÇAMENTO!$X$15,ROW(AK104)-ROW(AK$15),0),
ROUND(ROUND(OFFSET($P104,0,AK$13),15-13*ORÇAMENTO!$AF$7)*OFFSET(ORÇAMENTO!$W$15,ROW(AK104)-ROW(AK$15),0),15-13*ORÇAMENTO!$AF$11)),0)</f>
        <v>0</v>
      </c>
      <c r="AM104" s="178">
        <f ca="1">IF($D104&lt;&gt;"Serviço",0,IF(AND(AUTOEVENTO="Manual",$M104=1),0,IF(OFFSET(CRONOPLE!$F$14,$M104,AM$13)="",10^12,OFFSET(CRONOPLE!$F$14,$M104,AM$13))))</f>
        <v>1000000000000</v>
      </c>
      <c r="AN104" s="178">
        <f ca="1">IF($D104&lt;&gt;"Serviço",0,IF(AND(AUTOEVENTO="Manual",$M104=1),0,IF(OFFSET(CRONOPLE!$F$14,$M104,AN$13)="",10^12,OFFSET(CRONOPLE!$F$14,$M104,AN$13))))</f>
        <v>1000000000000</v>
      </c>
      <c r="AO104" s="178">
        <f ca="1">IF($D104&lt;&gt;"Serviço",0,IF(AND(AUTOEVENTO="Manual",$M104=1),0,IF(OFFSET(CRONOPLE!$F$14,$M104,AO$13)="",10^12,OFFSET(CRONOPLE!$F$14,$M104,AO$13))))</f>
        <v>1000000000000</v>
      </c>
      <c r="AP104" s="178">
        <f ca="1">IF($D104&lt;&gt;"Serviço",0,IF(AND(AUTOEVENTO="Manual",$M104=1),0,IF(OFFSET(CRONOPLE!$F$14,$M104,AP$13)="",10^12,OFFSET(CRONOPLE!$F$14,$M104,AP$13))))</f>
        <v>1000000000000</v>
      </c>
      <c r="AQ104" s="178">
        <f ca="1">IF($D104&lt;&gt;"Serviço",0,IF(AND(AUTOEVENTO="Manual",$M104=1),0,IF(OFFSET(CRONOPLE!$F$14,$M104,AQ$13)="",10^12,OFFSET(CRONOPLE!$F$14,$M104,AQ$13))))</f>
        <v>1000000000000</v>
      </c>
      <c r="AR104" s="178">
        <f ca="1">IF($D104&lt;&gt;"Serviço",0,IF(AND(AUTOEVENTO="Manual",$M104=1),0,IF(OFFSET(CRONOPLE!$F$14,$M104,AR$13)="",10^12,OFFSET(CRONOPLE!$F$14,$M104,AR$13))))</f>
        <v>1000000000000</v>
      </c>
      <c r="AS104" s="178">
        <f ca="1">IF($D104&lt;&gt;"Serviço",0,IF(AND(AUTOEVENTO="Manual",$M104=1),0,IF(OFFSET(CRONOPLE!$F$14,$M104,AS$13)="",10^12,OFFSET(CRONOPLE!$F$14,$M104,AS$13))))</f>
        <v>1000000000000</v>
      </c>
      <c r="AT104" s="178">
        <f ca="1">IF($D104&lt;&gt;"Serviço",0,IF(AND(AUTOEVENTO="Manual",$M104=1),0,IF(OFFSET(CRONOPLE!$F$14,$M104,AT$13)="",10^12,OFFSET(CRONOPLE!$F$14,$M104,AT$13))))</f>
        <v>1000000000000</v>
      </c>
      <c r="AU104" s="178">
        <f ca="1">IF($D104&lt;&gt;"Serviço",0,IF(AND(AUTOEVENTO="Manual",$M104=1),0,IF(OFFSET(CRONOPLE!$F$14,$M104,AU$13)="",10^12,OFFSET(CRONOPLE!$F$14,$M104,AU$13))))</f>
        <v>1000000000000</v>
      </c>
      <c r="AV104" s="178">
        <f ca="1">IF($D104&lt;&gt;"Serviço",0,IF(AND(AUTOEVENTO="Manual",$M104=1),0,IF(OFFSET(CRONOPLE!$F$14,$M104,AV$13)="",10^12,OFFSET(CRONOPLE!$F$14,$M104,AV$13))))</f>
        <v>1000000000000</v>
      </c>
      <c r="AX104" s="179">
        <f ca="1">IF($D104&lt;&gt;"Serviço",0,IF(OR(AND(AUTOEVENTO="Manual",$M104=1),$M104&gt;(ROW(PLE.lastrow)-ROW(PLE.firstrow))),0,IF(OFFSET(PLE!$G$14,$M104,AX$13)="",10^12,OFFSET(PLE!$G$14,$M104,AX$13))))</f>
        <v>1000000000000</v>
      </c>
      <c r="AY104" s="179">
        <f ca="1">IF($D104&lt;&gt;"Serviço",0,IF(OR(AND(AUTOEVENTO="Manual",$M104=1),$M104&gt;(ROW(PLE.lastrow)-ROW(PLE.firstrow))),0,IF(OFFSET(PLE!$G$14,$M104,AY$13)="",10^12,OFFSET(PLE!$G$14,$M104,AY$13))))</f>
        <v>1000000000000</v>
      </c>
      <c r="AZ104" s="179">
        <f ca="1">IF($D104&lt;&gt;"Serviço",0,IF(OR(AND(AUTOEVENTO="Manual",$M104=1),$M104&gt;(ROW(PLE.lastrow)-ROW(PLE.firstrow))),0,IF(OFFSET(PLE!$G$14,$M104,AZ$13)="",10^12,OFFSET(PLE!$G$14,$M104,AZ$13))))</f>
        <v>1000000000000</v>
      </c>
      <c r="BA104" s="179">
        <f ca="1">IF($D104&lt;&gt;"Serviço",0,IF(OR(AND(AUTOEVENTO="Manual",$M104=1),$M104&gt;(ROW(PLE.lastrow)-ROW(PLE.firstrow))),0,IF(OFFSET(PLE!$G$14,$M104,BA$13)="",10^12,OFFSET(PLE!$G$14,$M104,BA$13))))</f>
        <v>1000000000000</v>
      </c>
      <c r="BB104" s="179">
        <f ca="1">IF($D104&lt;&gt;"Serviço",0,IF(OR(AND(AUTOEVENTO="Manual",$M104=1),$M104&gt;(ROW(PLE.lastrow)-ROW(PLE.firstrow))),0,IF(OFFSET(PLE!$G$14,$M104,BB$13)="",10^12,OFFSET(PLE!$G$14,$M104,BB$13))))</f>
        <v>1000000000000</v>
      </c>
      <c r="BC104" s="179">
        <f ca="1">IF($D104&lt;&gt;"Serviço",0,IF(OR(AND(AUTOEVENTO="Manual",$M104=1),$M104&gt;(ROW(PLE.lastrow)-ROW(PLE.firstrow))),0,IF(OFFSET(PLE!$G$14,$M104,BC$13)="",10^12,OFFSET(PLE!$G$14,$M104,BC$13))))</f>
        <v>1000000000000</v>
      </c>
      <c r="BD104" s="179">
        <f ca="1">IF($D104&lt;&gt;"Serviço",0,IF(OR(AND(AUTOEVENTO="Manual",$M104=1),$M104&gt;(ROW(PLE.lastrow)-ROW(PLE.firstrow))),0,IF(OFFSET(PLE!$G$14,$M104,BD$13)="",10^12,OFFSET(PLE!$G$14,$M104,BD$13))))</f>
        <v>1000000000000</v>
      </c>
      <c r="BE104" s="179">
        <f ca="1">IF($D104&lt;&gt;"Serviço",0,IF(OR(AND(AUTOEVENTO="Manual",$M104=1),$M104&gt;(ROW(PLE.lastrow)-ROW(PLE.firstrow))),0,IF(OFFSET(PLE!$G$14,$M104,BE$13)="",10^12,OFFSET(PLE!$G$14,$M104,BE$13))))</f>
        <v>1000000000000</v>
      </c>
      <c r="BF104" s="179">
        <f ca="1">IF($D104&lt;&gt;"Serviço",0,IF(OR(AND(AUTOEVENTO="Manual",$M104=1),$M104&gt;(ROW(PLE.lastrow)-ROW(PLE.firstrow))),0,IF(OFFSET(PLE!$G$14,$M104,BF$13)="",10^12,OFFSET(PLE!$G$14,$M104,BF$13))))</f>
        <v>1000000000000</v>
      </c>
      <c r="BG104" s="179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38.25" x14ac:dyDescent="0.2">
      <c r="A105" s="7" t="str">
        <f t="shared" ca="1" si="10"/>
        <v>88</v>
      </c>
      <c r="B105" s="7" t="str">
        <f ca="1">OFFSET(ORÇAMENTO!C$15,ROW(B105)-ROW(B$15),0)</f>
        <v>S</v>
      </c>
      <c r="C105" s="7" t="str">
        <f ca="1">OFFSET(ORÇAMENTO!L$15,ROW(C105)-ROW(C$15),0)</f>
        <v/>
      </c>
      <c r="D105" s="115" t="str">
        <f ca="1">OFFSET(ORÇAMENTO!N$15,ROW(D105)-ROW(D$15),0)</f>
        <v>Serviço</v>
      </c>
      <c r="E105" s="116" t="str">
        <f ca="1">OFFSET(ORÇAMENTO!O$15,ROW(E105)-ROW(E$15),0)</f>
        <v>-</v>
      </c>
      <c r="F105" s="169" t="str">
        <f ca="1">OFFSET(ORÇAMENTO!R$15,ROW(F105)-ROW(F$15),0)</f>
        <v>(abra o arquivo 'Referência 10-2024.xlsm)</v>
      </c>
      <c r="G105" s="170" t="str">
        <f ca="1">IF($D105&lt;&gt;"Serviço","",OFFSET(ORÇAMENTO!S$15,ROW(G105)-ROW(G$15),0))</f>
        <v>-</v>
      </c>
      <c r="H105" s="121">
        <f ca="1">IF($D105&lt;&gt;"Serviço",0,IF(ACOMPANHAMENTO="BM",ROUND(OFFSET(ORÇAMENTO!AJ$15,ROW(H105)-ROW(H$15),0),15-13*ORÇAMENTO!$AF$7),SUMPRODUCT(($Q$12:$AA$12&lt;&gt;"")*ROUND($Q105:$AA105,15-13*ORÇAMENTO!$AF$7))))</f>
        <v>60</v>
      </c>
      <c r="I105" s="558" t="s">
        <v>561</v>
      </c>
      <c r="K105" s="171"/>
      <c r="L105" s="172" t="s">
        <v>255</v>
      </c>
      <c r="M105" s="173">
        <f ca="1">IF($D105&lt;&gt;"Serviço","",IF(AUTOEVENTO="manual",$A105,IF(ISERROR(MATCH($A105,$A$15:OFFSET($A105,-1,0),0)),MAX($M$15:OFFSET(M105,-1,0))+1,INDEX($M$15:OFFSET(M105,-1,0),MATCH($A105,$A$15:OFFSET($A105,-1,0),0)))))</f>
        <v>15</v>
      </c>
      <c r="N105" s="174" t="str">
        <f ca="1">IF($D105&lt;&gt;"Serviço","",IF(AUTOEVENTO="Manual",IF($A105=0,"&lt;-- defina o número do agrupador",OFFSET(EVENTOS!$D$14,$A105,0)),OFFSET($F$15,$A105,0)))</f>
        <v>INSTALAÇÕES ELÉTRICAS</v>
      </c>
      <c r="O105" s="175"/>
      <c r="Q105" s="175"/>
      <c r="R105" s="176"/>
      <c r="S105" s="176"/>
      <c r="T105" s="176"/>
      <c r="U105" s="176"/>
      <c r="V105" s="176"/>
      <c r="W105" s="176"/>
      <c r="X105" s="176"/>
      <c r="Y105" s="176"/>
      <c r="Z105" s="177"/>
      <c r="AB105" s="541">
        <f ca="1">IF(AND($D105="Serviço",AB$12&lt;&gt;0,$H105&gt;0,OR(AUTOEVENTO&lt;&gt;"manual",$M105&lt;&gt;1)),
IF(Import.TipoArredondamento&lt;&gt;"TransfereGOV",
ROUND(OFFSET($P105,0,AB$13),15-13*ORÇAMENTO!$AF$7)/$H105*OFFSET(ORÇAMENTO!$X$15,ROW(AB105)-ROW(AB$15),0),
ROUND(ROUND(OFFSET($P105,0,AB$13),15-13*ORÇAMENTO!$AF$7)*OFFSET(ORÇAMENTO!$W$15,ROW(AB105)-ROW(AB$15),0),15-13*ORÇAMENTO!$AF$11)),0)</f>
        <v>0</v>
      </c>
      <c r="AC105" s="542">
        <f ca="1">IF(AND($D105="Serviço",AC$12&lt;&gt;0,$H105&gt;0,OR(AUTOEVENTO&lt;&gt;"manual",$M105&lt;&gt;1)),
IF(Import.TipoArredondamento&lt;&gt;"TransfereGOV",
ROUND(OFFSET($P105,0,AC$13),15-13*ORÇAMENTO!$AF$7)/$H105*OFFSET(ORÇAMENTO!$X$15,ROW(AC105)-ROW(AC$15),0),
ROUND(ROUND(OFFSET($P105,0,AC$13),15-13*ORÇAMENTO!$AF$7)*OFFSET(ORÇAMENTO!$W$15,ROW(AC105)-ROW(AC$15),0),15-13*ORÇAMENTO!$AF$11)),0)</f>
        <v>0</v>
      </c>
      <c r="AD105" s="542">
        <f ca="1">IF(AND($D105="Serviço",AD$12&lt;&gt;0,$H105&gt;0,OR(AUTOEVENTO&lt;&gt;"manual",$M105&lt;&gt;1)),
IF(Import.TipoArredondamento&lt;&gt;"TransfereGOV",
ROUND(OFFSET($P105,0,AD$13),15-13*ORÇAMENTO!$AF$7)/$H105*OFFSET(ORÇAMENTO!$X$15,ROW(AD105)-ROW(AD$15),0),
ROUND(ROUND(OFFSET($P105,0,AD$13),15-13*ORÇAMENTO!$AF$7)*OFFSET(ORÇAMENTO!$W$15,ROW(AD105)-ROW(AD$15),0),15-13*ORÇAMENTO!$AF$11)),0)</f>
        <v>0</v>
      </c>
      <c r="AE105" s="542">
        <f ca="1">IF(AND($D105="Serviço",AE$12&lt;&gt;0,$H105&gt;0,OR(AUTOEVENTO&lt;&gt;"manual",$M105&lt;&gt;1)),
IF(Import.TipoArredondamento&lt;&gt;"TransfereGOV",
ROUND(OFFSET($P105,0,AE$13),15-13*ORÇAMENTO!$AF$7)/$H105*OFFSET(ORÇAMENTO!$X$15,ROW(AE105)-ROW(AE$15),0),
ROUND(ROUND(OFFSET($P105,0,AE$13),15-13*ORÇAMENTO!$AF$7)*OFFSET(ORÇAMENTO!$W$15,ROW(AE105)-ROW(AE$15),0),15-13*ORÇAMENTO!$AF$11)),0)</f>
        <v>0</v>
      </c>
      <c r="AF105" s="542">
        <f ca="1">IF(AND($D105="Serviço",AF$12&lt;&gt;0,$H105&gt;0,OR(AUTOEVENTO&lt;&gt;"manual",$M105&lt;&gt;1)),
IF(Import.TipoArredondamento&lt;&gt;"TransfereGOV",
ROUND(OFFSET($P105,0,AF$13),15-13*ORÇAMENTO!$AF$7)/$H105*OFFSET(ORÇAMENTO!$X$15,ROW(AF105)-ROW(AF$15),0),
ROUND(ROUND(OFFSET($P105,0,AF$13),15-13*ORÇAMENTO!$AF$7)*OFFSET(ORÇAMENTO!$W$15,ROW(AF105)-ROW(AF$15),0),15-13*ORÇAMENTO!$AF$11)),0)</f>
        <v>0</v>
      </c>
      <c r="AG105" s="542">
        <f ca="1">IF(AND($D105="Serviço",AG$12&lt;&gt;0,$H105&gt;0,OR(AUTOEVENTO&lt;&gt;"manual",$M105&lt;&gt;1)),
IF(Import.TipoArredondamento&lt;&gt;"TransfereGOV",
ROUND(OFFSET($P105,0,AG$13),15-13*ORÇAMENTO!$AF$7)/$H105*OFFSET(ORÇAMENTO!$X$15,ROW(AG105)-ROW(AG$15),0),
ROUND(ROUND(OFFSET($P105,0,AG$13),15-13*ORÇAMENTO!$AF$7)*OFFSET(ORÇAMENTO!$W$15,ROW(AG105)-ROW(AG$15),0),15-13*ORÇAMENTO!$AF$11)),0)</f>
        <v>0</v>
      </c>
      <c r="AH105" s="542">
        <f ca="1">IF(AND($D105="Serviço",AH$12&lt;&gt;0,$H105&gt;0,OR(AUTOEVENTO&lt;&gt;"manual",$M105&lt;&gt;1)),
IF(Import.TipoArredondamento&lt;&gt;"TransfereGOV",
ROUND(OFFSET($P105,0,AH$13),15-13*ORÇAMENTO!$AF$7)/$H105*OFFSET(ORÇAMENTO!$X$15,ROW(AH105)-ROW(AH$15),0),
ROUND(ROUND(OFFSET($P105,0,AH$13),15-13*ORÇAMENTO!$AF$7)*OFFSET(ORÇAMENTO!$W$15,ROW(AH105)-ROW(AH$15),0),15-13*ORÇAMENTO!$AF$11)),0)</f>
        <v>0</v>
      </c>
      <c r="AI105" s="542">
        <f ca="1">IF(AND($D105="Serviço",AI$12&lt;&gt;0,$H105&gt;0,OR(AUTOEVENTO&lt;&gt;"manual",$M105&lt;&gt;1)),
IF(Import.TipoArredondamento&lt;&gt;"TransfereGOV",
ROUND(OFFSET($P105,0,AI$13),15-13*ORÇAMENTO!$AF$7)/$H105*OFFSET(ORÇAMENTO!$X$15,ROW(AI105)-ROW(AI$15),0),
ROUND(ROUND(OFFSET($P105,0,AI$13),15-13*ORÇAMENTO!$AF$7)*OFFSET(ORÇAMENTO!$W$15,ROW(AI105)-ROW(AI$15),0),15-13*ORÇAMENTO!$AF$11)),0)</f>
        <v>0</v>
      </c>
      <c r="AJ105" s="542">
        <f ca="1">IF(AND($D105="Serviço",AJ$12&lt;&gt;0,$H105&gt;0,OR(AUTOEVENTO&lt;&gt;"manual",$M105&lt;&gt;1)),
IF(Import.TipoArredondamento&lt;&gt;"TransfereGOV",
ROUND(OFFSET($P105,0,AJ$13),15-13*ORÇAMENTO!$AF$7)/$H105*OFFSET(ORÇAMENTO!$X$15,ROW(AJ105)-ROW(AJ$15),0),
ROUND(ROUND(OFFSET($P105,0,AJ$13),15-13*ORÇAMENTO!$AF$7)*OFFSET(ORÇAMENTO!$W$15,ROW(AJ105)-ROW(AJ$15),0),15-13*ORÇAMENTO!$AF$11)),0)</f>
        <v>0</v>
      </c>
      <c r="AK105" s="543">
        <f ca="1">IF(AND($D105="Serviço",AK$12&lt;&gt;0,$H105&gt;0,OR(AUTOEVENTO&lt;&gt;"manual",$M105&lt;&gt;1)),
IF(Import.TipoArredondamento&lt;&gt;"TransfereGOV",
ROUND(OFFSET($P105,0,AK$13),15-13*ORÇAMENTO!$AF$7)/$H105*OFFSET(ORÇAMENTO!$X$15,ROW(AK105)-ROW(AK$15),0),
ROUND(ROUND(OFFSET($P105,0,AK$13),15-13*ORÇAMENTO!$AF$7)*OFFSET(ORÇAMENTO!$W$15,ROW(AK105)-ROW(AK$15),0),15-13*ORÇAMENTO!$AF$11)),0)</f>
        <v>0</v>
      </c>
      <c r="AM105" s="178">
        <f ca="1">IF($D105&lt;&gt;"Serviço",0,IF(AND(AUTOEVENTO="Manual",$M105=1),0,IF(OFFSET(CRONOPLE!$F$14,$M105,AM$13)="",10^12,OFFSET(CRONOPLE!$F$14,$M105,AM$13))))</f>
        <v>1000000000000</v>
      </c>
      <c r="AN105" s="178">
        <f ca="1">IF($D105&lt;&gt;"Serviço",0,IF(AND(AUTOEVENTO="Manual",$M105=1),0,IF(OFFSET(CRONOPLE!$F$14,$M105,AN$13)="",10^12,OFFSET(CRONOPLE!$F$14,$M105,AN$13))))</f>
        <v>1000000000000</v>
      </c>
      <c r="AO105" s="178">
        <f ca="1">IF($D105&lt;&gt;"Serviço",0,IF(AND(AUTOEVENTO="Manual",$M105=1),0,IF(OFFSET(CRONOPLE!$F$14,$M105,AO$13)="",10^12,OFFSET(CRONOPLE!$F$14,$M105,AO$13))))</f>
        <v>1000000000000</v>
      </c>
      <c r="AP105" s="178">
        <f ca="1">IF($D105&lt;&gt;"Serviço",0,IF(AND(AUTOEVENTO="Manual",$M105=1),0,IF(OFFSET(CRONOPLE!$F$14,$M105,AP$13)="",10^12,OFFSET(CRONOPLE!$F$14,$M105,AP$13))))</f>
        <v>1000000000000</v>
      </c>
      <c r="AQ105" s="178">
        <f ca="1">IF($D105&lt;&gt;"Serviço",0,IF(AND(AUTOEVENTO="Manual",$M105=1),0,IF(OFFSET(CRONOPLE!$F$14,$M105,AQ$13)="",10^12,OFFSET(CRONOPLE!$F$14,$M105,AQ$13))))</f>
        <v>1000000000000</v>
      </c>
      <c r="AR105" s="178">
        <f ca="1">IF($D105&lt;&gt;"Serviço",0,IF(AND(AUTOEVENTO="Manual",$M105=1),0,IF(OFFSET(CRONOPLE!$F$14,$M105,AR$13)="",10^12,OFFSET(CRONOPLE!$F$14,$M105,AR$13))))</f>
        <v>1000000000000</v>
      </c>
      <c r="AS105" s="178">
        <f ca="1">IF($D105&lt;&gt;"Serviço",0,IF(AND(AUTOEVENTO="Manual",$M105=1),0,IF(OFFSET(CRONOPLE!$F$14,$M105,AS$13)="",10^12,OFFSET(CRONOPLE!$F$14,$M105,AS$13))))</f>
        <v>1000000000000</v>
      </c>
      <c r="AT105" s="178">
        <f ca="1">IF($D105&lt;&gt;"Serviço",0,IF(AND(AUTOEVENTO="Manual",$M105=1),0,IF(OFFSET(CRONOPLE!$F$14,$M105,AT$13)="",10^12,OFFSET(CRONOPLE!$F$14,$M105,AT$13))))</f>
        <v>1000000000000</v>
      </c>
      <c r="AU105" s="178">
        <f ca="1">IF($D105&lt;&gt;"Serviço",0,IF(AND(AUTOEVENTO="Manual",$M105=1),0,IF(OFFSET(CRONOPLE!$F$14,$M105,AU$13)="",10^12,OFFSET(CRONOPLE!$F$14,$M105,AU$13))))</f>
        <v>1000000000000</v>
      </c>
      <c r="AV105" s="178">
        <f ca="1">IF($D105&lt;&gt;"Serviço",0,IF(AND(AUTOEVENTO="Manual",$M105=1),0,IF(OFFSET(CRONOPLE!$F$14,$M105,AV$13)="",10^12,OFFSET(CRONOPLE!$F$14,$M105,AV$13))))</f>
        <v>1000000000000</v>
      </c>
      <c r="AX105" s="179">
        <f ca="1">IF($D105&lt;&gt;"Serviço",0,IF(OR(AND(AUTOEVENTO="Manual",$M105=1),$M105&gt;(ROW(PLE.lastrow)-ROW(PLE.firstrow))),0,IF(OFFSET(PLE!$G$14,$M105,AX$13)="",10^12,OFFSET(PLE!$G$14,$M105,AX$13))))</f>
        <v>1000000000000</v>
      </c>
      <c r="AY105" s="179">
        <f ca="1">IF($D105&lt;&gt;"Serviço",0,IF(OR(AND(AUTOEVENTO="Manual",$M105=1),$M105&gt;(ROW(PLE.lastrow)-ROW(PLE.firstrow))),0,IF(OFFSET(PLE!$G$14,$M105,AY$13)="",10^12,OFFSET(PLE!$G$14,$M105,AY$13))))</f>
        <v>1000000000000</v>
      </c>
      <c r="AZ105" s="179">
        <f ca="1">IF($D105&lt;&gt;"Serviço",0,IF(OR(AND(AUTOEVENTO="Manual",$M105=1),$M105&gt;(ROW(PLE.lastrow)-ROW(PLE.firstrow))),0,IF(OFFSET(PLE!$G$14,$M105,AZ$13)="",10^12,OFFSET(PLE!$G$14,$M105,AZ$13))))</f>
        <v>1000000000000</v>
      </c>
      <c r="BA105" s="179">
        <f ca="1">IF($D105&lt;&gt;"Serviço",0,IF(OR(AND(AUTOEVENTO="Manual",$M105=1),$M105&gt;(ROW(PLE.lastrow)-ROW(PLE.firstrow))),0,IF(OFFSET(PLE!$G$14,$M105,BA$13)="",10^12,OFFSET(PLE!$G$14,$M105,BA$13))))</f>
        <v>1000000000000</v>
      </c>
      <c r="BB105" s="179">
        <f ca="1">IF($D105&lt;&gt;"Serviço",0,IF(OR(AND(AUTOEVENTO="Manual",$M105=1),$M105&gt;(ROW(PLE.lastrow)-ROW(PLE.firstrow))),0,IF(OFFSET(PLE!$G$14,$M105,BB$13)="",10^12,OFFSET(PLE!$G$14,$M105,BB$13))))</f>
        <v>1000000000000</v>
      </c>
      <c r="BC105" s="179">
        <f ca="1">IF($D105&lt;&gt;"Serviço",0,IF(OR(AND(AUTOEVENTO="Manual",$M105=1),$M105&gt;(ROW(PLE.lastrow)-ROW(PLE.firstrow))),0,IF(OFFSET(PLE!$G$14,$M105,BC$13)="",10^12,OFFSET(PLE!$G$14,$M105,BC$13))))</f>
        <v>1000000000000</v>
      </c>
      <c r="BD105" s="179">
        <f ca="1">IF($D105&lt;&gt;"Serviço",0,IF(OR(AND(AUTOEVENTO="Manual",$M105=1),$M105&gt;(ROW(PLE.lastrow)-ROW(PLE.firstrow))),0,IF(OFFSET(PLE!$G$14,$M105,BD$13)="",10^12,OFFSET(PLE!$G$14,$M105,BD$13))))</f>
        <v>1000000000000</v>
      </c>
      <c r="BE105" s="179">
        <f ca="1">IF($D105&lt;&gt;"Serviço",0,IF(OR(AND(AUTOEVENTO="Manual",$M105=1),$M105&gt;(ROW(PLE.lastrow)-ROW(PLE.firstrow))),0,IF(OFFSET(PLE!$G$14,$M105,BE$13)="",10^12,OFFSET(PLE!$G$14,$M105,BE$13))))</f>
        <v>1000000000000</v>
      </c>
      <c r="BF105" s="179">
        <f ca="1">IF($D105&lt;&gt;"Serviço",0,IF(OR(AND(AUTOEVENTO="Manual",$M105=1),$M105&gt;(ROW(PLE.lastrow)-ROW(PLE.firstrow))),0,IF(OFFSET(PLE!$G$14,$M105,BF$13)="",10^12,OFFSET(PLE!$G$14,$M105,BF$13))))</f>
        <v>1000000000000</v>
      </c>
      <c r="BG105" s="179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38.25" x14ac:dyDescent="0.2">
      <c r="A106" s="7" t="str">
        <f t="shared" ca="1" si="10"/>
        <v>88</v>
      </c>
      <c r="B106" s="7" t="str">
        <f ca="1">OFFSET(ORÇAMENTO!C$15,ROW(B106)-ROW(B$15),0)</f>
        <v>S</v>
      </c>
      <c r="C106" s="7" t="str">
        <f ca="1">OFFSET(ORÇAMENTO!L$15,ROW(C106)-ROW(C$15),0)</f>
        <v/>
      </c>
      <c r="D106" s="115" t="str">
        <f ca="1">OFFSET(ORÇAMENTO!N$15,ROW(D106)-ROW(D$15),0)</f>
        <v>Serviço</v>
      </c>
      <c r="E106" s="116" t="str">
        <f ca="1">OFFSET(ORÇAMENTO!O$15,ROW(E106)-ROW(E$15),0)</f>
        <v>-</v>
      </c>
      <c r="F106" s="169" t="str">
        <f ca="1">OFFSET(ORÇAMENTO!R$15,ROW(F106)-ROW(F$15),0)</f>
        <v>(abra o arquivo 'Referência 10-2024.xlsm)</v>
      </c>
      <c r="G106" s="170" t="str">
        <f ca="1">IF($D106&lt;&gt;"Serviço","",OFFSET(ORÇAMENTO!S$15,ROW(G106)-ROW(G$15),0))</f>
        <v>-</v>
      </c>
      <c r="H106" s="121">
        <f ca="1">IF($D106&lt;&gt;"Serviço",0,IF(ACOMPANHAMENTO="BM",ROUND(OFFSET(ORÇAMENTO!AJ$15,ROW(H106)-ROW(H$15),0),15-13*ORÇAMENTO!$AF$7),SUMPRODUCT(($Q$12:$AA$12&lt;&gt;"")*ROUND($Q106:$AA106,15-13*ORÇAMENTO!$AF$7))))</f>
        <v>18</v>
      </c>
      <c r="I106" s="558" t="s">
        <v>561</v>
      </c>
      <c r="K106" s="171"/>
      <c r="L106" s="172" t="s">
        <v>255</v>
      </c>
      <c r="M106" s="173">
        <f ca="1">IF($D106&lt;&gt;"Serviço","",IF(AUTOEVENTO="manual",$A106,IF(ISERROR(MATCH($A106,$A$15:OFFSET($A106,-1,0),0)),MAX($M$15:OFFSET(M106,-1,0))+1,INDEX($M$15:OFFSET(M106,-1,0),MATCH($A106,$A$15:OFFSET($A106,-1,0),0)))))</f>
        <v>15</v>
      </c>
      <c r="N106" s="174" t="str">
        <f ca="1">IF($D106&lt;&gt;"Serviço","",IF(AUTOEVENTO="Manual",IF($A106=0,"&lt;-- defina o número do agrupador",OFFSET(EVENTOS!$D$14,$A106,0)),OFFSET($F$15,$A106,0)))</f>
        <v>INSTALAÇÕES ELÉTRICAS</v>
      </c>
      <c r="O106" s="175"/>
      <c r="Q106" s="175"/>
      <c r="R106" s="176"/>
      <c r="S106" s="176"/>
      <c r="T106" s="176"/>
      <c r="U106" s="176"/>
      <c r="V106" s="176"/>
      <c r="W106" s="176"/>
      <c r="X106" s="176"/>
      <c r="Y106" s="176"/>
      <c r="Z106" s="177"/>
      <c r="AB106" s="541">
        <f ca="1">IF(AND($D106="Serviço",AB$12&lt;&gt;0,$H106&gt;0,OR(AUTOEVENTO&lt;&gt;"manual",$M106&lt;&gt;1)),
IF(Import.TipoArredondamento&lt;&gt;"TransfereGOV",
ROUND(OFFSET($P106,0,AB$13),15-13*ORÇAMENTO!$AF$7)/$H106*OFFSET(ORÇAMENTO!$X$15,ROW(AB106)-ROW(AB$15),0),
ROUND(ROUND(OFFSET($P106,0,AB$13),15-13*ORÇAMENTO!$AF$7)*OFFSET(ORÇAMENTO!$W$15,ROW(AB106)-ROW(AB$15),0),15-13*ORÇAMENTO!$AF$11)),0)</f>
        <v>0</v>
      </c>
      <c r="AC106" s="542">
        <f ca="1">IF(AND($D106="Serviço",AC$12&lt;&gt;0,$H106&gt;0,OR(AUTOEVENTO&lt;&gt;"manual",$M106&lt;&gt;1)),
IF(Import.TipoArredondamento&lt;&gt;"TransfereGOV",
ROUND(OFFSET($P106,0,AC$13),15-13*ORÇAMENTO!$AF$7)/$H106*OFFSET(ORÇAMENTO!$X$15,ROW(AC106)-ROW(AC$15),0),
ROUND(ROUND(OFFSET($P106,0,AC$13),15-13*ORÇAMENTO!$AF$7)*OFFSET(ORÇAMENTO!$W$15,ROW(AC106)-ROW(AC$15),0),15-13*ORÇAMENTO!$AF$11)),0)</f>
        <v>0</v>
      </c>
      <c r="AD106" s="542">
        <f ca="1">IF(AND($D106="Serviço",AD$12&lt;&gt;0,$H106&gt;0,OR(AUTOEVENTO&lt;&gt;"manual",$M106&lt;&gt;1)),
IF(Import.TipoArredondamento&lt;&gt;"TransfereGOV",
ROUND(OFFSET($P106,0,AD$13),15-13*ORÇAMENTO!$AF$7)/$H106*OFFSET(ORÇAMENTO!$X$15,ROW(AD106)-ROW(AD$15),0),
ROUND(ROUND(OFFSET($P106,0,AD$13),15-13*ORÇAMENTO!$AF$7)*OFFSET(ORÇAMENTO!$W$15,ROW(AD106)-ROW(AD$15),0),15-13*ORÇAMENTO!$AF$11)),0)</f>
        <v>0</v>
      </c>
      <c r="AE106" s="542">
        <f ca="1">IF(AND($D106="Serviço",AE$12&lt;&gt;0,$H106&gt;0,OR(AUTOEVENTO&lt;&gt;"manual",$M106&lt;&gt;1)),
IF(Import.TipoArredondamento&lt;&gt;"TransfereGOV",
ROUND(OFFSET($P106,0,AE$13),15-13*ORÇAMENTO!$AF$7)/$H106*OFFSET(ORÇAMENTO!$X$15,ROW(AE106)-ROW(AE$15),0),
ROUND(ROUND(OFFSET($P106,0,AE$13),15-13*ORÇAMENTO!$AF$7)*OFFSET(ORÇAMENTO!$W$15,ROW(AE106)-ROW(AE$15),0),15-13*ORÇAMENTO!$AF$11)),0)</f>
        <v>0</v>
      </c>
      <c r="AF106" s="542">
        <f ca="1">IF(AND($D106="Serviço",AF$12&lt;&gt;0,$H106&gt;0,OR(AUTOEVENTO&lt;&gt;"manual",$M106&lt;&gt;1)),
IF(Import.TipoArredondamento&lt;&gt;"TransfereGOV",
ROUND(OFFSET($P106,0,AF$13),15-13*ORÇAMENTO!$AF$7)/$H106*OFFSET(ORÇAMENTO!$X$15,ROW(AF106)-ROW(AF$15),0),
ROUND(ROUND(OFFSET($P106,0,AF$13),15-13*ORÇAMENTO!$AF$7)*OFFSET(ORÇAMENTO!$W$15,ROW(AF106)-ROW(AF$15),0),15-13*ORÇAMENTO!$AF$11)),0)</f>
        <v>0</v>
      </c>
      <c r="AG106" s="542">
        <f ca="1">IF(AND($D106="Serviço",AG$12&lt;&gt;0,$H106&gt;0,OR(AUTOEVENTO&lt;&gt;"manual",$M106&lt;&gt;1)),
IF(Import.TipoArredondamento&lt;&gt;"TransfereGOV",
ROUND(OFFSET($P106,0,AG$13),15-13*ORÇAMENTO!$AF$7)/$H106*OFFSET(ORÇAMENTO!$X$15,ROW(AG106)-ROW(AG$15),0),
ROUND(ROUND(OFFSET($P106,0,AG$13),15-13*ORÇAMENTO!$AF$7)*OFFSET(ORÇAMENTO!$W$15,ROW(AG106)-ROW(AG$15),0),15-13*ORÇAMENTO!$AF$11)),0)</f>
        <v>0</v>
      </c>
      <c r="AH106" s="542">
        <f ca="1">IF(AND($D106="Serviço",AH$12&lt;&gt;0,$H106&gt;0,OR(AUTOEVENTO&lt;&gt;"manual",$M106&lt;&gt;1)),
IF(Import.TipoArredondamento&lt;&gt;"TransfereGOV",
ROUND(OFFSET($P106,0,AH$13),15-13*ORÇAMENTO!$AF$7)/$H106*OFFSET(ORÇAMENTO!$X$15,ROW(AH106)-ROW(AH$15),0),
ROUND(ROUND(OFFSET($P106,0,AH$13),15-13*ORÇAMENTO!$AF$7)*OFFSET(ORÇAMENTO!$W$15,ROW(AH106)-ROW(AH$15),0),15-13*ORÇAMENTO!$AF$11)),0)</f>
        <v>0</v>
      </c>
      <c r="AI106" s="542">
        <f ca="1">IF(AND($D106="Serviço",AI$12&lt;&gt;0,$H106&gt;0,OR(AUTOEVENTO&lt;&gt;"manual",$M106&lt;&gt;1)),
IF(Import.TipoArredondamento&lt;&gt;"TransfereGOV",
ROUND(OFFSET($P106,0,AI$13),15-13*ORÇAMENTO!$AF$7)/$H106*OFFSET(ORÇAMENTO!$X$15,ROW(AI106)-ROW(AI$15),0),
ROUND(ROUND(OFFSET($P106,0,AI$13),15-13*ORÇAMENTO!$AF$7)*OFFSET(ORÇAMENTO!$W$15,ROW(AI106)-ROW(AI$15),0),15-13*ORÇAMENTO!$AF$11)),0)</f>
        <v>0</v>
      </c>
      <c r="AJ106" s="542">
        <f ca="1">IF(AND($D106="Serviço",AJ$12&lt;&gt;0,$H106&gt;0,OR(AUTOEVENTO&lt;&gt;"manual",$M106&lt;&gt;1)),
IF(Import.TipoArredondamento&lt;&gt;"TransfereGOV",
ROUND(OFFSET($P106,0,AJ$13),15-13*ORÇAMENTO!$AF$7)/$H106*OFFSET(ORÇAMENTO!$X$15,ROW(AJ106)-ROW(AJ$15),0),
ROUND(ROUND(OFFSET($P106,0,AJ$13),15-13*ORÇAMENTO!$AF$7)*OFFSET(ORÇAMENTO!$W$15,ROW(AJ106)-ROW(AJ$15),0),15-13*ORÇAMENTO!$AF$11)),0)</f>
        <v>0</v>
      </c>
      <c r="AK106" s="543">
        <f ca="1">IF(AND($D106="Serviço",AK$12&lt;&gt;0,$H106&gt;0,OR(AUTOEVENTO&lt;&gt;"manual",$M106&lt;&gt;1)),
IF(Import.TipoArredondamento&lt;&gt;"TransfereGOV",
ROUND(OFFSET($P106,0,AK$13),15-13*ORÇAMENTO!$AF$7)/$H106*OFFSET(ORÇAMENTO!$X$15,ROW(AK106)-ROW(AK$15),0),
ROUND(ROUND(OFFSET($P106,0,AK$13),15-13*ORÇAMENTO!$AF$7)*OFFSET(ORÇAMENTO!$W$15,ROW(AK106)-ROW(AK$15),0),15-13*ORÇAMENTO!$AF$11)),0)</f>
        <v>0</v>
      </c>
      <c r="AM106" s="178">
        <f ca="1">IF($D106&lt;&gt;"Serviço",0,IF(AND(AUTOEVENTO="Manual",$M106=1),0,IF(OFFSET(CRONOPLE!$F$14,$M106,AM$13)="",10^12,OFFSET(CRONOPLE!$F$14,$M106,AM$13))))</f>
        <v>1000000000000</v>
      </c>
      <c r="AN106" s="178">
        <f ca="1">IF($D106&lt;&gt;"Serviço",0,IF(AND(AUTOEVENTO="Manual",$M106=1),0,IF(OFFSET(CRONOPLE!$F$14,$M106,AN$13)="",10^12,OFFSET(CRONOPLE!$F$14,$M106,AN$13))))</f>
        <v>1000000000000</v>
      </c>
      <c r="AO106" s="178">
        <f ca="1">IF($D106&lt;&gt;"Serviço",0,IF(AND(AUTOEVENTO="Manual",$M106=1),0,IF(OFFSET(CRONOPLE!$F$14,$M106,AO$13)="",10^12,OFFSET(CRONOPLE!$F$14,$M106,AO$13))))</f>
        <v>1000000000000</v>
      </c>
      <c r="AP106" s="178">
        <f ca="1">IF($D106&lt;&gt;"Serviço",0,IF(AND(AUTOEVENTO="Manual",$M106=1),0,IF(OFFSET(CRONOPLE!$F$14,$M106,AP$13)="",10^12,OFFSET(CRONOPLE!$F$14,$M106,AP$13))))</f>
        <v>1000000000000</v>
      </c>
      <c r="AQ106" s="178">
        <f ca="1">IF($D106&lt;&gt;"Serviço",0,IF(AND(AUTOEVENTO="Manual",$M106=1),0,IF(OFFSET(CRONOPLE!$F$14,$M106,AQ$13)="",10^12,OFFSET(CRONOPLE!$F$14,$M106,AQ$13))))</f>
        <v>1000000000000</v>
      </c>
      <c r="AR106" s="178">
        <f ca="1">IF($D106&lt;&gt;"Serviço",0,IF(AND(AUTOEVENTO="Manual",$M106=1),0,IF(OFFSET(CRONOPLE!$F$14,$M106,AR$13)="",10^12,OFFSET(CRONOPLE!$F$14,$M106,AR$13))))</f>
        <v>1000000000000</v>
      </c>
      <c r="AS106" s="178">
        <f ca="1">IF($D106&lt;&gt;"Serviço",0,IF(AND(AUTOEVENTO="Manual",$M106=1),0,IF(OFFSET(CRONOPLE!$F$14,$M106,AS$13)="",10^12,OFFSET(CRONOPLE!$F$14,$M106,AS$13))))</f>
        <v>1000000000000</v>
      </c>
      <c r="AT106" s="178">
        <f ca="1">IF($D106&lt;&gt;"Serviço",0,IF(AND(AUTOEVENTO="Manual",$M106=1),0,IF(OFFSET(CRONOPLE!$F$14,$M106,AT$13)="",10^12,OFFSET(CRONOPLE!$F$14,$M106,AT$13))))</f>
        <v>1000000000000</v>
      </c>
      <c r="AU106" s="178">
        <f ca="1">IF($D106&lt;&gt;"Serviço",0,IF(AND(AUTOEVENTO="Manual",$M106=1),0,IF(OFFSET(CRONOPLE!$F$14,$M106,AU$13)="",10^12,OFFSET(CRONOPLE!$F$14,$M106,AU$13))))</f>
        <v>1000000000000</v>
      </c>
      <c r="AV106" s="178">
        <f ca="1">IF($D106&lt;&gt;"Serviço",0,IF(AND(AUTOEVENTO="Manual",$M106=1),0,IF(OFFSET(CRONOPLE!$F$14,$M106,AV$13)="",10^12,OFFSET(CRONOPLE!$F$14,$M106,AV$13))))</f>
        <v>1000000000000</v>
      </c>
      <c r="AX106" s="179">
        <f ca="1">IF($D106&lt;&gt;"Serviço",0,IF(OR(AND(AUTOEVENTO="Manual",$M106=1),$M106&gt;(ROW(PLE.lastrow)-ROW(PLE.firstrow))),0,IF(OFFSET(PLE!$G$14,$M106,AX$13)="",10^12,OFFSET(PLE!$G$14,$M106,AX$13))))</f>
        <v>1000000000000</v>
      </c>
      <c r="AY106" s="179">
        <f ca="1">IF($D106&lt;&gt;"Serviço",0,IF(OR(AND(AUTOEVENTO="Manual",$M106=1),$M106&gt;(ROW(PLE.lastrow)-ROW(PLE.firstrow))),0,IF(OFFSET(PLE!$G$14,$M106,AY$13)="",10^12,OFFSET(PLE!$G$14,$M106,AY$13))))</f>
        <v>1000000000000</v>
      </c>
      <c r="AZ106" s="179">
        <f ca="1">IF($D106&lt;&gt;"Serviço",0,IF(OR(AND(AUTOEVENTO="Manual",$M106=1),$M106&gt;(ROW(PLE.lastrow)-ROW(PLE.firstrow))),0,IF(OFFSET(PLE!$G$14,$M106,AZ$13)="",10^12,OFFSET(PLE!$G$14,$M106,AZ$13))))</f>
        <v>1000000000000</v>
      </c>
      <c r="BA106" s="179">
        <f ca="1">IF($D106&lt;&gt;"Serviço",0,IF(OR(AND(AUTOEVENTO="Manual",$M106=1),$M106&gt;(ROW(PLE.lastrow)-ROW(PLE.firstrow))),0,IF(OFFSET(PLE!$G$14,$M106,BA$13)="",10^12,OFFSET(PLE!$G$14,$M106,BA$13))))</f>
        <v>1000000000000</v>
      </c>
      <c r="BB106" s="179">
        <f ca="1">IF($D106&lt;&gt;"Serviço",0,IF(OR(AND(AUTOEVENTO="Manual",$M106=1),$M106&gt;(ROW(PLE.lastrow)-ROW(PLE.firstrow))),0,IF(OFFSET(PLE!$G$14,$M106,BB$13)="",10^12,OFFSET(PLE!$G$14,$M106,BB$13))))</f>
        <v>1000000000000</v>
      </c>
      <c r="BC106" s="179">
        <f ca="1">IF($D106&lt;&gt;"Serviço",0,IF(OR(AND(AUTOEVENTO="Manual",$M106=1),$M106&gt;(ROW(PLE.lastrow)-ROW(PLE.firstrow))),0,IF(OFFSET(PLE!$G$14,$M106,BC$13)="",10^12,OFFSET(PLE!$G$14,$M106,BC$13))))</f>
        <v>1000000000000</v>
      </c>
      <c r="BD106" s="179">
        <f ca="1">IF($D106&lt;&gt;"Serviço",0,IF(OR(AND(AUTOEVENTO="Manual",$M106=1),$M106&gt;(ROW(PLE.lastrow)-ROW(PLE.firstrow))),0,IF(OFFSET(PLE!$G$14,$M106,BD$13)="",10^12,OFFSET(PLE!$G$14,$M106,BD$13))))</f>
        <v>1000000000000</v>
      </c>
      <c r="BE106" s="179">
        <f ca="1">IF($D106&lt;&gt;"Serviço",0,IF(OR(AND(AUTOEVENTO="Manual",$M106=1),$M106&gt;(ROW(PLE.lastrow)-ROW(PLE.firstrow))),0,IF(OFFSET(PLE!$G$14,$M106,BE$13)="",10^12,OFFSET(PLE!$G$14,$M106,BE$13))))</f>
        <v>1000000000000</v>
      </c>
      <c r="BF106" s="179">
        <f ca="1">IF($D106&lt;&gt;"Serviço",0,IF(OR(AND(AUTOEVENTO="Manual",$M106=1),$M106&gt;(ROW(PLE.lastrow)-ROW(PLE.firstrow))),0,IF(OFFSET(PLE!$G$14,$M106,BF$13)="",10^12,OFFSET(PLE!$G$14,$M106,BF$13))))</f>
        <v>1000000000000</v>
      </c>
      <c r="BG106" s="179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38.25" x14ac:dyDescent="0.2">
      <c r="A107" s="7" t="str">
        <f t="shared" ca="1" si="10"/>
        <v>88</v>
      </c>
      <c r="B107" s="7" t="str">
        <f ca="1">OFFSET(ORÇAMENTO!C$15,ROW(B107)-ROW(B$15),0)</f>
        <v>S</v>
      </c>
      <c r="C107" s="7" t="str">
        <f ca="1">OFFSET(ORÇAMENTO!L$15,ROW(C107)-ROW(C$15),0)</f>
        <v/>
      </c>
      <c r="D107" s="115" t="str">
        <f ca="1">OFFSET(ORÇAMENTO!N$15,ROW(D107)-ROW(D$15),0)</f>
        <v>Serviço</v>
      </c>
      <c r="E107" s="116" t="str">
        <f ca="1">OFFSET(ORÇAMENTO!O$15,ROW(E107)-ROW(E$15),0)</f>
        <v>-</v>
      </c>
      <c r="F107" s="169" t="str">
        <f ca="1">OFFSET(ORÇAMENTO!R$15,ROW(F107)-ROW(F$15),0)</f>
        <v>(abra o arquivo 'Referência 10-2024.xlsm)</v>
      </c>
      <c r="G107" s="170" t="str">
        <f ca="1">IF($D107&lt;&gt;"Serviço","",OFFSET(ORÇAMENTO!S$15,ROW(G107)-ROW(G$15),0))</f>
        <v>-</v>
      </c>
      <c r="H107" s="121">
        <f ca="1">IF($D107&lt;&gt;"Serviço",0,IF(ACOMPANHAMENTO="BM",ROUND(OFFSET(ORÇAMENTO!AJ$15,ROW(H107)-ROW(H$15),0),15-13*ORÇAMENTO!$AF$7),SUMPRODUCT(($Q$12:$AA$12&lt;&gt;"")*ROUND($Q107:$AA107,15-13*ORÇAMENTO!$AF$7))))</f>
        <v>44.6</v>
      </c>
      <c r="I107" s="558" t="s">
        <v>561</v>
      </c>
      <c r="K107" s="171"/>
      <c r="L107" s="172" t="s">
        <v>255</v>
      </c>
      <c r="M107" s="173">
        <f ca="1">IF($D107&lt;&gt;"Serviço","",IF(AUTOEVENTO="manual",$A107,IF(ISERROR(MATCH($A107,$A$15:OFFSET($A107,-1,0),0)),MAX($M$15:OFFSET(M107,-1,0))+1,INDEX($M$15:OFFSET(M107,-1,0),MATCH($A107,$A$15:OFFSET($A107,-1,0),0)))))</f>
        <v>15</v>
      </c>
      <c r="N107" s="174" t="str">
        <f ca="1">IF($D107&lt;&gt;"Serviço","",IF(AUTOEVENTO="Manual",IF($A107=0,"&lt;-- defina o número do agrupador",OFFSET(EVENTOS!$D$14,$A107,0)),OFFSET($F$15,$A107,0)))</f>
        <v>INSTALAÇÕES ELÉTRICAS</v>
      </c>
      <c r="O107" s="175"/>
      <c r="Q107" s="175"/>
      <c r="R107" s="176"/>
      <c r="S107" s="176"/>
      <c r="T107" s="176"/>
      <c r="U107" s="176"/>
      <c r="V107" s="176"/>
      <c r="W107" s="176"/>
      <c r="X107" s="176"/>
      <c r="Y107" s="176"/>
      <c r="Z107" s="177"/>
      <c r="AB107" s="541">
        <f ca="1">IF(AND($D107="Serviço",AB$12&lt;&gt;0,$H107&gt;0,OR(AUTOEVENTO&lt;&gt;"manual",$M107&lt;&gt;1)),
IF(Import.TipoArredondamento&lt;&gt;"TransfereGOV",
ROUND(OFFSET($P107,0,AB$13),15-13*ORÇAMENTO!$AF$7)/$H107*OFFSET(ORÇAMENTO!$X$15,ROW(AB107)-ROW(AB$15),0),
ROUND(ROUND(OFFSET($P107,0,AB$13),15-13*ORÇAMENTO!$AF$7)*OFFSET(ORÇAMENTO!$W$15,ROW(AB107)-ROW(AB$15),0),15-13*ORÇAMENTO!$AF$11)),0)</f>
        <v>0</v>
      </c>
      <c r="AC107" s="542">
        <f ca="1">IF(AND($D107="Serviço",AC$12&lt;&gt;0,$H107&gt;0,OR(AUTOEVENTO&lt;&gt;"manual",$M107&lt;&gt;1)),
IF(Import.TipoArredondamento&lt;&gt;"TransfereGOV",
ROUND(OFFSET($P107,0,AC$13),15-13*ORÇAMENTO!$AF$7)/$H107*OFFSET(ORÇAMENTO!$X$15,ROW(AC107)-ROW(AC$15),0),
ROUND(ROUND(OFFSET($P107,0,AC$13),15-13*ORÇAMENTO!$AF$7)*OFFSET(ORÇAMENTO!$W$15,ROW(AC107)-ROW(AC$15),0),15-13*ORÇAMENTO!$AF$11)),0)</f>
        <v>0</v>
      </c>
      <c r="AD107" s="542">
        <f ca="1">IF(AND($D107="Serviço",AD$12&lt;&gt;0,$H107&gt;0,OR(AUTOEVENTO&lt;&gt;"manual",$M107&lt;&gt;1)),
IF(Import.TipoArredondamento&lt;&gt;"TransfereGOV",
ROUND(OFFSET($P107,0,AD$13),15-13*ORÇAMENTO!$AF$7)/$H107*OFFSET(ORÇAMENTO!$X$15,ROW(AD107)-ROW(AD$15),0),
ROUND(ROUND(OFFSET($P107,0,AD$13),15-13*ORÇAMENTO!$AF$7)*OFFSET(ORÇAMENTO!$W$15,ROW(AD107)-ROW(AD$15),0),15-13*ORÇAMENTO!$AF$11)),0)</f>
        <v>0</v>
      </c>
      <c r="AE107" s="542">
        <f ca="1">IF(AND($D107="Serviço",AE$12&lt;&gt;0,$H107&gt;0,OR(AUTOEVENTO&lt;&gt;"manual",$M107&lt;&gt;1)),
IF(Import.TipoArredondamento&lt;&gt;"TransfereGOV",
ROUND(OFFSET($P107,0,AE$13),15-13*ORÇAMENTO!$AF$7)/$H107*OFFSET(ORÇAMENTO!$X$15,ROW(AE107)-ROW(AE$15),0),
ROUND(ROUND(OFFSET($P107,0,AE$13),15-13*ORÇAMENTO!$AF$7)*OFFSET(ORÇAMENTO!$W$15,ROW(AE107)-ROW(AE$15),0),15-13*ORÇAMENTO!$AF$11)),0)</f>
        <v>0</v>
      </c>
      <c r="AF107" s="542">
        <f ca="1">IF(AND($D107="Serviço",AF$12&lt;&gt;0,$H107&gt;0,OR(AUTOEVENTO&lt;&gt;"manual",$M107&lt;&gt;1)),
IF(Import.TipoArredondamento&lt;&gt;"TransfereGOV",
ROUND(OFFSET($P107,0,AF$13),15-13*ORÇAMENTO!$AF$7)/$H107*OFFSET(ORÇAMENTO!$X$15,ROW(AF107)-ROW(AF$15),0),
ROUND(ROUND(OFFSET($P107,0,AF$13),15-13*ORÇAMENTO!$AF$7)*OFFSET(ORÇAMENTO!$W$15,ROW(AF107)-ROW(AF$15),0),15-13*ORÇAMENTO!$AF$11)),0)</f>
        <v>0</v>
      </c>
      <c r="AG107" s="542">
        <f ca="1">IF(AND($D107="Serviço",AG$12&lt;&gt;0,$H107&gt;0,OR(AUTOEVENTO&lt;&gt;"manual",$M107&lt;&gt;1)),
IF(Import.TipoArredondamento&lt;&gt;"TransfereGOV",
ROUND(OFFSET($P107,0,AG$13),15-13*ORÇAMENTO!$AF$7)/$H107*OFFSET(ORÇAMENTO!$X$15,ROW(AG107)-ROW(AG$15),0),
ROUND(ROUND(OFFSET($P107,0,AG$13),15-13*ORÇAMENTO!$AF$7)*OFFSET(ORÇAMENTO!$W$15,ROW(AG107)-ROW(AG$15),0),15-13*ORÇAMENTO!$AF$11)),0)</f>
        <v>0</v>
      </c>
      <c r="AH107" s="542">
        <f ca="1">IF(AND($D107="Serviço",AH$12&lt;&gt;0,$H107&gt;0,OR(AUTOEVENTO&lt;&gt;"manual",$M107&lt;&gt;1)),
IF(Import.TipoArredondamento&lt;&gt;"TransfereGOV",
ROUND(OFFSET($P107,0,AH$13),15-13*ORÇAMENTO!$AF$7)/$H107*OFFSET(ORÇAMENTO!$X$15,ROW(AH107)-ROW(AH$15),0),
ROUND(ROUND(OFFSET($P107,0,AH$13),15-13*ORÇAMENTO!$AF$7)*OFFSET(ORÇAMENTO!$W$15,ROW(AH107)-ROW(AH$15),0),15-13*ORÇAMENTO!$AF$11)),0)</f>
        <v>0</v>
      </c>
      <c r="AI107" s="542">
        <f ca="1">IF(AND($D107="Serviço",AI$12&lt;&gt;0,$H107&gt;0,OR(AUTOEVENTO&lt;&gt;"manual",$M107&lt;&gt;1)),
IF(Import.TipoArredondamento&lt;&gt;"TransfereGOV",
ROUND(OFFSET($P107,0,AI$13),15-13*ORÇAMENTO!$AF$7)/$H107*OFFSET(ORÇAMENTO!$X$15,ROW(AI107)-ROW(AI$15),0),
ROUND(ROUND(OFFSET($P107,0,AI$13),15-13*ORÇAMENTO!$AF$7)*OFFSET(ORÇAMENTO!$W$15,ROW(AI107)-ROW(AI$15),0),15-13*ORÇAMENTO!$AF$11)),0)</f>
        <v>0</v>
      </c>
      <c r="AJ107" s="542">
        <f ca="1">IF(AND($D107="Serviço",AJ$12&lt;&gt;0,$H107&gt;0,OR(AUTOEVENTO&lt;&gt;"manual",$M107&lt;&gt;1)),
IF(Import.TipoArredondamento&lt;&gt;"TransfereGOV",
ROUND(OFFSET($P107,0,AJ$13),15-13*ORÇAMENTO!$AF$7)/$H107*OFFSET(ORÇAMENTO!$X$15,ROW(AJ107)-ROW(AJ$15),0),
ROUND(ROUND(OFFSET($P107,0,AJ$13),15-13*ORÇAMENTO!$AF$7)*OFFSET(ORÇAMENTO!$W$15,ROW(AJ107)-ROW(AJ$15),0),15-13*ORÇAMENTO!$AF$11)),0)</f>
        <v>0</v>
      </c>
      <c r="AK107" s="543">
        <f ca="1">IF(AND($D107="Serviço",AK$12&lt;&gt;0,$H107&gt;0,OR(AUTOEVENTO&lt;&gt;"manual",$M107&lt;&gt;1)),
IF(Import.TipoArredondamento&lt;&gt;"TransfereGOV",
ROUND(OFFSET($P107,0,AK$13),15-13*ORÇAMENTO!$AF$7)/$H107*OFFSET(ORÇAMENTO!$X$15,ROW(AK107)-ROW(AK$15),0),
ROUND(ROUND(OFFSET($P107,0,AK$13),15-13*ORÇAMENTO!$AF$7)*OFFSET(ORÇAMENTO!$W$15,ROW(AK107)-ROW(AK$15),0),15-13*ORÇAMENTO!$AF$11)),0)</f>
        <v>0</v>
      </c>
      <c r="AM107" s="178">
        <f ca="1">IF($D107&lt;&gt;"Serviço",0,IF(AND(AUTOEVENTO="Manual",$M107=1),0,IF(OFFSET(CRONOPLE!$F$14,$M107,AM$13)="",10^12,OFFSET(CRONOPLE!$F$14,$M107,AM$13))))</f>
        <v>1000000000000</v>
      </c>
      <c r="AN107" s="178">
        <f ca="1">IF($D107&lt;&gt;"Serviço",0,IF(AND(AUTOEVENTO="Manual",$M107=1),0,IF(OFFSET(CRONOPLE!$F$14,$M107,AN$13)="",10^12,OFFSET(CRONOPLE!$F$14,$M107,AN$13))))</f>
        <v>1000000000000</v>
      </c>
      <c r="AO107" s="178">
        <f ca="1">IF($D107&lt;&gt;"Serviço",0,IF(AND(AUTOEVENTO="Manual",$M107=1),0,IF(OFFSET(CRONOPLE!$F$14,$M107,AO$13)="",10^12,OFFSET(CRONOPLE!$F$14,$M107,AO$13))))</f>
        <v>1000000000000</v>
      </c>
      <c r="AP107" s="178">
        <f ca="1">IF($D107&lt;&gt;"Serviço",0,IF(AND(AUTOEVENTO="Manual",$M107=1),0,IF(OFFSET(CRONOPLE!$F$14,$M107,AP$13)="",10^12,OFFSET(CRONOPLE!$F$14,$M107,AP$13))))</f>
        <v>1000000000000</v>
      </c>
      <c r="AQ107" s="178">
        <f ca="1">IF($D107&lt;&gt;"Serviço",0,IF(AND(AUTOEVENTO="Manual",$M107=1),0,IF(OFFSET(CRONOPLE!$F$14,$M107,AQ$13)="",10^12,OFFSET(CRONOPLE!$F$14,$M107,AQ$13))))</f>
        <v>1000000000000</v>
      </c>
      <c r="AR107" s="178">
        <f ca="1">IF($D107&lt;&gt;"Serviço",0,IF(AND(AUTOEVENTO="Manual",$M107=1),0,IF(OFFSET(CRONOPLE!$F$14,$M107,AR$13)="",10^12,OFFSET(CRONOPLE!$F$14,$M107,AR$13))))</f>
        <v>1000000000000</v>
      </c>
      <c r="AS107" s="178">
        <f ca="1">IF($D107&lt;&gt;"Serviço",0,IF(AND(AUTOEVENTO="Manual",$M107=1),0,IF(OFFSET(CRONOPLE!$F$14,$M107,AS$13)="",10^12,OFFSET(CRONOPLE!$F$14,$M107,AS$13))))</f>
        <v>1000000000000</v>
      </c>
      <c r="AT107" s="178">
        <f ca="1">IF($D107&lt;&gt;"Serviço",0,IF(AND(AUTOEVENTO="Manual",$M107=1),0,IF(OFFSET(CRONOPLE!$F$14,$M107,AT$13)="",10^12,OFFSET(CRONOPLE!$F$14,$M107,AT$13))))</f>
        <v>1000000000000</v>
      </c>
      <c r="AU107" s="178">
        <f ca="1">IF($D107&lt;&gt;"Serviço",0,IF(AND(AUTOEVENTO="Manual",$M107=1),0,IF(OFFSET(CRONOPLE!$F$14,$M107,AU$13)="",10^12,OFFSET(CRONOPLE!$F$14,$M107,AU$13))))</f>
        <v>1000000000000</v>
      </c>
      <c r="AV107" s="178">
        <f ca="1">IF($D107&lt;&gt;"Serviço",0,IF(AND(AUTOEVENTO="Manual",$M107=1),0,IF(OFFSET(CRONOPLE!$F$14,$M107,AV$13)="",10^12,OFFSET(CRONOPLE!$F$14,$M107,AV$13))))</f>
        <v>1000000000000</v>
      </c>
      <c r="AX107" s="179">
        <f ca="1">IF($D107&lt;&gt;"Serviço",0,IF(OR(AND(AUTOEVENTO="Manual",$M107=1),$M107&gt;(ROW(PLE.lastrow)-ROW(PLE.firstrow))),0,IF(OFFSET(PLE!$G$14,$M107,AX$13)="",10^12,OFFSET(PLE!$G$14,$M107,AX$13))))</f>
        <v>1000000000000</v>
      </c>
      <c r="AY107" s="179">
        <f ca="1">IF($D107&lt;&gt;"Serviço",0,IF(OR(AND(AUTOEVENTO="Manual",$M107=1),$M107&gt;(ROW(PLE.lastrow)-ROW(PLE.firstrow))),0,IF(OFFSET(PLE!$G$14,$M107,AY$13)="",10^12,OFFSET(PLE!$G$14,$M107,AY$13))))</f>
        <v>1000000000000</v>
      </c>
      <c r="AZ107" s="179">
        <f ca="1">IF($D107&lt;&gt;"Serviço",0,IF(OR(AND(AUTOEVENTO="Manual",$M107=1),$M107&gt;(ROW(PLE.lastrow)-ROW(PLE.firstrow))),0,IF(OFFSET(PLE!$G$14,$M107,AZ$13)="",10^12,OFFSET(PLE!$G$14,$M107,AZ$13))))</f>
        <v>1000000000000</v>
      </c>
      <c r="BA107" s="179">
        <f ca="1">IF($D107&lt;&gt;"Serviço",0,IF(OR(AND(AUTOEVENTO="Manual",$M107=1),$M107&gt;(ROW(PLE.lastrow)-ROW(PLE.firstrow))),0,IF(OFFSET(PLE!$G$14,$M107,BA$13)="",10^12,OFFSET(PLE!$G$14,$M107,BA$13))))</f>
        <v>1000000000000</v>
      </c>
      <c r="BB107" s="179">
        <f ca="1">IF($D107&lt;&gt;"Serviço",0,IF(OR(AND(AUTOEVENTO="Manual",$M107=1),$M107&gt;(ROW(PLE.lastrow)-ROW(PLE.firstrow))),0,IF(OFFSET(PLE!$G$14,$M107,BB$13)="",10^12,OFFSET(PLE!$G$14,$M107,BB$13))))</f>
        <v>1000000000000</v>
      </c>
      <c r="BC107" s="179">
        <f ca="1">IF($D107&lt;&gt;"Serviço",0,IF(OR(AND(AUTOEVENTO="Manual",$M107=1),$M107&gt;(ROW(PLE.lastrow)-ROW(PLE.firstrow))),0,IF(OFFSET(PLE!$G$14,$M107,BC$13)="",10^12,OFFSET(PLE!$G$14,$M107,BC$13))))</f>
        <v>1000000000000</v>
      </c>
      <c r="BD107" s="179">
        <f ca="1">IF($D107&lt;&gt;"Serviço",0,IF(OR(AND(AUTOEVENTO="Manual",$M107=1),$M107&gt;(ROW(PLE.lastrow)-ROW(PLE.firstrow))),0,IF(OFFSET(PLE!$G$14,$M107,BD$13)="",10^12,OFFSET(PLE!$G$14,$M107,BD$13))))</f>
        <v>1000000000000</v>
      </c>
      <c r="BE107" s="179">
        <f ca="1">IF($D107&lt;&gt;"Serviço",0,IF(OR(AND(AUTOEVENTO="Manual",$M107=1),$M107&gt;(ROW(PLE.lastrow)-ROW(PLE.firstrow))),0,IF(OFFSET(PLE!$G$14,$M107,BE$13)="",10^12,OFFSET(PLE!$G$14,$M107,BE$13))))</f>
        <v>1000000000000</v>
      </c>
      <c r="BF107" s="179">
        <f ca="1">IF($D107&lt;&gt;"Serviço",0,IF(OR(AND(AUTOEVENTO="Manual",$M107=1),$M107&gt;(ROW(PLE.lastrow)-ROW(PLE.firstrow))),0,IF(OFFSET(PLE!$G$14,$M107,BF$13)="",10^12,OFFSET(PLE!$G$14,$M107,BF$13))))</f>
        <v>1000000000000</v>
      </c>
      <c r="BG107" s="179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38.25" x14ac:dyDescent="0.2">
      <c r="A108" s="7" t="str">
        <f t="shared" ca="1" si="10"/>
        <v>88</v>
      </c>
      <c r="B108" s="7" t="str">
        <f ca="1">OFFSET(ORÇAMENTO!C$15,ROW(B108)-ROW(B$15),0)</f>
        <v>S</v>
      </c>
      <c r="C108" s="7" t="str">
        <f ca="1">OFFSET(ORÇAMENTO!L$15,ROW(C108)-ROW(C$15),0)</f>
        <v/>
      </c>
      <c r="D108" s="115" t="str">
        <f ca="1">OFFSET(ORÇAMENTO!N$15,ROW(D108)-ROW(D$15),0)</f>
        <v>Serviço</v>
      </c>
      <c r="E108" s="116" t="str">
        <f ca="1">OFFSET(ORÇAMENTO!O$15,ROW(E108)-ROW(E$15),0)</f>
        <v>-</v>
      </c>
      <c r="F108" s="169" t="str">
        <f ca="1">OFFSET(ORÇAMENTO!R$15,ROW(F108)-ROW(F$15),0)</f>
        <v>(abra o arquivo 'Referência 10-2024.xlsm)</v>
      </c>
      <c r="G108" s="170" t="str">
        <f ca="1">IF($D108&lt;&gt;"Serviço","",OFFSET(ORÇAMENTO!S$15,ROW(G108)-ROW(G$15),0))</f>
        <v>-</v>
      </c>
      <c r="H108" s="121">
        <f ca="1">IF($D108&lt;&gt;"Serviço",0,IF(ACOMPANHAMENTO="BM",ROUND(OFFSET(ORÇAMENTO!AJ$15,ROW(H108)-ROW(H$15),0),15-13*ORÇAMENTO!$AF$7),SUMPRODUCT(($Q$12:$AA$12&lt;&gt;"")*ROUND($Q108:$AA108,15-13*ORÇAMENTO!$AF$7))))</f>
        <v>94.8</v>
      </c>
      <c r="I108" s="558" t="s">
        <v>561</v>
      </c>
      <c r="K108" s="171"/>
      <c r="L108" s="172" t="s">
        <v>255</v>
      </c>
      <c r="M108" s="173">
        <f ca="1">IF($D108&lt;&gt;"Serviço","",IF(AUTOEVENTO="manual",$A108,IF(ISERROR(MATCH($A108,$A$15:OFFSET($A108,-1,0),0)),MAX($M$15:OFFSET(M108,-1,0))+1,INDEX($M$15:OFFSET(M108,-1,0),MATCH($A108,$A$15:OFFSET($A108,-1,0),0)))))</f>
        <v>15</v>
      </c>
      <c r="N108" s="174" t="str">
        <f ca="1">IF($D108&lt;&gt;"Serviço","",IF(AUTOEVENTO="Manual",IF($A108=0,"&lt;-- defina o número do agrupador",OFFSET(EVENTOS!$D$14,$A108,0)),OFFSET($F$15,$A108,0)))</f>
        <v>INSTALAÇÕES ELÉTRICAS</v>
      </c>
      <c r="O108" s="175"/>
      <c r="Q108" s="175"/>
      <c r="R108" s="176"/>
      <c r="S108" s="176"/>
      <c r="T108" s="176"/>
      <c r="U108" s="176"/>
      <c r="V108" s="176"/>
      <c r="W108" s="176"/>
      <c r="X108" s="176"/>
      <c r="Y108" s="176"/>
      <c r="Z108" s="177"/>
      <c r="AB108" s="541">
        <f ca="1">IF(AND($D108="Serviço",AB$12&lt;&gt;0,$H108&gt;0,OR(AUTOEVENTO&lt;&gt;"manual",$M108&lt;&gt;1)),
IF(Import.TipoArredondamento&lt;&gt;"TransfereGOV",
ROUND(OFFSET($P108,0,AB$13),15-13*ORÇAMENTO!$AF$7)/$H108*OFFSET(ORÇAMENTO!$X$15,ROW(AB108)-ROW(AB$15),0),
ROUND(ROUND(OFFSET($P108,0,AB$13),15-13*ORÇAMENTO!$AF$7)*OFFSET(ORÇAMENTO!$W$15,ROW(AB108)-ROW(AB$15),0),15-13*ORÇAMENTO!$AF$11)),0)</f>
        <v>0</v>
      </c>
      <c r="AC108" s="542">
        <f ca="1">IF(AND($D108="Serviço",AC$12&lt;&gt;0,$H108&gt;0,OR(AUTOEVENTO&lt;&gt;"manual",$M108&lt;&gt;1)),
IF(Import.TipoArredondamento&lt;&gt;"TransfereGOV",
ROUND(OFFSET($P108,0,AC$13),15-13*ORÇAMENTO!$AF$7)/$H108*OFFSET(ORÇAMENTO!$X$15,ROW(AC108)-ROW(AC$15),0),
ROUND(ROUND(OFFSET($P108,0,AC$13),15-13*ORÇAMENTO!$AF$7)*OFFSET(ORÇAMENTO!$W$15,ROW(AC108)-ROW(AC$15),0),15-13*ORÇAMENTO!$AF$11)),0)</f>
        <v>0</v>
      </c>
      <c r="AD108" s="542">
        <f ca="1">IF(AND($D108="Serviço",AD$12&lt;&gt;0,$H108&gt;0,OR(AUTOEVENTO&lt;&gt;"manual",$M108&lt;&gt;1)),
IF(Import.TipoArredondamento&lt;&gt;"TransfereGOV",
ROUND(OFFSET($P108,0,AD$13),15-13*ORÇAMENTO!$AF$7)/$H108*OFFSET(ORÇAMENTO!$X$15,ROW(AD108)-ROW(AD$15),0),
ROUND(ROUND(OFFSET($P108,0,AD$13),15-13*ORÇAMENTO!$AF$7)*OFFSET(ORÇAMENTO!$W$15,ROW(AD108)-ROW(AD$15),0),15-13*ORÇAMENTO!$AF$11)),0)</f>
        <v>0</v>
      </c>
      <c r="AE108" s="542">
        <f ca="1">IF(AND($D108="Serviço",AE$12&lt;&gt;0,$H108&gt;0,OR(AUTOEVENTO&lt;&gt;"manual",$M108&lt;&gt;1)),
IF(Import.TipoArredondamento&lt;&gt;"TransfereGOV",
ROUND(OFFSET($P108,0,AE$13),15-13*ORÇAMENTO!$AF$7)/$H108*OFFSET(ORÇAMENTO!$X$15,ROW(AE108)-ROW(AE$15),0),
ROUND(ROUND(OFFSET($P108,0,AE$13),15-13*ORÇAMENTO!$AF$7)*OFFSET(ORÇAMENTO!$W$15,ROW(AE108)-ROW(AE$15),0),15-13*ORÇAMENTO!$AF$11)),0)</f>
        <v>0</v>
      </c>
      <c r="AF108" s="542">
        <f ca="1">IF(AND($D108="Serviço",AF$12&lt;&gt;0,$H108&gt;0,OR(AUTOEVENTO&lt;&gt;"manual",$M108&lt;&gt;1)),
IF(Import.TipoArredondamento&lt;&gt;"TransfereGOV",
ROUND(OFFSET($P108,0,AF$13),15-13*ORÇAMENTO!$AF$7)/$H108*OFFSET(ORÇAMENTO!$X$15,ROW(AF108)-ROW(AF$15),0),
ROUND(ROUND(OFFSET($P108,0,AF$13),15-13*ORÇAMENTO!$AF$7)*OFFSET(ORÇAMENTO!$W$15,ROW(AF108)-ROW(AF$15),0),15-13*ORÇAMENTO!$AF$11)),0)</f>
        <v>0</v>
      </c>
      <c r="AG108" s="542">
        <f ca="1">IF(AND($D108="Serviço",AG$12&lt;&gt;0,$H108&gt;0,OR(AUTOEVENTO&lt;&gt;"manual",$M108&lt;&gt;1)),
IF(Import.TipoArredondamento&lt;&gt;"TransfereGOV",
ROUND(OFFSET($P108,0,AG$13),15-13*ORÇAMENTO!$AF$7)/$H108*OFFSET(ORÇAMENTO!$X$15,ROW(AG108)-ROW(AG$15),0),
ROUND(ROUND(OFFSET($P108,0,AG$13),15-13*ORÇAMENTO!$AF$7)*OFFSET(ORÇAMENTO!$W$15,ROW(AG108)-ROW(AG$15),0),15-13*ORÇAMENTO!$AF$11)),0)</f>
        <v>0</v>
      </c>
      <c r="AH108" s="542">
        <f ca="1">IF(AND($D108="Serviço",AH$12&lt;&gt;0,$H108&gt;0,OR(AUTOEVENTO&lt;&gt;"manual",$M108&lt;&gt;1)),
IF(Import.TipoArredondamento&lt;&gt;"TransfereGOV",
ROUND(OFFSET($P108,0,AH$13),15-13*ORÇAMENTO!$AF$7)/$H108*OFFSET(ORÇAMENTO!$X$15,ROW(AH108)-ROW(AH$15),0),
ROUND(ROUND(OFFSET($P108,0,AH$13),15-13*ORÇAMENTO!$AF$7)*OFFSET(ORÇAMENTO!$W$15,ROW(AH108)-ROW(AH$15),0),15-13*ORÇAMENTO!$AF$11)),0)</f>
        <v>0</v>
      </c>
      <c r="AI108" s="542">
        <f ca="1">IF(AND($D108="Serviço",AI$12&lt;&gt;0,$H108&gt;0,OR(AUTOEVENTO&lt;&gt;"manual",$M108&lt;&gt;1)),
IF(Import.TipoArredondamento&lt;&gt;"TransfereGOV",
ROUND(OFFSET($P108,0,AI$13),15-13*ORÇAMENTO!$AF$7)/$H108*OFFSET(ORÇAMENTO!$X$15,ROW(AI108)-ROW(AI$15),0),
ROUND(ROUND(OFFSET($P108,0,AI$13),15-13*ORÇAMENTO!$AF$7)*OFFSET(ORÇAMENTO!$W$15,ROW(AI108)-ROW(AI$15),0),15-13*ORÇAMENTO!$AF$11)),0)</f>
        <v>0</v>
      </c>
      <c r="AJ108" s="542">
        <f ca="1">IF(AND($D108="Serviço",AJ$12&lt;&gt;0,$H108&gt;0,OR(AUTOEVENTO&lt;&gt;"manual",$M108&lt;&gt;1)),
IF(Import.TipoArredondamento&lt;&gt;"TransfereGOV",
ROUND(OFFSET($P108,0,AJ$13),15-13*ORÇAMENTO!$AF$7)/$H108*OFFSET(ORÇAMENTO!$X$15,ROW(AJ108)-ROW(AJ$15),0),
ROUND(ROUND(OFFSET($P108,0,AJ$13),15-13*ORÇAMENTO!$AF$7)*OFFSET(ORÇAMENTO!$W$15,ROW(AJ108)-ROW(AJ$15),0),15-13*ORÇAMENTO!$AF$11)),0)</f>
        <v>0</v>
      </c>
      <c r="AK108" s="543">
        <f ca="1">IF(AND($D108="Serviço",AK$12&lt;&gt;0,$H108&gt;0,OR(AUTOEVENTO&lt;&gt;"manual",$M108&lt;&gt;1)),
IF(Import.TipoArredondamento&lt;&gt;"TransfereGOV",
ROUND(OFFSET($P108,0,AK$13),15-13*ORÇAMENTO!$AF$7)/$H108*OFFSET(ORÇAMENTO!$X$15,ROW(AK108)-ROW(AK$15),0),
ROUND(ROUND(OFFSET($P108,0,AK$13),15-13*ORÇAMENTO!$AF$7)*OFFSET(ORÇAMENTO!$W$15,ROW(AK108)-ROW(AK$15),0),15-13*ORÇAMENTO!$AF$11)),0)</f>
        <v>0</v>
      </c>
      <c r="AM108" s="178">
        <f ca="1">IF($D108&lt;&gt;"Serviço",0,IF(AND(AUTOEVENTO="Manual",$M108=1),0,IF(OFFSET(CRONOPLE!$F$14,$M108,AM$13)="",10^12,OFFSET(CRONOPLE!$F$14,$M108,AM$13))))</f>
        <v>1000000000000</v>
      </c>
      <c r="AN108" s="178">
        <f ca="1">IF($D108&lt;&gt;"Serviço",0,IF(AND(AUTOEVENTO="Manual",$M108=1),0,IF(OFFSET(CRONOPLE!$F$14,$M108,AN$13)="",10^12,OFFSET(CRONOPLE!$F$14,$M108,AN$13))))</f>
        <v>1000000000000</v>
      </c>
      <c r="AO108" s="178">
        <f ca="1">IF($D108&lt;&gt;"Serviço",0,IF(AND(AUTOEVENTO="Manual",$M108=1),0,IF(OFFSET(CRONOPLE!$F$14,$M108,AO$13)="",10^12,OFFSET(CRONOPLE!$F$14,$M108,AO$13))))</f>
        <v>1000000000000</v>
      </c>
      <c r="AP108" s="178">
        <f ca="1">IF($D108&lt;&gt;"Serviço",0,IF(AND(AUTOEVENTO="Manual",$M108=1),0,IF(OFFSET(CRONOPLE!$F$14,$M108,AP$13)="",10^12,OFFSET(CRONOPLE!$F$14,$M108,AP$13))))</f>
        <v>1000000000000</v>
      </c>
      <c r="AQ108" s="178">
        <f ca="1">IF($D108&lt;&gt;"Serviço",0,IF(AND(AUTOEVENTO="Manual",$M108=1),0,IF(OFFSET(CRONOPLE!$F$14,$M108,AQ$13)="",10^12,OFFSET(CRONOPLE!$F$14,$M108,AQ$13))))</f>
        <v>1000000000000</v>
      </c>
      <c r="AR108" s="178">
        <f ca="1">IF($D108&lt;&gt;"Serviço",0,IF(AND(AUTOEVENTO="Manual",$M108=1),0,IF(OFFSET(CRONOPLE!$F$14,$M108,AR$13)="",10^12,OFFSET(CRONOPLE!$F$14,$M108,AR$13))))</f>
        <v>1000000000000</v>
      </c>
      <c r="AS108" s="178">
        <f ca="1">IF($D108&lt;&gt;"Serviço",0,IF(AND(AUTOEVENTO="Manual",$M108=1),0,IF(OFFSET(CRONOPLE!$F$14,$M108,AS$13)="",10^12,OFFSET(CRONOPLE!$F$14,$M108,AS$13))))</f>
        <v>1000000000000</v>
      </c>
      <c r="AT108" s="178">
        <f ca="1">IF($D108&lt;&gt;"Serviço",0,IF(AND(AUTOEVENTO="Manual",$M108=1),0,IF(OFFSET(CRONOPLE!$F$14,$M108,AT$13)="",10^12,OFFSET(CRONOPLE!$F$14,$M108,AT$13))))</f>
        <v>1000000000000</v>
      </c>
      <c r="AU108" s="178">
        <f ca="1">IF($D108&lt;&gt;"Serviço",0,IF(AND(AUTOEVENTO="Manual",$M108=1),0,IF(OFFSET(CRONOPLE!$F$14,$M108,AU$13)="",10^12,OFFSET(CRONOPLE!$F$14,$M108,AU$13))))</f>
        <v>1000000000000</v>
      </c>
      <c r="AV108" s="178">
        <f ca="1">IF($D108&lt;&gt;"Serviço",0,IF(AND(AUTOEVENTO="Manual",$M108=1),0,IF(OFFSET(CRONOPLE!$F$14,$M108,AV$13)="",10^12,OFFSET(CRONOPLE!$F$14,$M108,AV$13))))</f>
        <v>1000000000000</v>
      </c>
      <c r="AX108" s="179">
        <f ca="1">IF($D108&lt;&gt;"Serviço",0,IF(OR(AND(AUTOEVENTO="Manual",$M108=1),$M108&gt;(ROW(PLE.lastrow)-ROW(PLE.firstrow))),0,IF(OFFSET(PLE!$G$14,$M108,AX$13)="",10^12,OFFSET(PLE!$G$14,$M108,AX$13))))</f>
        <v>1000000000000</v>
      </c>
      <c r="AY108" s="179">
        <f ca="1">IF($D108&lt;&gt;"Serviço",0,IF(OR(AND(AUTOEVENTO="Manual",$M108=1),$M108&gt;(ROW(PLE.lastrow)-ROW(PLE.firstrow))),0,IF(OFFSET(PLE!$G$14,$M108,AY$13)="",10^12,OFFSET(PLE!$G$14,$M108,AY$13))))</f>
        <v>1000000000000</v>
      </c>
      <c r="AZ108" s="179">
        <f ca="1">IF($D108&lt;&gt;"Serviço",0,IF(OR(AND(AUTOEVENTO="Manual",$M108=1),$M108&gt;(ROW(PLE.lastrow)-ROW(PLE.firstrow))),0,IF(OFFSET(PLE!$G$14,$M108,AZ$13)="",10^12,OFFSET(PLE!$G$14,$M108,AZ$13))))</f>
        <v>1000000000000</v>
      </c>
      <c r="BA108" s="179">
        <f ca="1">IF($D108&lt;&gt;"Serviço",0,IF(OR(AND(AUTOEVENTO="Manual",$M108=1),$M108&gt;(ROW(PLE.lastrow)-ROW(PLE.firstrow))),0,IF(OFFSET(PLE!$G$14,$M108,BA$13)="",10^12,OFFSET(PLE!$G$14,$M108,BA$13))))</f>
        <v>1000000000000</v>
      </c>
      <c r="BB108" s="179">
        <f ca="1">IF($D108&lt;&gt;"Serviço",0,IF(OR(AND(AUTOEVENTO="Manual",$M108=1),$M108&gt;(ROW(PLE.lastrow)-ROW(PLE.firstrow))),0,IF(OFFSET(PLE!$G$14,$M108,BB$13)="",10^12,OFFSET(PLE!$G$14,$M108,BB$13))))</f>
        <v>1000000000000</v>
      </c>
      <c r="BC108" s="179">
        <f ca="1">IF($D108&lt;&gt;"Serviço",0,IF(OR(AND(AUTOEVENTO="Manual",$M108=1),$M108&gt;(ROW(PLE.lastrow)-ROW(PLE.firstrow))),0,IF(OFFSET(PLE!$G$14,$M108,BC$13)="",10^12,OFFSET(PLE!$G$14,$M108,BC$13))))</f>
        <v>1000000000000</v>
      </c>
      <c r="BD108" s="179">
        <f ca="1">IF($D108&lt;&gt;"Serviço",0,IF(OR(AND(AUTOEVENTO="Manual",$M108=1),$M108&gt;(ROW(PLE.lastrow)-ROW(PLE.firstrow))),0,IF(OFFSET(PLE!$G$14,$M108,BD$13)="",10^12,OFFSET(PLE!$G$14,$M108,BD$13))))</f>
        <v>1000000000000</v>
      </c>
      <c r="BE108" s="179">
        <f ca="1">IF($D108&lt;&gt;"Serviço",0,IF(OR(AND(AUTOEVENTO="Manual",$M108=1),$M108&gt;(ROW(PLE.lastrow)-ROW(PLE.firstrow))),0,IF(OFFSET(PLE!$G$14,$M108,BE$13)="",10^12,OFFSET(PLE!$G$14,$M108,BE$13))))</f>
        <v>1000000000000</v>
      </c>
      <c r="BF108" s="179">
        <f ca="1">IF($D108&lt;&gt;"Serviço",0,IF(OR(AND(AUTOEVENTO="Manual",$M108=1),$M108&gt;(ROW(PLE.lastrow)-ROW(PLE.firstrow))),0,IF(OFFSET(PLE!$G$14,$M108,BF$13)="",10^12,OFFSET(PLE!$G$14,$M108,BF$13))))</f>
        <v>1000000000000</v>
      </c>
      <c r="BG108" s="179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38.25" x14ac:dyDescent="0.2">
      <c r="A109" s="7" t="str">
        <f t="shared" ca="1" si="10"/>
        <v>88</v>
      </c>
      <c r="B109" s="7" t="str">
        <f ca="1">OFFSET(ORÇAMENTO!C$15,ROW(B109)-ROW(B$15),0)</f>
        <v>S</v>
      </c>
      <c r="C109" s="7" t="str">
        <f ca="1">OFFSET(ORÇAMENTO!L$15,ROW(C109)-ROW(C$15),0)</f>
        <v/>
      </c>
      <c r="D109" s="115" t="str">
        <f ca="1">OFFSET(ORÇAMENTO!N$15,ROW(D109)-ROW(D$15),0)</f>
        <v>Serviço</v>
      </c>
      <c r="E109" s="116" t="str">
        <f ca="1">OFFSET(ORÇAMENTO!O$15,ROW(E109)-ROW(E$15),0)</f>
        <v>-</v>
      </c>
      <c r="F109" s="169" t="str">
        <f ca="1">OFFSET(ORÇAMENTO!R$15,ROW(F109)-ROW(F$15),0)</f>
        <v>(abra o arquivo 'Referência 10-2024.xlsm)</v>
      </c>
      <c r="G109" s="170" t="str">
        <f ca="1">IF($D109&lt;&gt;"Serviço","",OFFSET(ORÇAMENTO!S$15,ROW(G109)-ROW(G$15),0))</f>
        <v>-</v>
      </c>
      <c r="H109" s="121">
        <f ca="1">IF($D109&lt;&gt;"Serviço",0,IF(ACOMPANHAMENTO="BM",ROUND(OFFSET(ORÇAMENTO!AJ$15,ROW(H109)-ROW(H$15),0),15-13*ORÇAMENTO!$AF$7),SUMPRODUCT(($Q$12:$AA$12&lt;&gt;"")*ROUND($Q109:$AA109,15-13*ORÇAMENTO!$AF$7))))</f>
        <v>51</v>
      </c>
      <c r="I109" s="558" t="s">
        <v>561</v>
      </c>
      <c r="K109" s="171"/>
      <c r="L109" s="172" t="s">
        <v>255</v>
      </c>
      <c r="M109" s="173">
        <f ca="1">IF($D109&lt;&gt;"Serviço","",IF(AUTOEVENTO="manual",$A109,IF(ISERROR(MATCH($A109,$A$15:OFFSET($A109,-1,0),0)),MAX($M$15:OFFSET(M109,-1,0))+1,INDEX($M$15:OFFSET(M109,-1,0),MATCH($A109,$A$15:OFFSET($A109,-1,0),0)))))</f>
        <v>15</v>
      </c>
      <c r="N109" s="174" t="str">
        <f ca="1">IF($D109&lt;&gt;"Serviço","",IF(AUTOEVENTO="Manual",IF($A109=0,"&lt;-- defina o número do agrupador",OFFSET(EVENTOS!$D$14,$A109,0)),OFFSET($F$15,$A109,0)))</f>
        <v>INSTALAÇÕES ELÉTRICAS</v>
      </c>
      <c r="O109" s="175"/>
      <c r="Q109" s="175"/>
      <c r="R109" s="176"/>
      <c r="S109" s="176"/>
      <c r="T109" s="176"/>
      <c r="U109" s="176"/>
      <c r="V109" s="176"/>
      <c r="W109" s="176"/>
      <c r="X109" s="176"/>
      <c r="Y109" s="176"/>
      <c r="Z109" s="177"/>
      <c r="AB109" s="541">
        <f ca="1">IF(AND($D109="Serviço",AB$12&lt;&gt;0,$H109&gt;0,OR(AUTOEVENTO&lt;&gt;"manual",$M109&lt;&gt;1)),
IF(Import.TipoArredondamento&lt;&gt;"TransfereGOV",
ROUND(OFFSET($P109,0,AB$13),15-13*ORÇAMENTO!$AF$7)/$H109*OFFSET(ORÇAMENTO!$X$15,ROW(AB109)-ROW(AB$15),0),
ROUND(ROUND(OFFSET($P109,0,AB$13),15-13*ORÇAMENTO!$AF$7)*OFFSET(ORÇAMENTO!$W$15,ROW(AB109)-ROW(AB$15),0),15-13*ORÇAMENTO!$AF$11)),0)</f>
        <v>0</v>
      </c>
      <c r="AC109" s="542">
        <f ca="1">IF(AND($D109="Serviço",AC$12&lt;&gt;0,$H109&gt;0,OR(AUTOEVENTO&lt;&gt;"manual",$M109&lt;&gt;1)),
IF(Import.TipoArredondamento&lt;&gt;"TransfereGOV",
ROUND(OFFSET($P109,0,AC$13),15-13*ORÇAMENTO!$AF$7)/$H109*OFFSET(ORÇAMENTO!$X$15,ROW(AC109)-ROW(AC$15),0),
ROUND(ROUND(OFFSET($P109,0,AC$13),15-13*ORÇAMENTO!$AF$7)*OFFSET(ORÇAMENTO!$W$15,ROW(AC109)-ROW(AC$15),0),15-13*ORÇAMENTO!$AF$11)),0)</f>
        <v>0</v>
      </c>
      <c r="AD109" s="542">
        <f ca="1">IF(AND($D109="Serviço",AD$12&lt;&gt;0,$H109&gt;0,OR(AUTOEVENTO&lt;&gt;"manual",$M109&lt;&gt;1)),
IF(Import.TipoArredondamento&lt;&gt;"TransfereGOV",
ROUND(OFFSET($P109,0,AD$13),15-13*ORÇAMENTO!$AF$7)/$H109*OFFSET(ORÇAMENTO!$X$15,ROW(AD109)-ROW(AD$15),0),
ROUND(ROUND(OFFSET($P109,0,AD$13),15-13*ORÇAMENTO!$AF$7)*OFFSET(ORÇAMENTO!$W$15,ROW(AD109)-ROW(AD$15),0),15-13*ORÇAMENTO!$AF$11)),0)</f>
        <v>0</v>
      </c>
      <c r="AE109" s="542">
        <f ca="1">IF(AND($D109="Serviço",AE$12&lt;&gt;0,$H109&gt;0,OR(AUTOEVENTO&lt;&gt;"manual",$M109&lt;&gt;1)),
IF(Import.TipoArredondamento&lt;&gt;"TransfereGOV",
ROUND(OFFSET($P109,0,AE$13),15-13*ORÇAMENTO!$AF$7)/$H109*OFFSET(ORÇAMENTO!$X$15,ROW(AE109)-ROW(AE$15),0),
ROUND(ROUND(OFFSET($P109,0,AE$13),15-13*ORÇAMENTO!$AF$7)*OFFSET(ORÇAMENTO!$W$15,ROW(AE109)-ROW(AE$15),0),15-13*ORÇAMENTO!$AF$11)),0)</f>
        <v>0</v>
      </c>
      <c r="AF109" s="542">
        <f ca="1">IF(AND($D109="Serviço",AF$12&lt;&gt;0,$H109&gt;0,OR(AUTOEVENTO&lt;&gt;"manual",$M109&lt;&gt;1)),
IF(Import.TipoArredondamento&lt;&gt;"TransfereGOV",
ROUND(OFFSET($P109,0,AF$13),15-13*ORÇAMENTO!$AF$7)/$H109*OFFSET(ORÇAMENTO!$X$15,ROW(AF109)-ROW(AF$15),0),
ROUND(ROUND(OFFSET($P109,0,AF$13),15-13*ORÇAMENTO!$AF$7)*OFFSET(ORÇAMENTO!$W$15,ROW(AF109)-ROW(AF$15),0),15-13*ORÇAMENTO!$AF$11)),0)</f>
        <v>0</v>
      </c>
      <c r="AG109" s="542">
        <f ca="1">IF(AND($D109="Serviço",AG$12&lt;&gt;0,$H109&gt;0,OR(AUTOEVENTO&lt;&gt;"manual",$M109&lt;&gt;1)),
IF(Import.TipoArredondamento&lt;&gt;"TransfereGOV",
ROUND(OFFSET($P109,0,AG$13),15-13*ORÇAMENTO!$AF$7)/$H109*OFFSET(ORÇAMENTO!$X$15,ROW(AG109)-ROW(AG$15),0),
ROUND(ROUND(OFFSET($P109,0,AG$13),15-13*ORÇAMENTO!$AF$7)*OFFSET(ORÇAMENTO!$W$15,ROW(AG109)-ROW(AG$15),0),15-13*ORÇAMENTO!$AF$11)),0)</f>
        <v>0</v>
      </c>
      <c r="AH109" s="542">
        <f ca="1">IF(AND($D109="Serviço",AH$12&lt;&gt;0,$H109&gt;0,OR(AUTOEVENTO&lt;&gt;"manual",$M109&lt;&gt;1)),
IF(Import.TipoArredondamento&lt;&gt;"TransfereGOV",
ROUND(OFFSET($P109,0,AH$13),15-13*ORÇAMENTO!$AF$7)/$H109*OFFSET(ORÇAMENTO!$X$15,ROW(AH109)-ROW(AH$15),0),
ROUND(ROUND(OFFSET($P109,0,AH$13),15-13*ORÇAMENTO!$AF$7)*OFFSET(ORÇAMENTO!$W$15,ROW(AH109)-ROW(AH$15),0),15-13*ORÇAMENTO!$AF$11)),0)</f>
        <v>0</v>
      </c>
      <c r="AI109" s="542">
        <f ca="1">IF(AND($D109="Serviço",AI$12&lt;&gt;0,$H109&gt;0,OR(AUTOEVENTO&lt;&gt;"manual",$M109&lt;&gt;1)),
IF(Import.TipoArredondamento&lt;&gt;"TransfereGOV",
ROUND(OFFSET($P109,0,AI$13),15-13*ORÇAMENTO!$AF$7)/$H109*OFFSET(ORÇAMENTO!$X$15,ROW(AI109)-ROW(AI$15),0),
ROUND(ROUND(OFFSET($P109,0,AI$13),15-13*ORÇAMENTO!$AF$7)*OFFSET(ORÇAMENTO!$W$15,ROW(AI109)-ROW(AI$15),0),15-13*ORÇAMENTO!$AF$11)),0)</f>
        <v>0</v>
      </c>
      <c r="AJ109" s="542">
        <f ca="1">IF(AND($D109="Serviço",AJ$12&lt;&gt;0,$H109&gt;0,OR(AUTOEVENTO&lt;&gt;"manual",$M109&lt;&gt;1)),
IF(Import.TipoArredondamento&lt;&gt;"TransfereGOV",
ROUND(OFFSET($P109,0,AJ$13),15-13*ORÇAMENTO!$AF$7)/$H109*OFFSET(ORÇAMENTO!$X$15,ROW(AJ109)-ROW(AJ$15),0),
ROUND(ROUND(OFFSET($P109,0,AJ$13),15-13*ORÇAMENTO!$AF$7)*OFFSET(ORÇAMENTO!$W$15,ROW(AJ109)-ROW(AJ$15),0),15-13*ORÇAMENTO!$AF$11)),0)</f>
        <v>0</v>
      </c>
      <c r="AK109" s="543">
        <f ca="1">IF(AND($D109="Serviço",AK$12&lt;&gt;0,$H109&gt;0,OR(AUTOEVENTO&lt;&gt;"manual",$M109&lt;&gt;1)),
IF(Import.TipoArredondamento&lt;&gt;"TransfereGOV",
ROUND(OFFSET($P109,0,AK$13),15-13*ORÇAMENTO!$AF$7)/$H109*OFFSET(ORÇAMENTO!$X$15,ROW(AK109)-ROW(AK$15),0),
ROUND(ROUND(OFFSET($P109,0,AK$13),15-13*ORÇAMENTO!$AF$7)*OFFSET(ORÇAMENTO!$W$15,ROW(AK109)-ROW(AK$15),0),15-13*ORÇAMENTO!$AF$11)),0)</f>
        <v>0</v>
      </c>
      <c r="AM109" s="178">
        <f ca="1">IF($D109&lt;&gt;"Serviço",0,IF(AND(AUTOEVENTO="Manual",$M109=1),0,IF(OFFSET(CRONOPLE!$F$14,$M109,AM$13)="",10^12,OFFSET(CRONOPLE!$F$14,$M109,AM$13))))</f>
        <v>1000000000000</v>
      </c>
      <c r="AN109" s="178">
        <f ca="1">IF($D109&lt;&gt;"Serviço",0,IF(AND(AUTOEVENTO="Manual",$M109=1),0,IF(OFFSET(CRONOPLE!$F$14,$M109,AN$13)="",10^12,OFFSET(CRONOPLE!$F$14,$M109,AN$13))))</f>
        <v>1000000000000</v>
      </c>
      <c r="AO109" s="178">
        <f ca="1">IF($D109&lt;&gt;"Serviço",0,IF(AND(AUTOEVENTO="Manual",$M109=1),0,IF(OFFSET(CRONOPLE!$F$14,$M109,AO$13)="",10^12,OFFSET(CRONOPLE!$F$14,$M109,AO$13))))</f>
        <v>1000000000000</v>
      </c>
      <c r="AP109" s="178">
        <f ca="1">IF($D109&lt;&gt;"Serviço",0,IF(AND(AUTOEVENTO="Manual",$M109=1),0,IF(OFFSET(CRONOPLE!$F$14,$M109,AP$13)="",10^12,OFFSET(CRONOPLE!$F$14,$M109,AP$13))))</f>
        <v>1000000000000</v>
      </c>
      <c r="AQ109" s="178">
        <f ca="1">IF($D109&lt;&gt;"Serviço",0,IF(AND(AUTOEVENTO="Manual",$M109=1),0,IF(OFFSET(CRONOPLE!$F$14,$M109,AQ$13)="",10^12,OFFSET(CRONOPLE!$F$14,$M109,AQ$13))))</f>
        <v>1000000000000</v>
      </c>
      <c r="AR109" s="178">
        <f ca="1">IF($D109&lt;&gt;"Serviço",0,IF(AND(AUTOEVENTO="Manual",$M109=1),0,IF(OFFSET(CRONOPLE!$F$14,$M109,AR$13)="",10^12,OFFSET(CRONOPLE!$F$14,$M109,AR$13))))</f>
        <v>1000000000000</v>
      </c>
      <c r="AS109" s="178">
        <f ca="1">IF($D109&lt;&gt;"Serviço",0,IF(AND(AUTOEVENTO="Manual",$M109=1),0,IF(OFFSET(CRONOPLE!$F$14,$M109,AS$13)="",10^12,OFFSET(CRONOPLE!$F$14,$M109,AS$13))))</f>
        <v>1000000000000</v>
      </c>
      <c r="AT109" s="178">
        <f ca="1">IF($D109&lt;&gt;"Serviço",0,IF(AND(AUTOEVENTO="Manual",$M109=1),0,IF(OFFSET(CRONOPLE!$F$14,$M109,AT$13)="",10^12,OFFSET(CRONOPLE!$F$14,$M109,AT$13))))</f>
        <v>1000000000000</v>
      </c>
      <c r="AU109" s="178">
        <f ca="1">IF($D109&lt;&gt;"Serviço",0,IF(AND(AUTOEVENTO="Manual",$M109=1),0,IF(OFFSET(CRONOPLE!$F$14,$M109,AU$13)="",10^12,OFFSET(CRONOPLE!$F$14,$M109,AU$13))))</f>
        <v>1000000000000</v>
      </c>
      <c r="AV109" s="178">
        <f ca="1">IF($D109&lt;&gt;"Serviço",0,IF(AND(AUTOEVENTO="Manual",$M109=1),0,IF(OFFSET(CRONOPLE!$F$14,$M109,AV$13)="",10^12,OFFSET(CRONOPLE!$F$14,$M109,AV$13))))</f>
        <v>1000000000000</v>
      </c>
      <c r="AX109" s="179">
        <f ca="1">IF($D109&lt;&gt;"Serviço",0,IF(OR(AND(AUTOEVENTO="Manual",$M109=1),$M109&gt;(ROW(PLE.lastrow)-ROW(PLE.firstrow))),0,IF(OFFSET(PLE!$G$14,$M109,AX$13)="",10^12,OFFSET(PLE!$G$14,$M109,AX$13))))</f>
        <v>1000000000000</v>
      </c>
      <c r="AY109" s="179">
        <f ca="1">IF($D109&lt;&gt;"Serviço",0,IF(OR(AND(AUTOEVENTO="Manual",$M109=1),$M109&gt;(ROW(PLE.lastrow)-ROW(PLE.firstrow))),0,IF(OFFSET(PLE!$G$14,$M109,AY$13)="",10^12,OFFSET(PLE!$G$14,$M109,AY$13))))</f>
        <v>1000000000000</v>
      </c>
      <c r="AZ109" s="179">
        <f ca="1">IF($D109&lt;&gt;"Serviço",0,IF(OR(AND(AUTOEVENTO="Manual",$M109=1),$M109&gt;(ROW(PLE.lastrow)-ROW(PLE.firstrow))),0,IF(OFFSET(PLE!$G$14,$M109,AZ$13)="",10^12,OFFSET(PLE!$G$14,$M109,AZ$13))))</f>
        <v>1000000000000</v>
      </c>
      <c r="BA109" s="179">
        <f ca="1">IF($D109&lt;&gt;"Serviço",0,IF(OR(AND(AUTOEVENTO="Manual",$M109=1),$M109&gt;(ROW(PLE.lastrow)-ROW(PLE.firstrow))),0,IF(OFFSET(PLE!$G$14,$M109,BA$13)="",10^12,OFFSET(PLE!$G$14,$M109,BA$13))))</f>
        <v>1000000000000</v>
      </c>
      <c r="BB109" s="179">
        <f ca="1">IF($D109&lt;&gt;"Serviço",0,IF(OR(AND(AUTOEVENTO="Manual",$M109=1),$M109&gt;(ROW(PLE.lastrow)-ROW(PLE.firstrow))),0,IF(OFFSET(PLE!$G$14,$M109,BB$13)="",10^12,OFFSET(PLE!$G$14,$M109,BB$13))))</f>
        <v>1000000000000</v>
      </c>
      <c r="BC109" s="179">
        <f ca="1">IF($D109&lt;&gt;"Serviço",0,IF(OR(AND(AUTOEVENTO="Manual",$M109=1),$M109&gt;(ROW(PLE.lastrow)-ROW(PLE.firstrow))),0,IF(OFFSET(PLE!$G$14,$M109,BC$13)="",10^12,OFFSET(PLE!$G$14,$M109,BC$13))))</f>
        <v>1000000000000</v>
      </c>
      <c r="BD109" s="179">
        <f ca="1">IF($D109&lt;&gt;"Serviço",0,IF(OR(AND(AUTOEVENTO="Manual",$M109=1),$M109&gt;(ROW(PLE.lastrow)-ROW(PLE.firstrow))),0,IF(OFFSET(PLE!$G$14,$M109,BD$13)="",10^12,OFFSET(PLE!$G$14,$M109,BD$13))))</f>
        <v>1000000000000</v>
      </c>
      <c r="BE109" s="179">
        <f ca="1">IF($D109&lt;&gt;"Serviço",0,IF(OR(AND(AUTOEVENTO="Manual",$M109=1),$M109&gt;(ROW(PLE.lastrow)-ROW(PLE.firstrow))),0,IF(OFFSET(PLE!$G$14,$M109,BE$13)="",10^12,OFFSET(PLE!$G$14,$M109,BE$13))))</f>
        <v>1000000000000</v>
      </c>
      <c r="BF109" s="179">
        <f ca="1">IF($D109&lt;&gt;"Serviço",0,IF(OR(AND(AUTOEVENTO="Manual",$M109=1),$M109&gt;(ROW(PLE.lastrow)-ROW(PLE.firstrow))),0,IF(OFFSET(PLE!$G$14,$M109,BF$13)="",10^12,OFFSET(PLE!$G$14,$M109,BF$13))))</f>
        <v>1000000000000</v>
      </c>
      <c r="BG109" s="179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25.5" x14ac:dyDescent="0.2">
      <c r="A110" s="7" t="str">
        <f t="shared" ca="1" si="10"/>
        <v>88</v>
      </c>
      <c r="B110" s="7" t="str">
        <f ca="1">OFFSET(ORÇAMENTO!C$15,ROW(B110)-ROW(B$15),0)</f>
        <v>S</v>
      </c>
      <c r="C110" s="7" t="str">
        <f ca="1">OFFSET(ORÇAMENTO!L$15,ROW(C110)-ROW(C$15),0)</f>
        <v/>
      </c>
      <c r="D110" s="115" t="str">
        <f ca="1">OFFSET(ORÇAMENTO!N$15,ROW(D110)-ROW(D$15),0)</f>
        <v>Serviço</v>
      </c>
      <c r="E110" s="116" t="str">
        <f ca="1">OFFSET(ORÇAMENTO!O$15,ROW(E110)-ROW(E$15),0)</f>
        <v>-</v>
      </c>
      <c r="F110" s="169" t="str">
        <f ca="1">OFFSET(ORÇAMENTO!R$15,ROW(F110)-ROW(F$15),0)</f>
        <v>(abra o arquivo 'Referência 10-2024.xlsm)</v>
      </c>
      <c r="G110" s="170" t="str">
        <f ca="1">IF($D110&lt;&gt;"Serviço","",OFFSET(ORÇAMENTO!S$15,ROW(G110)-ROW(G$15),0))</f>
        <v>-</v>
      </c>
      <c r="H110" s="121">
        <f ca="1">IF($D110&lt;&gt;"Serviço",0,IF(ACOMPANHAMENTO="BM",ROUND(OFFSET(ORÇAMENTO!AJ$15,ROW(H110)-ROW(H$15),0),15-13*ORÇAMENTO!$AF$7),SUMPRODUCT(($Q$12:$AA$12&lt;&gt;"")*ROUND($Q110:$AA110,15-13*ORÇAMENTO!$AF$7))))</f>
        <v>3</v>
      </c>
      <c r="I110" s="558" t="s">
        <v>561</v>
      </c>
      <c r="K110" s="171"/>
      <c r="L110" s="172" t="s">
        <v>255</v>
      </c>
      <c r="M110" s="173">
        <f ca="1">IF($D110&lt;&gt;"Serviço","",IF(AUTOEVENTO="manual",$A110,IF(ISERROR(MATCH($A110,$A$15:OFFSET($A110,-1,0),0)),MAX($M$15:OFFSET(M110,-1,0))+1,INDEX($M$15:OFFSET(M110,-1,0),MATCH($A110,$A$15:OFFSET($A110,-1,0),0)))))</f>
        <v>15</v>
      </c>
      <c r="N110" s="174" t="str">
        <f ca="1">IF($D110&lt;&gt;"Serviço","",IF(AUTOEVENTO="Manual",IF($A110=0,"&lt;-- defina o número do agrupador",OFFSET(EVENTOS!$D$14,$A110,0)),OFFSET($F$15,$A110,0)))</f>
        <v>INSTALAÇÕES ELÉTRICAS</v>
      </c>
      <c r="O110" s="175"/>
      <c r="Q110" s="175"/>
      <c r="R110" s="176"/>
      <c r="S110" s="176"/>
      <c r="T110" s="176"/>
      <c r="U110" s="176"/>
      <c r="V110" s="176"/>
      <c r="W110" s="176"/>
      <c r="X110" s="176"/>
      <c r="Y110" s="176"/>
      <c r="Z110" s="177"/>
      <c r="AB110" s="541">
        <f ca="1">IF(AND($D110="Serviço",AB$12&lt;&gt;0,$H110&gt;0,OR(AUTOEVENTO&lt;&gt;"manual",$M110&lt;&gt;1)),
IF(Import.TipoArredondamento&lt;&gt;"TransfereGOV",
ROUND(OFFSET($P110,0,AB$13),15-13*ORÇAMENTO!$AF$7)/$H110*OFFSET(ORÇAMENTO!$X$15,ROW(AB110)-ROW(AB$15),0),
ROUND(ROUND(OFFSET($P110,0,AB$13),15-13*ORÇAMENTO!$AF$7)*OFFSET(ORÇAMENTO!$W$15,ROW(AB110)-ROW(AB$15),0),15-13*ORÇAMENTO!$AF$11)),0)</f>
        <v>0</v>
      </c>
      <c r="AC110" s="542">
        <f ca="1">IF(AND($D110="Serviço",AC$12&lt;&gt;0,$H110&gt;0,OR(AUTOEVENTO&lt;&gt;"manual",$M110&lt;&gt;1)),
IF(Import.TipoArredondamento&lt;&gt;"TransfereGOV",
ROUND(OFFSET($P110,0,AC$13),15-13*ORÇAMENTO!$AF$7)/$H110*OFFSET(ORÇAMENTO!$X$15,ROW(AC110)-ROW(AC$15),0),
ROUND(ROUND(OFFSET($P110,0,AC$13),15-13*ORÇAMENTO!$AF$7)*OFFSET(ORÇAMENTO!$W$15,ROW(AC110)-ROW(AC$15),0),15-13*ORÇAMENTO!$AF$11)),0)</f>
        <v>0</v>
      </c>
      <c r="AD110" s="542">
        <f ca="1">IF(AND($D110="Serviço",AD$12&lt;&gt;0,$H110&gt;0,OR(AUTOEVENTO&lt;&gt;"manual",$M110&lt;&gt;1)),
IF(Import.TipoArredondamento&lt;&gt;"TransfereGOV",
ROUND(OFFSET($P110,0,AD$13),15-13*ORÇAMENTO!$AF$7)/$H110*OFFSET(ORÇAMENTO!$X$15,ROW(AD110)-ROW(AD$15),0),
ROUND(ROUND(OFFSET($P110,0,AD$13),15-13*ORÇAMENTO!$AF$7)*OFFSET(ORÇAMENTO!$W$15,ROW(AD110)-ROW(AD$15),0),15-13*ORÇAMENTO!$AF$11)),0)</f>
        <v>0</v>
      </c>
      <c r="AE110" s="542">
        <f ca="1">IF(AND($D110="Serviço",AE$12&lt;&gt;0,$H110&gt;0,OR(AUTOEVENTO&lt;&gt;"manual",$M110&lt;&gt;1)),
IF(Import.TipoArredondamento&lt;&gt;"TransfereGOV",
ROUND(OFFSET($P110,0,AE$13),15-13*ORÇAMENTO!$AF$7)/$H110*OFFSET(ORÇAMENTO!$X$15,ROW(AE110)-ROW(AE$15),0),
ROUND(ROUND(OFFSET($P110,0,AE$13),15-13*ORÇAMENTO!$AF$7)*OFFSET(ORÇAMENTO!$W$15,ROW(AE110)-ROW(AE$15),0),15-13*ORÇAMENTO!$AF$11)),0)</f>
        <v>0</v>
      </c>
      <c r="AF110" s="542">
        <f ca="1">IF(AND($D110="Serviço",AF$12&lt;&gt;0,$H110&gt;0,OR(AUTOEVENTO&lt;&gt;"manual",$M110&lt;&gt;1)),
IF(Import.TipoArredondamento&lt;&gt;"TransfereGOV",
ROUND(OFFSET($P110,0,AF$13),15-13*ORÇAMENTO!$AF$7)/$H110*OFFSET(ORÇAMENTO!$X$15,ROW(AF110)-ROW(AF$15),0),
ROUND(ROUND(OFFSET($P110,0,AF$13),15-13*ORÇAMENTO!$AF$7)*OFFSET(ORÇAMENTO!$W$15,ROW(AF110)-ROW(AF$15),0),15-13*ORÇAMENTO!$AF$11)),0)</f>
        <v>0</v>
      </c>
      <c r="AG110" s="542">
        <f ca="1">IF(AND($D110="Serviço",AG$12&lt;&gt;0,$H110&gt;0,OR(AUTOEVENTO&lt;&gt;"manual",$M110&lt;&gt;1)),
IF(Import.TipoArredondamento&lt;&gt;"TransfereGOV",
ROUND(OFFSET($P110,0,AG$13),15-13*ORÇAMENTO!$AF$7)/$H110*OFFSET(ORÇAMENTO!$X$15,ROW(AG110)-ROW(AG$15),0),
ROUND(ROUND(OFFSET($P110,0,AG$13),15-13*ORÇAMENTO!$AF$7)*OFFSET(ORÇAMENTO!$W$15,ROW(AG110)-ROW(AG$15),0),15-13*ORÇAMENTO!$AF$11)),0)</f>
        <v>0</v>
      </c>
      <c r="AH110" s="542">
        <f ca="1">IF(AND($D110="Serviço",AH$12&lt;&gt;0,$H110&gt;0,OR(AUTOEVENTO&lt;&gt;"manual",$M110&lt;&gt;1)),
IF(Import.TipoArredondamento&lt;&gt;"TransfereGOV",
ROUND(OFFSET($P110,0,AH$13),15-13*ORÇAMENTO!$AF$7)/$H110*OFFSET(ORÇAMENTO!$X$15,ROW(AH110)-ROW(AH$15),0),
ROUND(ROUND(OFFSET($P110,0,AH$13),15-13*ORÇAMENTO!$AF$7)*OFFSET(ORÇAMENTO!$W$15,ROW(AH110)-ROW(AH$15),0),15-13*ORÇAMENTO!$AF$11)),0)</f>
        <v>0</v>
      </c>
      <c r="AI110" s="542">
        <f ca="1">IF(AND($D110="Serviço",AI$12&lt;&gt;0,$H110&gt;0,OR(AUTOEVENTO&lt;&gt;"manual",$M110&lt;&gt;1)),
IF(Import.TipoArredondamento&lt;&gt;"TransfereGOV",
ROUND(OFFSET($P110,0,AI$13),15-13*ORÇAMENTO!$AF$7)/$H110*OFFSET(ORÇAMENTO!$X$15,ROW(AI110)-ROW(AI$15),0),
ROUND(ROUND(OFFSET($P110,0,AI$13),15-13*ORÇAMENTO!$AF$7)*OFFSET(ORÇAMENTO!$W$15,ROW(AI110)-ROW(AI$15),0),15-13*ORÇAMENTO!$AF$11)),0)</f>
        <v>0</v>
      </c>
      <c r="AJ110" s="542">
        <f ca="1">IF(AND($D110="Serviço",AJ$12&lt;&gt;0,$H110&gt;0,OR(AUTOEVENTO&lt;&gt;"manual",$M110&lt;&gt;1)),
IF(Import.TipoArredondamento&lt;&gt;"TransfereGOV",
ROUND(OFFSET($P110,0,AJ$13),15-13*ORÇAMENTO!$AF$7)/$H110*OFFSET(ORÇAMENTO!$X$15,ROW(AJ110)-ROW(AJ$15),0),
ROUND(ROUND(OFFSET($P110,0,AJ$13),15-13*ORÇAMENTO!$AF$7)*OFFSET(ORÇAMENTO!$W$15,ROW(AJ110)-ROW(AJ$15),0),15-13*ORÇAMENTO!$AF$11)),0)</f>
        <v>0</v>
      </c>
      <c r="AK110" s="543">
        <f ca="1">IF(AND($D110="Serviço",AK$12&lt;&gt;0,$H110&gt;0,OR(AUTOEVENTO&lt;&gt;"manual",$M110&lt;&gt;1)),
IF(Import.TipoArredondamento&lt;&gt;"TransfereGOV",
ROUND(OFFSET($P110,0,AK$13),15-13*ORÇAMENTO!$AF$7)/$H110*OFFSET(ORÇAMENTO!$X$15,ROW(AK110)-ROW(AK$15),0),
ROUND(ROUND(OFFSET($P110,0,AK$13),15-13*ORÇAMENTO!$AF$7)*OFFSET(ORÇAMENTO!$W$15,ROW(AK110)-ROW(AK$15),0),15-13*ORÇAMENTO!$AF$11)),0)</f>
        <v>0</v>
      </c>
      <c r="AM110" s="178">
        <f ca="1">IF($D110&lt;&gt;"Serviço",0,IF(AND(AUTOEVENTO="Manual",$M110=1),0,IF(OFFSET(CRONOPLE!$F$14,$M110,AM$13)="",10^12,OFFSET(CRONOPLE!$F$14,$M110,AM$13))))</f>
        <v>1000000000000</v>
      </c>
      <c r="AN110" s="178">
        <f ca="1">IF($D110&lt;&gt;"Serviço",0,IF(AND(AUTOEVENTO="Manual",$M110=1),0,IF(OFFSET(CRONOPLE!$F$14,$M110,AN$13)="",10^12,OFFSET(CRONOPLE!$F$14,$M110,AN$13))))</f>
        <v>1000000000000</v>
      </c>
      <c r="AO110" s="178">
        <f ca="1">IF($D110&lt;&gt;"Serviço",0,IF(AND(AUTOEVENTO="Manual",$M110=1),0,IF(OFFSET(CRONOPLE!$F$14,$M110,AO$13)="",10^12,OFFSET(CRONOPLE!$F$14,$M110,AO$13))))</f>
        <v>1000000000000</v>
      </c>
      <c r="AP110" s="178">
        <f ca="1">IF($D110&lt;&gt;"Serviço",0,IF(AND(AUTOEVENTO="Manual",$M110=1),0,IF(OFFSET(CRONOPLE!$F$14,$M110,AP$13)="",10^12,OFFSET(CRONOPLE!$F$14,$M110,AP$13))))</f>
        <v>1000000000000</v>
      </c>
      <c r="AQ110" s="178">
        <f ca="1">IF($D110&lt;&gt;"Serviço",0,IF(AND(AUTOEVENTO="Manual",$M110=1),0,IF(OFFSET(CRONOPLE!$F$14,$M110,AQ$13)="",10^12,OFFSET(CRONOPLE!$F$14,$M110,AQ$13))))</f>
        <v>1000000000000</v>
      </c>
      <c r="AR110" s="178">
        <f ca="1">IF($D110&lt;&gt;"Serviço",0,IF(AND(AUTOEVENTO="Manual",$M110=1),0,IF(OFFSET(CRONOPLE!$F$14,$M110,AR$13)="",10^12,OFFSET(CRONOPLE!$F$14,$M110,AR$13))))</f>
        <v>1000000000000</v>
      </c>
      <c r="AS110" s="178">
        <f ca="1">IF($D110&lt;&gt;"Serviço",0,IF(AND(AUTOEVENTO="Manual",$M110=1),0,IF(OFFSET(CRONOPLE!$F$14,$M110,AS$13)="",10^12,OFFSET(CRONOPLE!$F$14,$M110,AS$13))))</f>
        <v>1000000000000</v>
      </c>
      <c r="AT110" s="178">
        <f ca="1">IF($D110&lt;&gt;"Serviço",0,IF(AND(AUTOEVENTO="Manual",$M110=1),0,IF(OFFSET(CRONOPLE!$F$14,$M110,AT$13)="",10^12,OFFSET(CRONOPLE!$F$14,$M110,AT$13))))</f>
        <v>1000000000000</v>
      </c>
      <c r="AU110" s="178">
        <f ca="1">IF($D110&lt;&gt;"Serviço",0,IF(AND(AUTOEVENTO="Manual",$M110=1),0,IF(OFFSET(CRONOPLE!$F$14,$M110,AU$13)="",10^12,OFFSET(CRONOPLE!$F$14,$M110,AU$13))))</f>
        <v>1000000000000</v>
      </c>
      <c r="AV110" s="178">
        <f ca="1">IF($D110&lt;&gt;"Serviço",0,IF(AND(AUTOEVENTO="Manual",$M110=1),0,IF(OFFSET(CRONOPLE!$F$14,$M110,AV$13)="",10^12,OFFSET(CRONOPLE!$F$14,$M110,AV$13))))</f>
        <v>1000000000000</v>
      </c>
      <c r="AX110" s="179">
        <f ca="1">IF($D110&lt;&gt;"Serviço",0,IF(OR(AND(AUTOEVENTO="Manual",$M110=1),$M110&gt;(ROW(PLE.lastrow)-ROW(PLE.firstrow))),0,IF(OFFSET(PLE!$G$14,$M110,AX$13)="",10^12,OFFSET(PLE!$G$14,$M110,AX$13))))</f>
        <v>1000000000000</v>
      </c>
      <c r="AY110" s="179">
        <f ca="1">IF($D110&lt;&gt;"Serviço",0,IF(OR(AND(AUTOEVENTO="Manual",$M110=1),$M110&gt;(ROW(PLE.lastrow)-ROW(PLE.firstrow))),0,IF(OFFSET(PLE!$G$14,$M110,AY$13)="",10^12,OFFSET(PLE!$G$14,$M110,AY$13))))</f>
        <v>1000000000000</v>
      </c>
      <c r="AZ110" s="179">
        <f ca="1">IF($D110&lt;&gt;"Serviço",0,IF(OR(AND(AUTOEVENTO="Manual",$M110=1),$M110&gt;(ROW(PLE.lastrow)-ROW(PLE.firstrow))),0,IF(OFFSET(PLE!$G$14,$M110,AZ$13)="",10^12,OFFSET(PLE!$G$14,$M110,AZ$13))))</f>
        <v>1000000000000</v>
      </c>
      <c r="BA110" s="179">
        <f ca="1">IF($D110&lt;&gt;"Serviço",0,IF(OR(AND(AUTOEVENTO="Manual",$M110=1),$M110&gt;(ROW(PLE.lastrow)-ROW(PLE.firstrow))),0,IF(OFFSET(PLE!$G$14,$M110,BA$13)="",10^12,OFFSET(PLE!$G$14,$M110,BA$13))))</f>
        <v>1000000000000</v>
      </c>
      <c r="BB110" s="179">
        <f ca="1">IF($D110&lt;&gt;"Serviço",0,IF(OR(AND(AUTOEVENTO="Manual",$M110=1),$M110&gt;(ROW(PLE.lastrow)-ROW(PLE.firstrow))),0,IF(OFFSET(PLE!$G$14,$M110,BB$13)="",10^12,OFFSET(PLE!$G$14,$M110,BB$13))))</f>
        <v>1000000000000</v>
      </c>
      <c r="BC110" s="179">
        <f ca="1">IF($D110&lt;&gt;"Serviço",0,IF(OR(AND(AUTOEVENTO="Manual",$M110=1),$M110&gt;(ROW(PLE.lastrow)-ROW(PLE.firstrow))),0,IF(OFFSET(PLE!$G$14,$M110,BC$13)="",10^12,OFFSET(PLE!$G$14,$M110,BC$13))))</f>
        <v>1000000000000</v>
      </c>
      <c r="BD110" s="179">
        <f ca="1">IF($D110&lt;&gt;"Serviço",0,IF(OR(AND(AUTOEVENTO="Manual",$M110=1),$M110&gt;(ROW(PLE.lastrow)-ROW(PLE.firstrow))),0,IF(OFFSET(PLE!$G$14,$M110,BD$13)="",10^12,OFFSET(PLE!$G$14,$M110,BD$13))))</f>
        <v>1000000000000</v>
      </c>
      <c r="BE110" s="179">
        <f ca="1">IF($D110&lt;&gt;"Serviço",0,IF(OR(AND(AUTOEVENTO="Manual",$M110=1),$M110&gt;(ROW(PLE.lastrow)-ROW(PLE.firstrow))),0,IF(OFFSET(PLE!$G$14,$M110,BE$13)="",10^12,OFFSET(PLE!$G$14,$M110,BE$13))))</f>
        <v>1000000000000</v>
      </c>
      <c r="BF110" s="179">
        <f ca="1">IF($D110&lt;&gt;"Serviço",0,IF(OR(AND(AUTOEVENTO="Manual",$M110=1),$M110&gt;(ROW(PLE.lastrow)-ROW(PLE.firstrow))),0,IF(OFFSET(PLE!$G$14,$M110,BF$13)="",10^12,OFFSET(PLE!$G$14,$M110,BF$13))))</f>
        <v>1000000000000</v>
      </c>
      <c r="BG110" s="179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25.5" x14ac:dyDescent="0.2">
      <c r="A111" s="7" t="str">
        <f t="shared" ca="1" si="10"/>
        <v>88</v>
      </c>
      <c r="B111" s="7" t="str">
        <f ca="1">OFFSET(ORÇAMENTO!C$15,ROW(B111)-ROW(B$15),0)</f>
        <v>S</v>
      </c>
      <c r="C111" s="7" t="str">
        <f ca="1">OFFSET(ORÇAMENTO!L$15,ROW(C111)-ROW(C$15),0)</f>
        <v/>
      </c>
      <c r="D111" s="115" t="str">
        <f ca="1">OFFSET(ORÇAMENTO!N$15,ROW(D111)-ROW(D$15),0)</f>
        <v>Serviço</v>
      </c>
      <c r="E111" s="116" t="str">
        <f ca="1">OFFSET(ORÇAMENTO!O$15,ROW(E111)-ROW(E$15),0)</f>
        <v>-</v>
      </c>
      <c r="F111" s="169" t="str">
        <f ca="1">OFFSET(ORÇAMENTO!R$15,ROW(F111)-ROW(F$15),0)</f>
        <v>(abra o arquivo 'Referência 10-2024.xlsm)</v>
      </c>
      <c r="G111" s="170" t="str">
        <f ca="1">IF($D111&lt;&gt;"Serviço","",OFFSET(ORÇAMENTO!S$15,ROW(G111)-ROW(G$15),0))</f>
        <v>-</v>
      </c>
      <c r="H111" s="121">
        <f ca="1">IF($D111&lt;&gt;"Serviço",0,IF(ACOMPANHAMENTO="BM",ROUND(OFFSET(ORÇAMENTO!AJ$15,ROW(H111)-ROW(H$15),0),15-13*ORÇAMENTO!$AF$7),SUMPRODUCT(($Q$12:$AA$12&lt;&gt;"")*ROUND($Q111:$AA111,15-13*ORÇAMENTO!$AF$7))))</f>
        <v>1</v>
      </c>
      <c r="I111" s="558" t="s">
        <v>561</v>
      </c>
      <c r="K111" s="171"/>
      <c r="L111" s="172" t="s">
        <v>255</v>
      </c>
      <c r="M111" s="173">
        <f ca="1">IF($D111&lt;&gt;"Serviço","",IF(AUTOEVENTO="manual",$A111,IF(ISERROR(MATCH($A111,$A$15:OFFSET($A111,-1,0),0)),MAX($M$15:OFFSET(M111,-1,0))+1,INDEX($M$15:OFFSET(M111,-1,0),MATCH($A111,$A$15:OFFSET($A111,-1,0),0)))))</f>
        <v>15</v>
      </c>
      <c r="N111" s="174" t="str">
        <f ca="1">IF($D111&lt;&gt;"Serviço","",IF(AUTOEVENTO="Manual",IF($A111=0,"&lt;-- defina o número do agrupador",OFFSET(EVENTOS!$D$14,$A111,0)),OFFSET($F$15,$A111,0)))</f>
        <v>INSTALAÇÕES ELÉTRICAS</v>
      </c>
      <c r="O111" s="175"/>
      <c r="Q111" s="175"/>
      <c r="R111" s="176"/>
      <c r="S111" s="176"/>
      <c r="T111" s="176"/>
      <c r="U111" s="176"/>
      <c r="V111" s="176"/>
      <c r="W111" s="176"/>
      <c r="X111" s="176"/>
      <c r="Y111" s="176"/>
      <c r="Z111" s="177"/>
      <c r="AB111" s="541">
        <f ca="1">IF(AND($D111="Serviço",AB$12&lt;&gt;0,$H111&gt;0,OR(AUTOEVENTO&lt;&gt;"manual",$M111&lt;&gt;1)),
IF(Import.TipoArredondamento&lt;&gt;"TransfereGOV",
ROUND(OFFSET($P111,0,AB$13),15-13*ORÇAMENTO!$AF$7)/$H111*OFFSET(ORÇAMENTO!$X$15,ROW(AB111)-ROW(AB$15),0),
ROUND(ROUND(OFFSET($P111,0,AB$13),15-13*ORÇAMENTO!$AF$7)*OFFSET(ORÇAMENTO!$W$15,ROW(AB111)-ROW(AB$15),0),15-13*ORÇAMENTO!$AF$11)),0)</f>
        <v>0</v>
      </c>
      <c r="AC111" s="542">
        <f ca="1">IF(AND($D111="Serviço",AC$12&lt;&gt;0,$H111&gt;0,OR(AUTOEVENTO&lt;&gt;"manual",$M111&lt;&gt;1)),
IF(Import.TipoArredondamento&lt;&gt;"TransfereGOV",
ROUND(OFFSET($P111,0,AC$13),15-13*ORÇAMENTO!$AF$7)/$H111*OFFSET(ORÇAMENTO!$X$15,ROW(AC111)-ROW(AC$15),0),
ROUND(ROUND(OFFSET($P111,0,AC$13),15-13*ORÇAMENTO!$AF$7)*OFFSET(ORÇAMENTO!$W$15,ROW(AC111)-ROW(AC$15),0),15-13*ORÇAMENTO!$AF$11)),0)</f>
        <v>0</v>
      </c>
      <c r="AD111" s="542">
        <f ca="1">IF(AND($D111="Serviço",AD$12&lt;&gt;0,$H111&gt;0,OR(AUTOEVENTO&lt;&gt;"manual",$M111&lt;&gt;1)),
IF(Import.TipoArredondamento&lt;&gt;"TransfereGOV",
ROUND(OFFSET($P111,0,AD$13),15-13*ORÇAMENTO!$AF$7)/$H111*OFFSET(ORÇAMENTO!$X$15,ROW(AD111)-ROW(AD$15),0),
ROUND(ROUND(OFFSET($P111,0,AD$13),15-13*ORÇAMENTO!$AF$7)*OFFSET(ORÇAMENTO!$W$15,ROW(AD111)-ROW(AD$15),0),15-13*ORÇAMENTO!$AF$11)),0)</f>
        <v>0</v>
      </c>
      <c r="AE111" s="542">
        <f ca="1">IF(AND($D111="Serviço",AE$12&lt;&gt;0,$H111&gt;0,OR(AUTOEVENTO&lt;&gt;"manual",$M111&lt;&gt;1)),
IF(Import.TipoArredondamento&lt;&gt;"TransfereGOV",
ROUND(OFFSET($P111,0,AE$13),15-13*ORÇAMENTO!$AF$7)/$H111*OFFSET(ORÇAMENTO!$X$15,ROW(AE111)-ROW(AE$15),0),
ROUND(ROUND(OFFSET($P111,0,AE$13),15-13*ORÇAMENTO!$AF$7)*OFFSET(ORÇAMENTO!$W$15,ROW(AE111)-ROW(AE$15),0),15-13*ORÇAMENTO!$AF$11)),0)</f>
        <v>0</v>
      </c>
      <c r="AF111" s="542">
        <f ca="1">IF(AND($D111="Serviço",AF$12&lt;&gt;0,$H111&gt;0,OR(AUTOEVENTO&lt;&gt;"manual",$M111&lt;&gt;1)),
IF(Import.TipoArredondamento&lt;&gt;"TransfereGOV",
ROUND(OFFSET($P111,0,AF$13),15-13*ORÇAMENTO!$AF$7)/$H111*OFFSET(ORÇAMENTO!$X$15,ROW(AF111)-ROW(AF$15),0),
ROUND(ROUND(OFFSET($P111,0,AF$13),15-13*ORÇAMENTO!$AF$7)*OFFSET(ORÇAMENTO!$W$15,ROW(AF111)-ROW(AF$15),0),15-13*ORÇAMENTO!$AF$11)),0)</f>
        <v>0</v>
      </c>
      <c r="AG111" s="542">
        <f ca="1">IF(AND($D111="Serviço",AG$12&lt;&gt;0,$H111&gt;0,OR(AUTOEVENTO&lt;&gt;"manual",$M111&lt;&gt;1)),
IF(Import.TipoArredondamento&lt;&gt;"TransfereGOV",
ROUND(OFFSET($P111,0,AG$13),15-13*ORÇAMENTO!$AF$7)/$H111*OFFSET(ORÇAMENTO!$X$15,ROW(AG111)-ROW(AG$15),0),
ROUND(ROUND(OFFSET($P111,0,AG$13),15-13*ORÇAMENTO!$AF$7)*OFFSET(ORÇAMENTO!$W$15,ROW(AG111)-ROW(AG$15),0),15-13*ORÇAMENTO!$AF$11)),0)</f>
        <v>0</v>
      </c>
      <c r="AH111" s="542">
        <f ca="1">IF(AND($D111="Serviço",AH$12&lt;&gt;0,$H111&gt;0,OR(AUTOEVENTO&lt;&gt;"manual",$M111&lt;&gt;1)),
IF(Import.TipoArredondamento&lt;&gt;"TransfereGOV",
ROUND(OFFSET($P111,0,AH$13),15-13*ORÇAMENTO!$AF$7)/$H111*OFFSET(ORÇAMENTO!$X$15,ROW(AH111)-ROW(AH$15),0),
ROUND(ROUND(OFFSET($P111,0,AH$13),15-13*ORÇAMENTO!$AF$7)*OFFSET(ORÇAMENTO!$W$15,ROW(AH111)-ROW(AH$15),0),15-13*ORÇAMENTO!$AF$11)),0)</f>
        <v>0</v>
      </c>
      <c r="AI111" s="542">
        <f ca="1">IF(AND($D111="Serviço",AI$12&lt;&gt;0,$H111&gt;0,OR(AUTOEVENTO&lt;&gt;"manual",$M111&lt;&gt;1)),
IF(Import.TipoArredondamento&lt;&gt;"TransfereGOV",
ROUND(OFFSET($P111,0,AI$13),15-13*ORÇAMENTO!$AF$7)/$H111*OFFSET(ORÇAMENTO!$X$15,ROW(AI111)-ROW(AI$15),0),
ROUND(ROUND(OFFSET($P111,0,AI$13),15-13*ORÇAMENTO!$AF$7)*OFFSET(ORÇAMENTO!$W$15,ROW(AI111)-ROW(AI$15),0),15-13*ORÇAMENTO!$AF$11)),0)</f>
        <v>0</v>
      </c>
      <c r="AJ111" s="542">
        <f ca="1">IF(AND($D111="Serviço",AJ$12&lt;&gt;0,$H111&gt;0,OR(AUTOEVENTO&lt;&gt;"manual",$M111&lt;&gt;1)),
IF(Import.TipoArredondamento&lt;&gt;"TransfereGOV",
ROUND(OFFSET($P111,0,AJ$13),15-13*ORÇAMENTO!$AF$7)/$H111*OFFSET(ORÇAMENTO!$X$15,ROW(AJ111)-ROW(AJ$15),0),
ROUND(ROUND(OFFSET($P111,0,AJ$13),15-13*ORÇAMENTO!$AF$7)*OFFSET(ORÇAMENTO!$W$15,ROW(AJ111)-ROW(AJ$15),0),15-13*ORÇAMENTO!$AF$11)),0)</f>
        <v>0</v>
      </c>
      <c r="AK111" s="543">
        <f ca="1">IF(AND($D111="Serviço",AK$12&lt;&gt;0,$H111&gt;0,OR(AUTOEVENTO&lt;&gt;"manual",$M111&lt;&gt;1)),
IF(Import.TipoArredondamento&lt;&gt;"TransfereGOV",
ROUND(OFFSET($P111,0,AK$13),15-13*ORÇAMENTO!$AF$7)/$H111*OFFSET(ORÇAMENTO!$X$15,ROW(AK111)-ROW(AK$15),0),
ROUND(ROUND(OFFSET($P111,0,AK$13),15-13*ORÇAMENTO!$AF$7)*OFFSET(ORÇAMENTO!$W$15,ROW(AK111)-ROW(AK$15),0),15-13*ORÇAMENTO!$AF$11)),0)</f>
        <v>0</v>
      </c>
      <c r="AM111" s="178">
        <f ca="1">IF($D111&lt;&gt;"Serviço",0,IF(AND(AUTOEVENTO="Manual",$M111=1),0,IF(OFFSET(CRONOPLE!$F$14,$M111,AM$13)="",10^12,OFFSET(CRONOPLE!$F$14,$M111,AM$13))))</f>
        <v>1000000000000</v>
      </c>
      <c r="AN111" s="178">
        <f ca="1">IF($D111&lt;&gt;"Serviço",0,IF(AND(AUTOEVENTO="Manual",$M111=1),0,IF(OFFSET(CRONOPLE!$F$14,$M111,AN$13)="",10^12,OFFSET(CRONOPLE!$F$14,$M111,AN$13))))</f>
        <v>1000000000000</v>
      </c>
      <c r="AO111" s="178">
        <f ca="1">IF($D111&lt;&gt;"Serviço",0,IF(AND(AUTOEVENTO="Manual",$M111=1),0,IF(OFFSET(CRONOPLE!$F$14,$M111,AO$13)="",10^12,OFFSET(CRONOPLE!$F$14,$M111,AO$13))))</f>
        <v>1000000000000</v>
      </c>
      <c r="AP111" s="178">
        <f ca="1">IF($D111&lt;&gt;"Serviço",0,IF(AND(AUTOEVENTO="Manual",$M111=1),0,IF(OFFSET(CRONOPLE!$F$14,$M111,AP$13)="",10^12,OFFSET(CRONOPLE!$F$14,$M111,AP$13))))</f>
        <v>1000000000000</v>
      </c>
      <c r="AQ111" s="178">
        <f ca="1">IF($D111&lt;&gt;"Serviço",0,IF(AND(AUTOEVENTO="Manual",$M111=1),0,IF(OFFSET(CRONOPLE!$F$14,$M111,AQ$13)="",10^12,OFFSET(CRONOPLE!$F$14,$M111,AQ$13))))</f>
        <v>1000000000000</v>
      </c>
      <c r="AR111" s="178">
        <f ca="1">IF($D111&lt;&gt;"Serviço",0,IF(AND(AUTOEVENTO="Manual",$M111=1),0,IF(OFFSET(CRONOPLE!$F$14,$M111,AR$13)="",10^12,OFFSET(CRONOPLE!$F$14,$M111,AR$13))))</f>
        <v>1000000000000</v>
      </c>
      <c r="AS111" s="178">
        <f ca="1">IF($D111&lt;&gt;"Serviço",0,IF(AND(AUTOEVENTO="Manual",$M111=1),0,IF(OFFSET(CRONOPLE!$F$14,$M111,AS$13)="",10^12,OFFSET(CRONOPLE!$F$14,$M111,AS$13))))</f>
        <v>1000000000000</v>
      </c>
      <c r="AT111" s="178">
        <f ca="1">IF($D111&lt;&gt;"Serviço",0,IF(AND(AUTOEVENTO="Manual",$M111=1),0,IF(OFFSET(CRONOPLE!$F$14,$M111,AT$13)="",10^12,OFFSET(CRONOPLE!$F$14,$M111,AT$13))))</f>
        <v>1000000000000</v>
      </c>
      <c r="AU111" s="178">
        <f ca="1">IF($D111&lt;&gt;"Serviço",0,IF(AND(AUTOEVENTO="Manual",$M111=1),0,IF(OFFSET(CRONOPLE!$F$14,$M111,AU$13)="",10^12,OFFSET(CRONOPLE!$F$14,$M111,AU$13))))</f>
        <v>1000000000000</v>
      </c>
      <c r="AV111" s="178">
        <f ca="1">IF($D111&lt;&gt;"Serviço",0,IF(AND(AUTOEVENTO="Manual",$M111=1),0,IF(OFFSET(CRONOPLE!$F$14,$M111,AV$13)="",10^12,OFFSET(CRONOPLE!$F$14,$M111,AV$13))))</f>
        <v>1000000000000</v>
      </c>
      <c r="AX111" s="179">
        <f ca="1">IF($D111&lt;&gt;"Serviço",0,IF(OR(AND(AUTOEVENTO="Manual",$M111=1),$M111&gt;(ROW(PLE.lastrow)-ROW(PLE.firstrow))),0,IF(OFFSET(PLE!$G$14,$M111,AX$13)="",10^12,OFFSET(PLE!$G$14,$M111,AX$13))))</f>
        <v>1000000000000</v>
      </c>
      <c r="AY111" s="179">
        <f ca="1">IF($D111&lt;&gt;"Serviço",0,IF(OR(AND(AUTOEVENTO="Manual",$M111=1),$M111&gt;(ROW(PLE.lastrow)-ROW(PLE.firstrow))),0,IF(OFFSET(PLE!$G$14,$M111,AY$13)="",10^12,OFFSET(PLE!$G$14,$M111,AY$13))))</f>
        <v>1000000000000</v>
      </c>
      <c r="AZ111" s="179">
        <f ca="1">IF($D111&lt;&gt;"Serviço",0,IF(OR(AND(AUTOEVENTO="Manual",$M111=1),$M111&gt;(ROW(PLE.lastrow)-ROW(PLE.firstrow))),0,IF(OFFSET(PLE!$G$14,$M111,AZ$13)="",10^12,OFFSET(PLE!$G$14,$M111,AZ$13))))</f>
        <v>1000000000000</v>
      </c>
      <c r="BA111" s="179">
        <f ca="1">IF($D111&lt;&gt;"Serviço",0,IF(OR(AND(AUTOEVENTO="Manual",$M111=1),$M111&gt;(ROW(PLE.lastrow)-ROW(PLE.firstrow))),0,IF(OFFSET(PLE!$G$14,$M111,BA$13)="",10^12,OFFSET(PLE!$G$14,$M111,BA$13))))</f>
        <v>1000000000000</v>
      </c>
      <c r="BB111" s="179">
        <f ca="1">IF($D111&lt;&gt;"Serviço",0,IF(OR(AND(AUTOEVENTO="Manual",$M111=1),$M111&gt;(ROW(PLE.lastrow)-ROW(PLE.firstrow))),0,IF(OFFSET(PLE!$G$14,$M111,BB$13)="",10^12,OFFSET(PLE!$G$14,$M111,BB$13))))</f>
        <v>1000000000000</v>
      </c>
      <c r="BC111" s="179">
        <f ca="1">IF($D111&lt;&gt;"Serviço",0,IF(OR(AND(AUTOEVENTO="Manual",$M111=1),$M111&gt;(ROW(PLE.lastrow)-ROW(PLE.firstrow))),0,IF(OFFSET(PLE!$G$14,$M111,BC$13)="",10^12,OFFSET(PLE!$G$14,$M111,BC$13))))</f>
        <v>1000000000000</v>
      </c>
      <c r="BD111" s="179">
        <f ca="1">IF($D111&lt;&gt;"Serviço",0,IF(OR(AND(AUTOEVENTO="Manual",$M111=1),$M111&gt;(ROW(PLE.lastrow)-ROW(PLE.firstrow))),0,IF(OFFSET(PLE!$G$14,$M111,BD$13)="",10^12,OFFSET(PLE!$G$14,$M111,BD$13))))</f>
        <v>1000000000000</v>
      </c>
      <c r="BE111" s="179">
        <f ca="1">IF($D111&lt;&gt;"Serviço",0,IF(OR(AND(AUTOEVENTO="Manual",$M111=1),$M111&gt;(ROW(PLE.lastrow)-ROW(PLE.firstrow))),0,IF(OFFSET(PLE!$G$14,$M111,BE$13)="",10^12,OFFSET(PLE!$G$14,$M111,BE$13))))</f>
        <v>1000000000000</v>
      </c>
      <c r="BF111" s="179">
        <f ca="1">IF($D111&lt;&gt;"Serviço",0,IF(OR(AND(AUTOEVENTO="Manual",$M111=1),$M111&gt;(ROW(PLE.lastrow)-ROW(PLE.firstrow))),0,IF(OFFSET(PLE!$G$14,$M111,BF$13)="",10^12,OFFSET(PLE!$G$14,$M111,BF$13))))</f>
        <v>1000000000000</v>
      </c>
      <c r="BG111" s="179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25.5" x14ac:dyDescent="0.2">
      <c r="A112" s="7" t="str">
        <f t="shared" ca="1" si="10"/>
        <v>88</v>
      </c>
      <c r="B112" s="7" t="str">
        <f ca="1">OFFSET(ORÇAMENTO!C$15,ROW(B112)-ROW(B$15),0)</f>
        <v>S</v>
      </c>
      <c r="C112" s="7" t="str">
        <f ca="1">OFFSET(ORÇAMENTO!L$15,ROW(C112)-ROW(C$15),0)</f>
        <v/>
      </c>
      <c r="D112" s="115" t="str">
        <f ca="1">OFFSET(ORÇAMENTO!N$15,ROW(D112)-ROW(D$15),0)</f>
        <v>Serviço</v>
      </c>
      <c r="E112" s="116" t="str">
        <f ca="1">OFFSET(ORÇAMENTO!O$15,ROW(E112)-ROW(E$15),0)</f>
        <v>-</v>
      </c>
      <c r="F112" s="169" t="str">
        <f ca="1">OFFSET(ORÇAMENTO!R$15,ROW(F112)-ROW(F$15),0)</f>
        <v>(abra o arquivo 'Referência 10-2024.xlsm)</v>
      </c>
      <c r="G112" s="170" t="str">
        <f ca="1">IF($D112&lt;&gt;"Serviço","",OFFSET(ORÇAMENTO!S$15,ROW(G112)-ROW(G$15),0))</f>
        <v>-</v>
      </c>
      <c r="H112" s="121">
        <f ca="1">IF($D112&lt;&gt;"Serviço",0,IF(ACOMPANHAMENTO="BM",ROUND(OFFSET(ORÇAMENTO!AJ$15,ROW(H112)-ROW(H$15),0),15-13*ORÇAMENTO!$AF$7),SUMPRODUCT(($Q$12:$AA$12&lt;&gt;"")*ROUND($Q112:$AA112,15-13*ORÇAMENTO!$AF$7))))</f>
        <v>1</v>
      </c>
      <c r="I112" s="558" t="s">
        <v>561</v>
      </c>
      <c r="K112" s="171"/>
      <c r="L112" s="172" t="s">
        <v>255</v>
      </c>
      <c r="M112" s="173">
        <f ca="1">IF($D112&lt;&gt;"Serviço","",IF(AUTOEVENTO="manual",$A112,IF(ISERROR(MATCH($A112,$A$15:OFFSET($A112,-1,0),0)),MAX($M$15:OFFSET(M112,-1,0))+1,INDEX($M$15:OFFSET(M112,-1,0),MATCH($A112,$A$15:OFFSET($A112,-1,0),0)))))</f>
        <v>15</v>
      </c>
      <c r="N112" s="174" t="str">
        <f ca="1">IF($D112&lt;&gt;"Serviço","",IF(AUTOEVENTO="Manual",IF($A112=0,"&lt;-- defina o número do agrupador",OFFSET(EVENTOS!$D$14,$A112,0)),OFFSET($F$15,$A112,0)))</f>
        <v>INSTALAÇÕES ELÉTRICAS</v>
      </c>
      <c r="O112" s="175"/>
      <c r="Q112" s="175"/>
      <c r="R112" s="176"/>
      <c r="S112" s="176"/>
      <c r="T112" s="176"/>
      <c r="U112" s="176"/>
      <c r="V112" s="176"/>
      <c r="W112" s="176"/>
      <c r="X112" s="176"/>
      <c r="Y112" s="176"/>
      <c r="Z112" s="177"/>
      <c r="AB112" s="541">
        <f ca="1">IF(AND($D112="Serviço",AB$12&lt;&gt;0,$H112&gt;0,OR(AUTOEVENTO&lt;&gt;"manual",$M112&lt;&gt;1)),
IF(Import.TipoArredondamento&lt;&gt;"TransfereGOV",
ROUND(OFFSET($P112,0,AB$13),15-13*ORÇAMENTO!$AF$7)/$H112*OFFSET(ORÇAMENTO!$X$15,ROW(AB112)-ROW(AB$15),0),
ROUND(ROUND(OFFSET($P112,0,AB$13),15-13*ORÇAMENTO!$AF$7)*OFFSET(ORÇAMENTO!$W$15,ROW(AB112)-ROW(AB$15),0),15-13*ORÇAMENTO!$AF$11)),0)</f>
        <v>0</v>
      </c>
      <c r="AC112" s="542">
        <f ca="1">IF(AND($D112="Serviço",AC$12&lt;&gt;0,$H112&gt;0,OR(AUTOEVENTO&lt;&gt;"manual",$M112&lt;&gt;1)),
IF(Import.TipoArredondamento&lt;&gt;"TransfereGOV",
ROUND(OFFSET($P112,0,AC$13),15-13*ORÇAMENTO!$AF$7)/$H112*OFFSET(ORÇAMENTO!$X$15,ROW(AC112)-ROW(AC$15),0),
ROUND(ROUND(OFFSET($P112,0,AC$13),15-13*ORÇAMENTO!$AF$7)*OFFSET(ORÇAMENTO!$W$15,ROW(AC112)-ROW(AC$15),0),15-13*ORÇAMENTO!$AF$11)),0)</f>
        <v>0</v>
      </c>
      <c r="AD112" s="542">
        <f ca="1">IF(AND($D112="Serviço",AD$12&lt;&gt;0,$H112&gt;0,OR(AUTOEVENTO&lt;&gt;"manual",$M112&lt;&gt;1)),
IF(Import.TipoArredondamento&lt;&gt;"TransfereGOV",
ROUND(OFFSET($P112,0,AD$13),15-13*ORÇAMENTO!$AF$7)/$H112*OFFSET(ORÇAMENTO!$X$15,ROW(AD112)-ROW(AD$15),0),
ROUND(ROUND(OFFSET($P112,0,AD$13),15-13*ORÇAMENTO!$AF$7)*OFFSET(ORÇAMENTO!$W$15,ROW(AD112)-ROW(AD$15),0),15-13*ORÇAMENTO!$AF$11)),0)</f>
        <v>0</v>
      </c>
      <c r="AE112" s="542">
        <f ca="1">IF(AND($D112="Serviço",AE$12&lt;&gt;0,$H112&gt;0,OR(AUTOEVENTO&lt;&gt;"manual",$M112&lt;&gt;1)),
IF(Import.TipoArredondamento&lt;&gt;"TransfereGOV",
ROUND(OFFSET($P112,0,AE$13),15-13*ORÇAMENTO!$AF$7)/$H112*OFFSET(ORÇAMENTO!$X$15,ROW(AE112)-ROW(AE$15),0),
ROUND(ROUND(OFFSET($P112,0,AE$13),15-13*ORÇAMENTO!$AF$7)*OFFSET(ORÇAMENTO!$W$15,ROW(AE112)-ROW(AE$15),0),15-13*ORÇAMENTO!$AF$11)),0)</f>
        <v>0</v>
      </c>
      <c r="AF112" s="542">
        <f ca="1">IF(AND($D112="Serviço",AF$12&lt;&gt;0,$H112&gt;0,OR(AUTOEVENTO&lt;&gt;"manual",$M112&lt;&gt;1)),
IF(Import.TipoArredondamento&lt;&gt;"TransfereGOV",
ROUND(OFFSET($P112,0,AF$13),15-13*ORÇAMENTO!$AF$7)/$H112*OFFSET(ORÇAMENTO!$X$15,ROW(AF112)-ROW(AF$15),0),
ROUND(ROUND(OFFSET($P112,0,AF$13),15-13*ORÇAMENTO!$AF$7)*OFFSET(ORÇAMENTO!$W$15,ROW(AF112)-ROW(AF$15),0),15-13*ORÇAMENTO!$AF$11)),0)</f>
        <v>0</v>
      </c>
      <c r="AG112" s="542">
        <f ca="1">IF(AND($D112="Serviço",AG$12&lt;&gt;0,$H112&gt;0,OR(AUTOEVENTO&lt;&gt;"manual",$M112&lt;&gt;1)),
IF(Import.TipoArredondamento&lt;&gt;"TransfereGOV",
ROUND(OFFSET($P112,0,AG$13),15-13*ORÇAMENTO!$AF$7)/$H112*OFFSET(ORÇAMENTO!$X$15,ROW(AG112)-ROW(AG$15),0),
ROUND(ROUND(OFFSET($P112,0,AG$13),15-13*ORÇAMENTO!$AF$7)*OFFSET(ORÇAMENTO!$W$15,ROW(AG112)-ROW(AG$15),0),15-13*ORÇAMENTO!$AF$11)),0)</f>
        <v>0</v>
      </c>
      <c r="AH112" s="542">
        <f ca="1">IF(AND($D112="Serviço",AH$12&lt;&gt;0,$H112&gt;0,OR(AUTOEVENTO&lt;&gt;"manual",$M112&lt;&gt;1)),
IF(Import.TipoArredondamento&lt;&gt;"TransfereGOV",
ROUND(OFFSET($P112,0,AH$13),15-13*ORÇAMENTO!$AF$7)/$H112*OFFSET(ORÇAMENTO!$X$15,ROW(AH112)-ROW(AH$15),0),
ROUND(ROUND(OFFSET($P112,0,AH$13),15-13*ORÇAMENTO!$AF$7)*OFFSET(ORÇAMENTO!$W$15,ROW(AH112)-ROW(AH$15),0),15-13*ORÇAMENTO!$AF$11)),0)</f>
        <v>0</v>
      </c>
      <c r="AI112" s="542">
        <f ca="1">IF(AND($D112="Serviço",AI$12&lt;&gt;0,$H112&gt;0,OR(AUTOEVENTO&lt;&gt;"manual",$M112&lt;&gt;1)),
IF(Import.TipoArredondamento&lt;&gt;"TransfereGOV",
ROUND(OFFSET($P112,0,AI$13),15-13*ORÇAMENTO!$AF$7)/$H112*OFFSET(ORÇAMENTO!$X$15,ROW(AI112)-ROW(AI$15),0),
ROUND(ROUND(OFFSET($P112,0,AI$13),15-13*ORÇAMENTO!$AF$7)*OFFSET(ORÇAMENTO!$W$15,ROW(AI112)-ROW(AI$15),0),15-13*ORÇAMENTO!$AF$11)),0)</f>
        <v>0</v>
      </c>
      <c r="AJ112" s="542">
        <f ca="1">IF(AND($D112="Serviço",AJ$12&lt;&gt;0,$H112&gt;0,OR(AUTOEVENTO&lt;&gt;"manual",$M112&lt;&gt;1)),
IF(Import.TipoArredondamento&lt;&gt;"TransfereGOV",
ROUND(OFFSET($P112,0,AJ$13),15-13*ORÇAMENTO!$AF$7)/$H112*OFFSET(ORÇAMENTO!$X$15,ROW(AJ112)-ROW(AJ$15),0),
ROUND(ROUND(OFFSET($P112,0,AJ$13),15-13*ORÇAMENTO!$AF$7)*OFFSET(ORÇAMENTO!$W$15,ROW(AJ112)-ROW(AJ$15),0),15-13*ORÇAMENTO!$AF$11)),0)</f>
        <v>0</v>
      </c>
      <c r="AK112" s="543">
        <f ca="1">IF(AND($D112="Serviço",AK$12&lt;&gt;0,$H112&gt;0,OR(AUTOEVENTO&lt;&gt;"manual",$M112&lt;&gt;1)),
IF(Import.TipoArredondamento&lt;&gt;"TransfereGOV",
ROUND(OFFSET($P112,0,AK$13),15-13*ORÇAMENTO!$AF$7)/$H112*OFFSET(ORÇAMENTO!$X$15,ROW(AK112)-ROW(AK$15),0),
ROUND(ROUND(OFFSET($P112,0,AK$13),15-13*ORÇAMENTO!$AF$7)*OFFSET(ORÇAMENTO!$W$15,ROW(AK112)-ROW(AK$15),0),15-13*ORÇAMENTO!$AF$11)),0)</f>
        <v>0</v>
      </c>
      <c r="AM112" s="178">
        <f ca="1">IF($D112&lt;&gt;"Serviço",0,IF(AND(AUTOEVENTO="Manual",$M112=1),0,IF(OFFSET(CRONOPLE!$F$14,$M112,AM$13)="",10^12,OFFSET(CRONOPLE!$F$14,$M112,AM$13))))</f>
        <v>1000000000000</v>
      </c>
      <c r="AN112" s="178">
        <f ca="1">IF($D112&lt;&gt;"Serviço",0,IF(AND(AUTOEVENTO="Manual",$M112=1),0,IF(OFFSET(CRONOPLE!$F$14,$M112,AN$13)="",10^12,OFFSET(CRONOPLE!$F$14,$M112,AN$13))))</f>
        <v>1000000000000</v>
      </c>
      <c r="AO112" s="178">
        <f ca="1">IF($D112&lt;&gt;"Serviço",0,IF(AND(AUTOEVENTO="Manual",$M112=1),0,IF(OFFSET(CRONOPLE!$F$14,$M112,AO$13)="",10^12,OFFSET(CRONOPLE!$F$14,$M112,AO$13))))</f>
        <v>1000000000000</v>
      </c>
      <c r="AP112" s="178">
        <f ca="1">IF($D112&lt;&gt;"Serviço",0,IF(AND(AUTOEVENTO="Manual",$M112=1),0,IF(OFFSET(CRONOPLE!$F$14,$M112,AP$13)="",10^12,OFFSET(CRONOPLE!$F$14,$M112,AP$13))))</f>
        <v>1000000000000</v>
      </c>
      <c r="AQ112" s="178">
        <f ca="1">IF($D112&lt;&gt;"Serviço",0,IF(AND(AUTOEVENTO="Manual",$M112=1),0,IF(OFFSET(CRONOPLE!$F$14,$M112,AQ$13)="",10^12,OFFSET(CRONOPLE!$F$14,$M112,AQ$13))))</f>
        <v>1000000000000</v>
      </c>
      <c r="AR112" s="178">
        <f ca="1">IF($D112&lt;&gt;"Serviço",0,IF(AND(AUTOEVENTO="Manual",$M112=1),0,IF(OFFSET(CRONOPLE!$F$14,$M112,AR$13)="",10^12,OFFSET(CRONOPLE!$F$14,$M112,AR$13))))</f>
        <v>1000000000000</v>
      </c>
      <c r="AS112" s="178">
        <f ca="1">IF($D112&lt;&gt;"Serviço",0,IF(AND(AUTOEVENTO="Manual",$M112=1),0,IF(OFFSET(CRONOPLE!$F$14,$M112,AS$13)="",10^12,OFFSET(CRONOPLE!$F$14,$M112,AS$13))))</f>
        <v>1000000000000</v>
      </c>
      <c r="AT112" s="178">
        <f ca="1">IF($D112&lt;&gt;"Serviço",0,IF(AND(AUTOEVENTO="Manual",$M112=1),0,IF(OFFSET(CRONOPLE!$F$14,$M112,AT$13)="",10^12,OFFSET(CRONOPLE!$F$14,$M112,AT$13))))</f>
        <v>1000000000000</v>
      </c>
      <c r="AU112" s="178">
        <f ca="1">IF($D112&lt;&gt;"Serviço",0,IF(AND(AUTOEVENTO="Manual",$M112=1),0,IF(OFFSET(CRONOPLE!$F$14,$M112,AU$13)="",10^12,OFFSET(CRONOPLE!$F$14,$M112,AU$13))))</f>
        <v>1000000000000</v>
      </c>
      <c r="AV112" s="178">
        <f ca="1">IF($D112&lt;&gt;"Serviço",0,IF(AND(AUTOEVENTO="Manual",$M112=1),0,IF(OFFSET(CRONOPLE!$F$14,$M112,AV$13)="",10^12,OFFSET(CRONOPLE!$F$14,$M112,AV$13))))</f>
        <v>1000000000000</v>
      </c>
      <c r="AX112" s="179">
        <f ca="1">IF($D112&lt;&gt;"Serviço",0,IF(OR(AND(AUTOEVENTO="Manual",$M112=1),$M112&gt;(ROW(PLE.lastrow)-ROW(PLE.firstrow))),0,IF(OFFSET(PLE!$G$14,$M112,AX$13)="",10^12,OFFSET(PLE!$G$14,$M112,AX$13))))</f>
        <v>1000000000000</v>
      </c>
      <c r="AY112" s="179">
        <f ca="1">IF($D112&lt;&gt;"Serviço",0,IF(OR(AND(AUTOEVENTO="Manual",$M112=1),$M112&gt;(ROW(PLE.lastrow)-ROW(PLE.firstrow))),0,IF(OFFSET(PLE!$G$14,$M112,AY$13)="",10^12,OFFSET(PLE!$G$14,$M112,AY$13))))</f>
        <v>1000000000000</v>
      </c>
      <c r="AZ112" s="179">
        <f ca="1">IF($D112&lt;&gt;"Serviço",0,IF(OR(AND(AUTOEVENTO="Manual",$M112=1),$M112&gt;(ROW(PLE.lastrow)-ROW(PLE.firstrow))),0,IF(OFFSET(PLE!$G$14,$M112,AZ$13)="",10^12,OFFSET(PLE!$G$14,$M112,AZ$13))))</f>
        <v>1000000000000</v>
      </c>
      <c r="BA112" s="179">
        <f ca="1">IF($D112&lt;&gt;"Serviço",0,IF(OR(AND(AUTOEVENTO="Manual",$M112=1),$M112&gt;(ROW(PLE.lastrow)-ROW(PLE.firstrow))),0,IF(OFFSET(PLE!$G$14,$M112,BA$13)="",10^12,OFFSET(PLE!$G$14,$M112,BA$13))))</f>
        <v>1000000000000</v>
      </c>
      <c r="BB112" s="179">
        <f ca="1">IF($D112&lt;&gt;"Serviço",0,IF(OR(AND(AUTOEVENTO="Manual",$M112=1),$M112&gt;(ROW(PLE.lastrow)-ROW(PLE.firstrow))),0,IF(OFFSET(PLE!$G$14,$M112,BB$13)="",10^12,OFFSET(PLE!$G$14,$M112,BB$13))))</f>
        <v>1000000000000</v>
      </c>
      <c r="BC112" s="179">
        <f ca="1">IF($D112&lt;&gt;"Serviço",0,IF(OR(AND(AUTOEVENTO="Manual",$M112=1),$M112&gt;(ROW(PLE.lastrow)-ROW(PLE.firstrow))),0,IF(OFFSET(PLE!$G$14,$M112,BC$13)="",10^12,OFFSET(PLE!$G$14,$M112,BC$13))))</f>
        <v>1000000000000</v>
      </c>
      <c r="BD112" s="179">
        <f ca="1">IF($D112&lt;&gt;"Serviço",0,IF(OR(AND(AUTOEVENTO="Manual",$M112=1),$M112&gt;(ROW(PLE.lastrow)-ROW(PLE.firstrow))),0,IF(OFFSET(PLE!$G$14,$M112,BD$13)="",10^12,OFFSET(PLE!$G$14,$M112,BD$13))))</f>
        <v>1000000000000</v>
      </c>
      <c r="BE112" s="179">
        <f ca="1">IF($D112&lt;&gt;"Serviço",0,IF(OR(AND(AUTOEVENTO="Manual",$M112=1),$M112&gt;(ROW(PLE.lastrow)-ROW(PLE.firstrow))),0,IF(OFFSET(PLE!$G$14,$M112,BE$13)="",10^12,OFFSET(PLE!$G$14,$M112,BE$13))))</f>
        <v>1000000000000</v>
      </c>
      <c r="BF112" s="179">
        <f ca="1">IF($D112&lt;&gt;"Serviço",0,IF(OR(AND(AUTOEVENTO="Manual",$M112=1),$M112&gt;(ROW(PLE.lastrow)-ROW(PLE.firstrow))),0,IF(OFFSET(PLE!$G$14,$M112,BF$13)="",10^12,OFFSET(PLE!$G$14,$M112,BF$13))))</f>
        <v>1000000000000</v>
      </c>
      <c r="BG112" s="179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25.5" x14ac:dyDescent="0.2">
      <c r="A113" s="7" t="str">
        <f t="shared" ca="1" si="10"/>
        <v>88</v>
      </c>
      <c r="B113" s="7" t="str">
        <f ca="1">OFFSET(ORÇAMENTO!C$15,ROW(B113)-ROW(B$15),0)</f>
        <v>S</v>
      </c>
      <c r="C113" s="7" t="str">
        <f ca="1">OFFSET(ORÇAMENTO!L$15,ROW(C113)-ROW(C$15),0)</f>
        <v/>
      </c>
      <c r="D113" s="115" t="str">
        <f ca="1">OFFSET(ORÇAMENTO!N$15,ROW(D113)-ROW(D$15),0)</f>
        <v>Serviço</v>
      </c>
      <c r="E113" s="116" t="str">
        <f ca="1">OFFSET(ORÇAMENTO!O$15,ROW(E113)-ROW(E$15),0)</f>
        <v>-</v>
      </c>
      <c r="F113" s="169" t="str">
        <f ca="1">OFFSET(ORÇAMENTO!R$15,ROW(F113)-ROW(F$15),0)</f>
        <v>(abra o arquivo 'Referência 10-2024.xlsm)</v>
      </c>
      <c r="G113" s="170" t="str">
        <f ca="1">IF($D113&lt;&gt;"Serviço","",OFFSET(ORÇAMENTO!S$15,ROW(G113)-ROW(G$15),0))</f>
        <v>-</v>
      </c>
      <c r="H113" s="121">
        <f ca="1">IF($D113&lt;&gt;"Serviço",0,IF(ACOMPANHAMENTO="BM",ROUND(OFFSET(ORÇAMENTO!AJ$15,ROW(H113)-ROW(H$15),0),15-13*ORÇAMENTO!$AF$7),SUMPRODUCT(($Q$12:$AA$12&lt;&gt;"")*ROUND($Q113:$AA113,15-13*ORÇAMENTO!$AF$7))))</f>
        <v>1</v>
      </c>
      <c r="I113" s="558" t="s">
        <v>561</v>
      </c>
      <c r="K113" s="171"/>
      <c r="L113" s="172" t="s">
        <v>255</v>
      </c>
      <c r="M113" s="173">
        <f ca="1">IF($D113&lt;&gt;"Serviço","",IF(AUTOEVENTO="manual",$A113,IF(ISERROR(MATCH($A113,$A$15:OFFSET($A113,-1,0),0)),MAX($M$15:OFFSET(M113,-1,0))+1,INDEX($M$15:OFFSET(M113,-1,0),MATCH($A113,$A$15:OFFSET($A113,-1,0),0)))))</f>
        <v>15</v>
      </c>
      <c r="N113" s="174" t="str">
        <f ca="1">IF($D113&lt;&gt;"Serviço","",IF(AUTOEVENTO="Manual",IF($A113=0,"&lt;-- defina o número do agrupador",OFFSET(EVENTOS!$D$14,$A113,0)),OFFSET($F$15,$A113,0)))</f>
        <v>INSTALAÇÕES ELÉTRICAS</v>
      </c>
      <c r="O113" s="175"/>
      <c r="Q113" s="175"/>
      <c r="R113" s="176"/>
      <c r="S113" s="176"/>
      <c r="T113" s="176"/>
      <c r="U113" s="176"/>
      <c r="V113" s="176"/>
      <c r="W113" s="176"/>
      <c r="X113" s="176"/>
      <c r="Y113" s="176"/>
      <c r="Z113" s="177"/>
      <c r="AB113" s="541">
        <f ca="1">IF(AND($D113="Serviço",AB$12&lt;&gt;0,$H113&gt;0,OR(AUTOEVENTO&lt;&gt;"manual",$M113&lt;&gt;1)),
IF(Import.TipoArredondamento&lt;&gt;"TransfereGOV",
ROUND(OFFSET($P113,0,AB$13),15-13*ORÇAMENTO!$AF$7)/$H113*OFFSET(ORÇAMENTO!$X$15,ROW(AB113)-ROW(AB$15),0),
ROUND(ROUND(OFFSET($P113,0,AB$13),15-13*ORÇAMENTO!$AF$7)*OFFSET(ORÇAMENTO!$W$15,ROW(AB113)-ROW(AB$15),0),15-13*ORÇAMENTO!$AF$11)),0)</f>
        <v>0</v>
      </c>
      <c r="AC113" s="542">
        <f ca="1">IF(AND($D113="Serviço",AC$12&lt;&gt;0,$H113&gt;0,OR(AUTOEVENTO&lt;&gt;"manual",$M113&lt;&gt;1)),
IF(Import.TipoArredondamento&lt;&gt;"TransfereGOV",
ROUND(OFFSET($P113,0,AC$13),15-13*ORÇAMENTO!$AF$7)/$H113*OFFSET(ORÇAMENTO!$X$15,ROW(AC113)-ROW(AC$15),0),
ROUND(ROUND(OFFSET($P113,0,AC$13),15-13*ORÇAMENTO!$AF$7)*OFFSET(ORÇAMENTO!$W$15,ROW(AC113)-ROW(AC$15),0),15-13*ORÇAMENTO!$AF$11)),0)</f>
        <v>0</v>
      </c>
      <c r="AD113" s="542">
        <f ca="1">IF(AND($D113="Serviço",AD$12&lt;&gt;0,$H113&gt;0,OR(AUTOEVENTO&lt;&gt;"manual",$M113&lt;&gt;1)),
IF(Import.TipoArredondamento&lt;&gt;"TransfereGOV",
ROUND(OFFSET($P113,0,AD$13),15-13*ORÇAMENTO!$AF$7)/$H113*OFFSET(ORÇAMENTO!$X$15,ROW(AD113)-ROW(AD$15),0),
ROUND(ROUND(OFFSET($P113,0,AD$13),15-13*ORÇAMENTO!$AF$7)*OFFSET(ORÇAMENTO!$W$15,ROW(AD113)-ROW(AD$15),0),15-13*ORÇAMENTO!$AF$11)),0)</f>
        <v>0</v>
      </c>
      <c r="AE113" s="542">
        <f ca="1">IF(AND($D113="Serviço",AE$12&lt;&gt;0,$H113&gt;0,OR(AUTOEVENTO&lt;&gt;"manual",$M113&lt;&gt;1)),
IF(Import.TipoArredondamento&lt;&gt;"TransfereGOV",
ROUND(OFFSET($P113,0,AE$13),15-13*ORÇAMENTO!$AF$7)/$H113*OFFSET(ORÇAMENTO!$X$15,ROW(AE113)-ROW(AE$15),0),
ROUND(ROUND(OFFSET($P113,0,AE$13),15-13*ORÇAMENTO!$AF$7)*OFFSET(ORÇAMENTO!$W$15,ROW(AE113)-ROW(AE$15),0),15-13*ORÇAMENTO!$AF$11)),0)</f>
        <v>0</v>
      </c>
      <c r="AF113" s="542">
        <f ca="1">IF(AND($D113="Serviço",AF$12&lt;&gt;0,$H113&gt;0,OR(AUTOEVENTO&lt;&gt;"manual",$M113&lt;&gt;1)),
IF(Import.TipoArredondamento&lt;&gt;"TransfereGOV",
ROUND(OFFSET($P113,0,AF$13),15-13*ORÇAMENTO!$AF$7)/$H113*OFFSET(ORÇAMENTO!$X$15,ROW(AF113)-ROW(AF$15),0),
ROUND(ROUND(OFFSET($P113,0,AF$13),15-13*ORÇAMENTO!$AF$7)*OFFSET(ORÇAMENTO!$W$15,ROW(AF113)-ROW(AF$15),0),15-13*ORÇAMENTO!$AF$11)),0)</f>
        <v>0</v>
      </c>
      <c r="AG113" s="542">
        <f ca="1">IF(AND($D113="Serviço",AG$12&lt;&gt;0,$H113&gt;0,OR(AUTOEVENTO&lt;&gt;"manual",$M113&lt;&gt;1)),
IF(Import.TipoArredondamento&lt;&gt;"TransfereGOV",
ROUND(OFFSET($P113,0,AG$13),15-13*ORÇAMENTO!$AF$7)/$H113*OFFSET(ORÇAMENTO!$X$15,ROW(AG113)-ROW(AG$15),0),
ROUND(ROUND(OFFSET($P113,0,AG$13),15-13*ORÇAMENTO!$AF$7)*OFFSET(ORÇAMENTO!$W$15,ROW(AG113)-ROW(AG$15),0),15-13*ORÇAMENTO!$AF$11)),0)</f>
        <v>0</v>
      </c>
      <c r="AH113" s="542">
        <f ca="1">IF(AND($D113="Serviço",AH$12&lt;&gt;0,$H113&gt;0,OR(AUTOEVENTO&lt;&gt;"manual",$M113&lt;&gt;1)),
IF(Import.TipoArredondamento&lt;&gt;"TransfereGOV",
ROUND(OFFSET($P113,0,AH$13),15-13*ORÇAMENTO!$AF$7)/$H113*OFFSET(ORÇAMENTO!$X$15,ROW(AH113)-ROW(AH$15),0),
ROUND(ROUND(OFFSET($P113,0,AH$13),15-13*ORÇAMENTO!$AF$7)*OFFSET(ORÇAMENTO!$W$15,ROW(AH113)-ROW(AH$15),0),15-13*ORÇAMENTO!$AF$11)),0)</f>
        <v>0</v>
      </c>
      <c r="AI113" s="542">
        <f ca="1">IF(AND($D113="Serviço",AI$12&lt;&gt;0,$H113&gt;0,OR(AUTOEVENTO&lt;&gt;"manual",$M113&lt;&gt;1)),
IF(Import.TipoArredondamento&lt;&gt;"TransfereGOV",
ROUND(OFFSET($P113,0,AI$13),15-13*ORÇAMENTO!$AF$7)/$H113*OFFSET(ORÇAMENTO!$X$15,ROW(AI113)-ROW(AI$15),0),
ROUND(ROUND(OFFSET($P113,0,AI$13),15-13*ORÇAMENTO!$AF$7)*OFFSET(ORÇAMENTO!$W$15,ROW(AI113)-ROW(AI$15),0),15-13*ORÇAMENTO!$AF$11)),0)</f>
        <v>0</v>
      </c>
      <c r="AJ113" s="542">
        <f ca="1">IF(AND($D113="Serviço",AJ$12&lt;&gt;0,$H113&gt;0,OR(AUTOEVENTO&lt;&gt;"manual",$M113&lt;&gt;1)),
IF(Import.TipoArredondamento&lt;&gt;"TransfereGOV",
ROUND(OFFSET($P113,0,AJ$13),15-13*ORÇAMENTO!$AF$7)/$H113*OFFSET(ORÇAMENTO!$X$15,ROW(AJ113)-ROW(AJ$15),0),
ROUND(ROUND(OFFSET($P113,0,AJ$13),15-13*ORÇAMENTO!$AF$7)*OFFSET(ORÇAMENTO!$W$15,ROW(AJ113)-ROW(AJ$15),0),15-13*ORÇAMENTO!$AF$11)),0)</f>
        <v>0</v>
      </c>
      <c r="AK113" s="543">
        <f ca="1">IF(AND($D113="Serviço",AK$12&lt;&gt;0,$H113&gt;0,OR(AUTOEVENTO&lt;&gt;"manual",$M113&lt;&gt;1)),
IF(Import.TipoArredondamento&lt;&gt;"TransfereGOV",
ROUND(OFFSET($P113,0,AK$13),15-13*ORÇAMENTO!$AF$7)/$H113*OFFSET(ORÇAMENTO!$X$15,ROW(AK113)-ROW(AK$15),0),
ROUND(ROUND(OFFSET($P113,0,AK$13),15-13*ORÇAMENTO!$AF$7)*OFFSET(ORÇAMENTO!$W$15,ROW(AK113)-ROW(AK$15),0),15-13*ORÇAMENTO!$AF$11)),0)</f>
        <v>0</v>
      </c>
      <c r="AM113" s="178">
        <f ca="1">IF($D113&lt;&gt;"Serviço",0,IF(AND(AUTOEVENTO="Manual",$M113=1),0,IF(OFFSET(CRONOPLE!$F$14,$M113,AM$13)="",10^12,OFFSET(CRONOPLE!$F$14,$M113,AM$13))))</f>
        <v>1000000000000</v>
      </c>
      <c r="AN113" s="178">
        <f ca="1">IF($D113&lt;&gt;"Serviço",0,IF(AND(AUTOEVENTO="Manual",$M113=1),0,IF(OFFSET(CRONOPLE!$F$14,$M113,AN$13)="",10^12,OFFSET(CRONOPLE!$F$14,$M113,AN$13))))</f>
        <v>1000000000000</v>
      </c>
      <c r="AO113" s="178">
        <f ca="1">IF($D113&lt;&gt;"Serviço",0,IF(AND(AUTOEVENTO="Manual",$M113=1),0,IF(OFFSET(CRONOPLE!$F$14,$M113,AO$13)="",10^12,OFFSET(CRONOPLE!$F$14,$M113,AO$13))))</f>
        <v>1000000000000</v>
      </c>
      <c r="AP113" s="178">
        <f ca="1">IF($D113&lt;&gt;"Serviço",0,IF(AND(AUTOEVENTO="Manual",$M113=1),0,IF(OFFSET(CRONOPLE!$F$14,$M113,AP$13)="",10^12,OFFSET(CRONOPLE!$F$14,$M113,AP$13))))</f>
        <v>1000000000000</v>
      </c>
      <c r="AQ113" s="178">
        <f ca="1">IF($D113&lt;&gt;"Serviço",0,IF(AND(AUTOEVENTO="Manual",$M113=1),0,IF(OFFSET(CRONOPLE!$F$14,$M113,AQ$13)="",10^12,OFFSET(CRONOPLE!$F$14,$M113,AQ$13))))</f>
        <v>1000000000000</v>
      </c>
      <c r="AR113" s="178">
        <f ca="1">IF($D113&lt;&gt;"Serviço",0,IF(AND(AUTOEVENTO="Manual",$M113=1),0,IF(OFFSET(CRONOPLE!$F$14,$M113,AR$13)="",10^12,OFFSET(CRONOPLE!$F$14,$M113,AR$13))))</f>
        <v>1000000000000</v>
      </c>
      <c r="AS113" s="178">
        <f ca="1">IF($D113&lt;&gt;"Serviço",0,IF(AND(AUTOEVENTO="Manual",$M113=1),0,IF(OFFSET(CRONOPLE!$F$14,$M113,AS$13)="",10^12,OFFSET(CRONOPLE!$F$14,$M113,AS$13))))</f>
        <v>1000000000000</v>
      </c>
      <c r="AT113" s="178">
        <f ca="1">IF($D113&lt;&gt;"Serviço",0,IF(AND(AUTOEVENTO="Manual",$M113=1),0,IF(OFFSET(CRONOPLE!$F$14,$M113,AT$13)="",10^12,OFFSET(CRONOPLE!$F$14,$M113,AT$13))))</f>
        <v>1000000000000</v>
      </c>
      <c r="AU113" s="178">
        <f ca="1">IF($D113&lt;&gt;"Serviço",0,IF(AND(AUTOEVENTO="Manual",$M113=1),0,IF(OFFSET(CRONOPLE!$F$14,$M113,AU$13)="",10^12,OFFSET(CRONOPLE!$F$14,$M113,AU$13))))</f>
        <v>1000000000000</v>
      </c>
      <c r="AV113" s="178">
        <f ca="1">IF($D113&lt;&gt;"Serviço",0,IF(AND(AUTOEVENTO="Manual",$M113=1),0,IF(OFFSET(CRONOPLE!$F$14,$M113,AV$13)="",10^12,OFFSET(CRONOPLE!$F$14,$M113,AV$13))))</f>
        <v>1000000000000</v>
      </c>
      <c r="AX113" s="179">
        <f ca="1">IF($D113&lt;&gt;"Serviço",0,IF(OR(AND(AUTOEVENTO="Manual",$M113=1),$M113&gt;(ROW(PLE.lastrow)-ROW(PLE.firstrow))),0,IF(OFFSET(PLE!$G$14,$M113,AX$13)="",10^12,OFFSET(PLE!$G$14,$M113,AX$13))))</f>
        <v>1000000000000</v>
      </c>
      <c r="AY113" s="179">
        <f ca="1">IF($D113&lt;&gt;"Serviço",0,IF(OR(AND(AUTOEVENTO="Manual",$M113=1),$M113&gt;(ROW(PLE.lastrow)-ROW(PLE.firstrow))),0,IF(OFFSET(PLE!$G$14,$M113,AY$13)="",10^12,OFFSET(PLE!$G$14,$M113,AY$13))))</f>
        <v>1000000000000</v>
      </c>
      <c r="AZ113" s="179">
        <f ca="1">IF($D113&lt;&gt;"Serviço",0,IF(OR(AND(AUTOEVENTO="Manual",$M113=1),$M113&gt;(ROW(PLE.lastrow)-ROW(PLE.firstrow))),0,IF(OFFSET(PLE!$G$14,$M113,AZ$13)="",10^12,OFFSET(PLE!$G$14,$M113,AZ$13))))</f>
        <v>1000000000000</v>
      </c>
      <c r="BA113" s="179">
        <f ca="1">IF($D113&lt;&gt;"Serviço",0,IF(OR(AND(AUTOEVENTO="Manual",$M113=1),$M113&gt;(ROW(PLE.lastrow)-ROW(PLE.firstrow))),0,IF(OFFSET(PLE!$G$14,$M113,BA$13)="",10^12,OFFSET(PLE!$G$14,$M113,BA$13))))</f>
        <v>1000000000000</v>
      </c>
      <c r="BB113" s="179">
        <f ca="1">IF($D113&lt;&gt;"Serviço",0,IF(OR(AND(AUTOEVENTO="Manual",$M113=1),$M113&gt;(ROW(PLE.lastrow)-ROW(PLE.firstrow))),0,IF(OFFSET(PLE!$G$14,$M113,BB$13)="",10^12,OFFSET(PLE!$G$14,$M113,BB$13))))</f>
        <v>1000000000000</v>
      </c>
      <c r="BC113" s="179">
        <f ca="1">IF($D113&lt;&gt;"Serviço",0,IF(OR(AND(AUTOEVENTO="Manual",$M113=1),$M113&gt;(ROW(PLE.lastrow)-ROW(PLE.firstrow))),0,IF(OFFSET(PLE!$G$14,$M113,BC$13)="",10^12,OFFSET(PLE!$G$14,$M113,BC$13))))</f>
        <v>1000000000000</v>
      </c>
      <c r="BD113" s="179">
        <f ca="1">IF($D113&lt;&gt;"Serviço",0,IF(OR(AND(AUTOEVENTO="Manual",$M113=1),$M113&gt;(ROW(PLE.lastrow)-ROW(PLE.firstrow))),0,IF(OFFSET(PLE!$G$14,$M113,BD$13)="",10^12,OFFSET(PLE!$G$14,$M113,BD$13))))</f>
        <v>1000000000000</v>
      </c>
      <c r="BE113" s="179">
        <f ca="1">IF($D113&lt;&gt;"Serviço",0,IF(OR(AND(AUTOEVENTO="Manual",$M113=1),$M113&gt;(ROW(PLE.lastrow)-ROW(PLE.firstrow))),0,IF(OFFSET(PLE!$G$14,$M113,BE$13)="",10^12,OFFSET(PLE!$G$14,$M113,BE$13))))</f>
        <v>1000000000000</v>
      </c>
      <c r="BF113" s="179">
        <f ca="1">IF($D113&lt;&gt;"Serviço",0,IF(OR(AND(AUTOEVENTO="Manual",$M113=1),$M113&gt;(ROW(PLE.lastrow)-ROW(PLE.firstrow))),0,IF(OFFSET(PLE!$G$14,$M113,BF$13)="",10^12,OFFSET(PLE!$G$14,$M113,BF$13))))</f>
        <v>1000000000000</v>
      </c>
      <c r="BG113" s="179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25.5" x14ac:dyDescent="0.2">
      <c r="A114" s="7" t="str">
        <f t="shared" ca="1" si="10"/>
        <v>88</v>
      </c>
      <c r="B114" s="7" t="str">
        <f ca="1">OFFSET(ORÇAMENTO!C$15,ROW(B114)-ROW(B$15),0)</f>
        <v>S</v>
      </c>
      <c r="C114" s="7" t="str">
        <f ca="1">OFFSET(ORÇAMENTO!L$15,ROW(C114)-ROW(C$15),0)</f>
        <v/>
      </c>
      <c r="D114" s="115" t="str">
        <f ca="1">OFFSET(ORÇAMENTO!N$15,ROW(D114)-ROW(D$15),0)</f>
        <v>Serviço</v>
      </c>
      <c r="E114" s="116" t="str">
        <f ca="1">OFFSET(ORÇAMENTO!O$15,ROW(E114)-ROW(E$15),0)</f>
        <v>-</v>
      </c>
      <c r="F114" s="169" t="str">
        <f ca="1">OFFSET(ORÇAMENTO!R$15,ROW(F114)-ROW(F$15),0)</f>
        <v>(abra o arquivo 'Referência 10-2024.xlsm)</v>
      </c>
      <c r="G114" s="170" t="str">
        <f ca="1">IF($D114&lt;&gt;"Serviço","",OFFSET(ORÇAMENTO!S$15,ROW(G114)-ROW(G$15),0))</f>
        <v>-</v>
      </c>
      <c r="H114" s="121">
        <f ca="1">IF($D114&lt;&gt;"Serviço",0,IF(ACOMPANHAMENTO="BM",ROUND(OFFSET(ORÇAMENTO!AJ$15,ROW(H114)-ROW(H$15),0),15-13*ORÇAMENTO!$AF$7),SUMPRODUCT(($Q$12:$AA$12&lt;&gt;"")*ROUND($Q114:$AA114,15-13*ORÇAMENTO!$AF$7))))</f>
        <v>3</v>
      </c>
      <c r="I114" s="558" t="s">
        <v>561</v>
      </c>
      <c r="K114" s="171"/>
      <c r="L114" s="172" t="s">
        <v>255</v>
      </c>
      <c r="M114" s="173">
        <f ca="1">IF($D114&lt;&gt;"Serviço","",IF(AUTOEVENTO="manual",$A114,IF(ISERROR(MATCH($A114,$A$15:OFFSET($A114,-1,0),0)),MAX($M$15:OFFSET(M114,-1,0))+1,INDEX($M$15:OFFSET(M114,-1,0),MATCH($A114,$A$15:OFFSET($A114,-1,0),0)))))</f>
        <v>15</v>
      </c>
      <c r="N114" s="174" t="str">
        <f ca="1">IF($D114&lt;&gt;"Serviço","",IF(AUTOEVENTO="Manual",IF($A114=0,"&lt;-- defina o número do agrupador",OFFSET(EVENTOS!$D$14,$A114,0)),OFFSET($F$15,$A114,0)))</f>
        <v>INSTALAÇÕES ELÉTRICAS</v>
      </c>
      <c r="O114" s="175"/>
      <c r="Q114" s="175"/>
      <c r="R114" s="176"/>
      <c r="S114" s="176"/>
      <c r="T114" s="176"/>
      <c r="U114" s="176"/>
      <c r="V114" s="176"/>
      <c r="W114" s="176"/>
      <c r="X114" s="176"/>
      <c r="Y114" s="176"/>
      <c r="Z114" s="177"/>
      <c r="AB114" s="541">
        <f ca="1">IF(AND($D114="Serviço",AB$12&lt;&gt;0,$H114&gt;0,OR(AUTOEVENTO&lt;&gt;"manual",$M114&lt;&gt;1)),
IF(Import.TipoArredondamento&lt;&gt;"TransfereGOV",
ROUND(OFFSET($P114,0,AB$13),15-13*ORÇAMENTO!$AF$7)/$H114*OFFSET(ORÇAMENTO!$X$15,ROW(AB114)-ROW(AB$15),0),
ROUND(ROUND(OFFSET($P114,0,AB$13),15-13*ORÇAMENTO!$AF$7)*OFFSET(ORÇAMENTO!$W$15,ROW(AB114)-ROW(AB$15),0),15-13*ORÇAMENTO!$AF$11)),0)</f>
        <v>0</v>
      </c>
      <c r="AC114" s="542">
        <f ca="1">IF(AND($D114="Serviço",AC$12&lt;&gt;0,$H114&gt;0,OR(AUTOEVENTO&lt;&gt;"manual",$M114&lt;&gt;1)),
IF(Import.TipoArredondamento&lt;&gt;"TransfereGOV",
ROUND(OFFSET($P114,0,AC$13),15-13*ORÇAMENTO!$AF$7)/$H114*OFFSET(ORÇAMENTO!$X$15,ROW(AC114)-ROW(AC$15),0),
ROUND(ROUND(OFFSET($P114,0,AC$13),15-13*ORÇAMENTO!$AF$7)*OFFSET(ORÇAMENTO!$W$15,ROW(AC114)-ROW(AC$15),0),15-13*ORÇAMENTO!$AF$11)),0)</f>
        <v>0</v>
      </c>
      <c r="AD114" s="542">
        <f ca="1">IF(AND($D114="Serviço",AD$12&lt;&gt;0,$H114&gt;0,OR(AUTOEVENTO&lt;&gt;"manual",$M114&lt;&gt;1)),
IF(Import.TipoArredondamento&lt;&gt;"TransfereGOV",
ROUND(OFFSET($P114,0,AD$13),15-13*ORÇAMENTO!$AF$7)/$H114*OFFSET(ORÇAMENTO!$X$15,ROW(AD114)-ROW(AD$15),0),
ROUND(ROUND(OFFSET($P114,0,AD$13),15-13*ORÇAMENTO!$AF$7)*OFFSET(ORÇAMENTO!$W$15,ROW(AD114)-ROW(AD$15),0),15-13*ORÇAMENTO!$AF$11)),0)</f>
        <v>0</v>
      </c>
      <c r="AE114" s="542">
        <f ca="1">IF(AND($D114="Serviço",AE$12&lt;&gt;0,$H114&gt;0,OR(AUTOEVENTO&lt;&gt;"manual",$M114&lt;&gt;1)),
IF(Import.TipoArredondamento&lt;&gt;"TransfereGOV",
ROUND(OFFSET($P114,0,AE$13),15-13*ORÇAMENTO!$AF$7)/$H114*OFFSET(ORÇAMENTO!$X$15,ROW(AE114)-ROW(AE$15),0),
ROUND(ROUND(OFFSET($P114,0,AE$13),15-13*ORÇAMENTO!$AF$7)*OFFSET(ORÇAMENTO!$W$15,ROW(AE114)-ROW(AE$15),0),15-13*ORÇAMENTO!$AF$11)),0)</f>
        <v>0</v>
      </c>
      <c r="AF114" s="542">
        <f ca="1">IF(AND($D114="Serviço",AF$12&lt;&gt;0,$H114&gt;0,OR(AUTOEVENTO&lt;&gt;"manual",$M114&lt;&gt;1)),
IF(Import.TipoArredondamento&lt;&gt;"TransfereGOV",
ROUND(OFFSET($P114,0,AF$13),15-13*ORÇAMENTO!$AF$7)/$H114*OFFSET(ORÇAMENTO!$X$15,ROW(AF114)-ROW(AF$15),0),
ROUND(ROUND(OFFSET($P114,0,AF$13),15-13*ORÇAMENTO!$AF$7)*OFFSET(ORÇAMENTO!$W$15,ROW(AF114)-ROW(AF$15),0),15-13*ORÇAMENTO!$AF$11)),0)</f>
        <v>0</v>
      </c>
      <c r="AG114" s="542">
        <f ca="1">IF(AND($D114="Serviço",AG$12&lt;&gt;0,$H114&gt;0,OR(AUTOEVENTO&lt;&gt;"manual",$M114&lt;&gt;1)),
IF(Import.TipoArredondamento&lt;&gt;"TransfereGOV",
ROUND(OFFSET($P114,0,AG$13),15-13*ORÇAMENTO!$AF$7)/$H114*OFFSET(ORÇAMENTO!$X$15,ROW(AG114)-ROW(AG$15),0),
ROUND(ROUND(OFFSET($P114,0,AG$13),15-13*ORÇAMENTO!$AF$7)*OFFSET(ORÇAMENTO!$W$15,ROW(AG114)-ROW(AG$15),0),15-13*ORÇAMENTO!$AF$11)),0)</f>
        <v>0</v>
      </c>
      <c r="AH114" s="542">
        <f ca="1">IF(AND($D114="Serviço",AH$12&lt;&gt;0,$H114&gt;0,OR(AUTOEVENTO&lt;&gt;"manual",$M114&lt;&gt;1)),
IF(Import.TipoArredondamento&lt;&gt;"TransfereGOV",
ROUND(OFFSET($P114,0,AH$13),15-13*ORÇAMENTO!$AF$7)/$H114*OFFSET(ORÇAMENTO!$X$15,ROW(AH114)-ROW(AH$15),0),
ROUND(ROUND(OFFSET($P114,0,AH$13),15-13*ORÇAMENTO!$AF$7)*OFFSET(ORÇAMENTO!$W$15,ROW(AH114)-ROW(AH$15),0),15-13*ORÇAMENTO!$AF$11)),0)</f>
        <v>0</v>
      </c>
      <c r="AI114" s="542">
        <f ca="1">IF(AND($D114="Serviço",AI$12&lt;&gt;0,$H114&gt;0,OR(AUTOEVENTO&lt;&gt;"manual",$M114&lt;&gt;1)),
IF(Import.TipoArredondamento&lt;&gt;"TransfereGOV",
ROUND(OFFSET($P114,0,AI$13),15-13*ORÇAMENTO!$AF$7)/$H114*OFFSET(ORÇAMENTO!$X$15,ROW(AI114)-ROW(AI$15),0),
ROUND(ROUND(OFFSET($P114,0,AI$13),15-13*ORÇAMENTO!$AF$7)*OFFSET(ORÇAMENTO!$W$15,ROW(AI114)-ROW(AI$15),0),15-13*ORÇAMENTO!$AF$11)),0)</f>
        <v>0</v>
      </c>
      <c r="AJ114" s="542">
        <f ca="1">IF(AND($D114="Serviço",AJ$12&lt;&gt;0,$H114&gt;0,OR(AUTOEVENTO&lt;&gt;"manual",$M114&lt;&gt;1)),
IF(Import.TipoArredondamento&lt;&gt;"TransfereGOV",
ROUND(OFFSET($P114,0,AJ$13),15-13*ORÇAMENTO!$AF$7)/$H114*OFFSET(ORÇAMENTO!$X$15,ROW(AJ114)-ROW(AJ$15),0),
ROUND(ROUND(OFFSET($P114,0,AJ$13),15-13*ORÇAMENTO!$AF$7)*OFFSET(ORÇAMENTO!$W$15,ROW(AJ114)-ROW(AJ$15),0),15-13*ORÇAMENTO!$AF$11)),0)</f>
        <v>0</v>
      </c>
      <c r="AK114" s="543">
        <f ca="1">IF(AND($D114="Serviço",AK$12&lt;&gt;0,$H114&gt;0,OR(AUTOEVENTO&lt;&gt;"manual",$M114&lt;&gt;1)),
IF(Import.TipoArredondamento&lt;&gt;"TransfereGOV",
ROUND(OFFSET($P114,0,AK$13),15-13*ORÇAMENTO!$AF$7)/$H114*OFFSET(ORÇAMENTO!$X$15,ROW(AK114)-ROW(AK$15),0),
ROUND(ROUND(OFFSET($P114,0,AK$13),15-13*ORÇAMENTO!$AF$7)*OFFSET(ORÇAMENTO!$W$15,ROW(AK114)-ROW(AK$15),0),15-13*ORÇAMENTO!$AF$11)),0)</f>
        <v>0</v>
      </c>
      <c r="AM114" s="178">
        <f ca="1">IF($D114&lt;&gt;"Serviço",0,IF(AND(AUTOEVENTO="Manual",$M114=1),0,IF(OFFSET(CRONOPLE!$F$14,$M114,AM$13)="",10^12,OFFSET(CRONOPLE!$F$14,$M114,AM$13))))</f>
        <v>1000000000000</v>
      </c>
      <c r="AN114" s="178">
        <f ca="1">IF($D114&lt;&gt;"Serviço",0,IF(AND(AUTOEVENTO="Manual",$M114=1),0,IF(OFFSET(CRONOPLE!$F$14,$M114,AN$13)="",10^12,OFFSET(CRONOPLE!$F$14,$M114,AN$13))))</f>
        <v>1000000000000</v>
      </c>
      <c r="AO114" s="178">
        <f ca="1">IF($D114&lt;&gt;"Serviço",0,IF(AND(AUTOEVENTO="Manual",$M114=1),0,IF(OFFSET(CRONOPLE!$F$14,$M114,AO$13)="",10^12,OFFSET(CRONOPLE!$F$14,$M114,AO$13))))</f>
        <v>1000000000000</v>
      </c>
      <c r="AP114" s="178">
        <f ca="1">IF($D114&lt;&gt;"Serviço",0,IF(AND(AUTOEVENTO="Manual",$M114=1),0,IF(OFFSET(CRONOPLE!$F$14,$M114,AP$13)="",10^12,OFFSET(CRONOPLE!$F$14,$M114,AP$13))))</f>
        <v>1000000000000</v>
      </c>
      <c r="AQ114" s="178">
        <f ca="1">IF($D114&lt;&gt;"Serviço",0,IF(AND(AUTOEVENTO="Manual",$M114=1),0,IF(OFFSET(CRONOPLE!$F$14,$M114,AQ$13)="",10^12,OFFSET(CRONOPLE!$F$14,$M114,AQ$13))))</f>
        <v>1000000000000</v>
      </c>
      <c r="AR114" s="178">
        <f ca="1">IF($D114&lt;&gt;"Serviço",0,IF(AND(AUTOEVENTO="Manual",$M114=1),0,IF(OFFSET(CRONOPLE!$F$14,$M114,AR$13)="",10^12,OFFSET(CRONOPLE!$F$14,$M114,AR$13))))</f>
        <v>1000000000000</v>
      </c>
      <c r="AS114" s="178">
        <f ca="1">IF($D114&lt;&gt;"Serviço",0,IF(AND(AUTOEVENTO="Manual",$M114=1),0,IF(OFFSET(CRONOPLE!$F$14,$M114,AS$13)="",10^12,OFFSET(CRONOPLE!$F$14,$M114,AS$13))))</f>
        <v>1000000000000</v>
      </c>
      <c r="AT114" s="178">
        <f ca="1">IF($D114&lt;&gt;"Serviço",0,IF(AND(AUTOEVENTO="Manual",$M114=1),0,IF(OFFSET(CRONOPLE!$F$14,$M114,AT$13)="",10^12,OFFSET(CRONOPLE!$F$14,$M114,AT$13))))</f>
        <v>1000000000000</v>
      </c>
      <c r="AU114" s="178">
        <f ca="1">IF($D114&lt;&gt;"Serviço",0,IF(AND(AUTOEVENTO="Manual",$M114=1),0,IF(OFFSET(CRONOPLE!$F$14,$M114,AU$13)="",10^12,OFFSET(CRONOPLE!$F$14,$M114,AU$13))))</f>
        <v>1000000000000</v>
      </c>
      <c r="AV114" s="178">
        <f ca="1">IF($D114&lt;&gt;"Serviço",0,IF(AND(AUTOEVENTO="Manual",$M114=1),0,IF(OFFSET(CRONOPLE!$F$14,$M114,AV$13)="",10^12,OFFSET(CRONOPLE!$F$14,$M114,AV$13))))</f>
        <v>1000000000000</v>
      </c>
      <c r="AX114" s="179">
        <f ca="1">IF($D114&lt;&gt;"Serviço",0,IF(OR(AND(AUTOEVENTO="Manual",$M114=1),$M114&gt;(ROW(PLE.lastrow)-ROW(PLE.firstrow))),0,IF(OFFSET(PLE!$G$14,$M114,AX$13)="",10^12,OFFSET(PLE!$G$14,$M114,AX$13))))</f>
        <v>1000000000000</v>
      </c>
      <c r="AY114" s="179">
        <f ca="1">IF($D114&lt;&gt;"Serviço",0,IF(OR(AND(AUTOEVENTO="Manual",$M114=1),$M114&gt;(ROW(PLE.lastrow)-ROW(PLE.firstrow))),0,IF(OFFSET(PLE!$G$14,$M114,AY$13)="",10^12,OFFSET(PLE!$G$14,$M114,AY$13))))</f>
        <v>1000000000000</v>
      </c>
      <c r="AZ114" s="179">
        <f ca="1">IF($D114&lt;&gt;"Serviço",0,IF(OR(AND(AUTOEVENTO="Manual",$M114=1),$M114&gt;(ROW(PLE.lastrow)-ROW(PLE.firstrow))),0,IF(OFFSET(PLE!$G$14,$M114,AZ$13)="",10^12,OFFSET(PLE!$G$14,$M114,AZ$13))))</f>
        <v>1000000000000</v>
      </c>
      <c r="BA114" s="179">
        <f ca="1">IF($D114&lt;&gt;"Serviço",0,IF(OR(AND(AUTOEVENTO="Manual",$M114=1),$M114&gt;(ROW(PLE.lastrow)-ROW(PLE.firstrow))),0,IF(OFFSET(PLE!$G$14,$M114,BA$13)="",10^12,OFFSET(PLE!$G$14,$M114,BA$13))))</f>
        <v>1000000000000</v>
      </c>
      <c r="BB114" s="179">
        <f ca="1">IF($D114&lt;&gt;"Serviço",0,IF(OR(AND(AUTOEVENTO="Manual",$M114=1),$M114&gt;(ROW(PLE.lastrow)-ROW(PLE.firstrow))),0,IF(OFFSET(PLE!$G$14,$M114,BB$13)="",10^12,OFFSET(PLE!$G$14,$M114,BB$13))))</f>
        <v>1000000000000</v>
      </c>
      <c r="BC114" s="179">
        <f ca="1">IF($D114&lt;&gt;"Serviço",0,IF(OR(AND(AUTOEVENTO="Manual",$M114=1),$M114&gt;(ROW(PLE.lastrow)-ROW(PLE.firstrow))),0,IF(OFFSET(PLE!$G$14,$M114,BC$13)="",10^12,OFFSET(PLE!$G$14,$M114,BC$13))))</f>
        <v>1000000000000</v>
      </c>
      <c r="BD114" s="179">
        <f ca="1">IF($D114&lt;&gt;"Serviço",0,IF(OR(AND(AUTOEVENTO="Manual",$M114=1),$M114&gt;(ROW(PLE.lastrow)-ROW(PLE.firstrow))),0,IF(OFFSET(PLE!$G$14,$M114,BD$13)="",10^12,OFFSET(PLE!$G$14,$M114,BD$13))))</f>
        <v>1000000000000</v>
      </c>
      <c r="BE114" s="179">
        <f ca="1">IF($D114&lt;&gt;"Serviço",0,IF(OR(AND(AUTOEVENTO="Manual",$M114=1),$M114&gt;(ROW(PLE.lastrow)-ROW(PLE.firstrow))),0,IF(OFFSET(PLE!$G$14,$M114,BE$13)="",10^12,OFFSET(PLE!$G$14,$M114,BE$13))))</f>
        <v>1000000000000</v>
      </c>
      <c r="BF114" s="179">
        <f ca="1">IF($D114&lt;&gt;"Serviço",0,IF(OR(AND(AUTOEVENTO="Manual",$M114=1),$M114&gt;(ROW(PLE.lastrow)-ROW(PLE.firstrow))),0,IF(OFFSET(PLE!$G$14,$M114,BF$13)="",10^12,OFFSET(PLE!$G$14,$M114,BF$13))))</f>
        <v>1000000000000</v>
      </c>
      <c r="BG114" s="179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38.25" x14ac:dyDescent="0.2">
      <c r="A115" s="7" t="str">
        <f t="shared" ca="1" si="10"/>
        <v>88</v>
      </c>
      <c r="B115" s="7" t="str">
        <f ca="1">OFFSET(ORÇAMENTO!C$15,ROW(B115)-ROW(B$15),0)</f>
        <v>S</v>
      </c>
      <c r="C115" s="7" t="str">
        <f ca="1">OFFSET(ORÇAMENTO!L$15,ROW(C115)-ROW(C$15),0)</f>
        <v/>
      </c>
      <c r="D115" s="115" t="str">
        <f ca="1">OFFSET(ORÇAMENTO!N$15,ROW(D115)-ROW(D$15),0)</f>
        <v>Serviço</v>
      </c>
      <c r="E115" s="116" t="str">
        <f ca="1">OFFSET(ORÇAMENTO!O$15,ROW(E115)-ROW(E$15),0)</f>
        <v>-</v>
      </c>
      <c r="F115" s="169" t="str">
        <f ca="1">OFFSET(ORÇAMENTO!R$15,ROW(F115)-ROW(F$15),0)</f>
        <v>(abra o arquivo 'Referência 10-2024.xlsm)</v>
      </c>
      <c r="G115" s="170" t="str">
        <f ca="1">IF($D115&lt;&gt;"Serviço","",OFFSET(ORÇAMENTO!S$15,ROW(G115)-ROW(G$15),0))</f>
        <v>-</v>
      </c>
      <c r="H115" s="121">
        <f ca="1">IF($D115&lt;&gt;"Serviço",0,IF(ACOMPANHAMENTO="BM",ROUND(OFFSET(ORÇAMENTO!AJ$15,ROW(H115)-ROW(H$15),0),15-13*ORÇAMENTO!$AF$7),SUMPRODUCT(($Q$12:$AA$12&lt;&gt;"")*ROUND($Q115:$AA115,15-13*ORÇAMENTO!$AF$7))))</f>
        <v>3</v>
      </c>
      <c r="I115" s="558" t="s">
        <v>561</v>
      </c>
      <c r="K115" s="171"/>
      <c r="L115" s="172" t="s">
        <v>255</v>
      </c>
      <c r="M115" s="173">
        <f ca="1">IF($D115&lt;&gt;"Serviço","",IF(AUTOEVENTO="manual",$A115,IF(ISERROR(MATCH($A115,$A$15:OFFSET($A115,-1,0),0)),MAX($M$15:OFFSET(M115,-1,0))+1,INDEX($M$15:OFFSET(M115,-1,0),MATCH($A115,$A$15:OFFSET($A115,-1,0),0)))))</f>
        <v>15</v>
      </c>
      <c r="N115" s="174" t="str">
        <f ca="1">IF($D115&lt;&gt;"Serviço","",IF(AUTOEVENTO="Manual",IF($A115=0,"&lt;-- defina o número do agrupador",OFFSET(EVENTOS!$D$14,$A115,0)),OFFSET($F$15,$A115,0)))</f>
        <v>INSTALAÇÕES ELÉTRICAS</v>
      </c>
      <c r="O115" s="175"/>
      <c r="Q115" s="175"/>
      <c r="R115" s="176"/>
      <c r="S115" s="176"/>
      <c r="T115" s="176"/>
      <c r="U115" s="176"/>
      <c r="V115" s="176"/>
      <c r="W115" s="176"/>
      <c r="X115" s="176"/>
      <c r="Y115" s="176"/>
      <c r="Z115" s="177"/>
      <c r="AB115" s="541">
        <f ca="1">IF(AND($D115="Serviço",AB$12&lt;&gt;0,$H115&gt;0,OR(AUTOEVENTO&lt;&gt;"manual",$M115&lt;&gt;1)),
IF(Import.TipoArredondamento&lt;&gt;"TransfereGOV",
ROUND(OFFSET($P115,0,AB$13),15-13*ORÇAMENTO!$AF$7)/$H115*OFFSET(ORÇAMENTO!$X$15,ROW(AB115)-ROW(AB$15),0),
ROUND(ROUND(OFFSET($P115,0,AB$13),15-13*ORÇAMENTO!$AF$7)*OFFSET(ORÇAMENTO!$W$15,ROW(AB115)-ROW(AB$15),0),15-13*ORÇAMENTO!$AF$11)),0)</f>
        <v>0</v>
      </c>
      <c r="AC115" s="542">
        <f ca="1">IF(AND($D115="Serviço",AC$12&lt;&gt;0,$H115&gt;0,OR(AUTOEVENTO&lt;&gt;"manual",$M115&lt;&gt;1)),
IF(Import.TipoArredondamento&lt;&gt;"TransfereGOV",
ROUND(OFFSET($P115,0,AC$13),15-13*ORÇAMENTO!$AF$7)/$H115*OFFSET(ORÇAMENTO!$X$15,ROW(AC115)-ROW(AC$15),0),
ROUND(ROUND(OFFSET($P115,0,AC$13),15-13*ORÇAMENTO!$AF$7)*OFFSET(ORÇAMENTO!$W$15,ROW(AC115)-ROW(AC$15),0),15-13*ORÇAMENTO!$AF$11)),0)</f>
        <v>0</v>
      </c>
      <c r="AD115" s="542">
        <f ca="1">IF(AND($D115="Serviço",AD$12&lt;&gt;0,$H115&gt;0,OR(AUTOEVENTO&lt;&gt;"manual",$M115&lt;&gt;1)),
IF(Import.TipoArredondamento&lt;&gt;"TransfereGOV",
ROUND(OFFSET($P115,0,AD$13),15-13*ORÇAMENTO!$AF$7)/$H115*OFFSET(ORÇAMENTO!$X$15,ROW(AD115)-ROW(AD$15),0),
ROUND(ROUND(OFFSET($P115,0,AD$13),15-13*ORÇAMENTO!$AF$7)*OFFSET(ORÇAMENTO!$W$15,ROW(AD115)-ROW(AD$15),0),15-13*ORÇAMENTO!$AF$11)),0)</f>
        <v>0</v>
      </c>
      <c r="AE115" s="542">
        <f ca="1">IF(AND($D115="Serviço",AE$12&lt;&gt;0,$H115&gt;0,OR(AUTOEVENTO&lt;&gt;"manual",$M115&lt;&gt;1)),
IF(Import.TipoArredondamento&lt;&gt;"TransfereGOV",
ROUND(OFFSET($P115,0,AE$13),15-13*ORÇAMENTO!$AF$7)/$H115*OFFSET(ORÇAMENTO!$X$15,ROW(AE115)-ROW(AE$15),0),
ROUND(ROUND(OFFSET($P115,0,AE$13),15-13*ORÇAMENTO!$AF$7)*OFFSET(ORÇAMENTO!$W$15,ROW(AE115)-ROW(AE$15),0),15-13*ORÇAMENTO!$AF$11)),0)</f>
        <v>0</v>
      </c>
      <c r="AF115" s="542">
        <f ca="1">IF(AND($D115="Serviço",AF$12&lt;&gt;0,$H115&gt;0,OR(AUTOEVENTO&lt;&gt;"manual",$M115&lt;&gt;1)),
IF(Import.TipoArredondamento&lt;&gt;"TransfereGOV",
ROUND(OFFSET($P115,0,AF$13),15-13*ORÇAMENTO!$AF$7)/$H115*OFFSET(ORÇAMENTO!$X$15,ROW(AF115)-ROW(AF$15),0),
ROUND(ROUND(OFFSET($P115,0,AF$13),15-13*ORÇAMENTO!$AF$7)*OFFSET(ORÇAMENTO!$W$15,ROW(AF115)-ROW(AF$15),0),15-13*ORÇAMENTO!$AF$11)),0)</f>
        <v>0</v>
      </c>
      <c r="AG115" s="542">
        <f ca="1">IF(AND($D115="Serviço",AG$12&lt;&gt;0,$H115&gt;0,OR(AUTOEVENTO&lt;&gt;"manual",$M115&lt;&gt;1)),
IF(Import.TipoArredondamento&lt;&gt;"TransfereGOV",
ROUND(OFFSET($P115,0,AG$13),15-13*ORÇAMENTO!$AF$7)/$H115*OFFSET(ORÇAMENTO!$X$15,ROW(AG115)-ROW(AG$15),0),
ROUND(ROUND(OFFSET($P115,0,AG$13),15-13*ORÇAMENTO!$AF$7)*OFFSET(ORÇAMENTO!$W$15,ROW(AG115)-ROW(AG$15),0),15-13*ORÇAMENTO!$AF$11)),0)</f>
        <v>0</v>
      </c>
      <c r="AH115" s="542">
        <f ca="1">IF(AND($D115="Serviço",AH$12&lt;&gt;0,$H115&gt;0,OR(AUTOEVENTO&lt;&gt;"manual",$M115&lt;&gt;1)),
IF(Import.TipoArredondamento&lt;&gt;"TransfereGOV",
ROUND(OFFSET($P115,0,AH$13),15-13*ORÇAMENTO!$AF$7)/$H115*OFFSET(ORÇAMENTO!$X$15,ROW(AH115)-ROW(AH$15),0),
ROUND(ROUND(OFFSET($P115,0,AH$13),15-13*ORÇAMENTO!$AF$7)*OFFSET(ORÇAMENTO!$W$15,ROW(AH115)-ROW(AH$15),0),15-13*ORÇAMENTO!$AF$11)),0)</f>
        <v>0</v>
      </c>
      <c r="AI115" s="542">
        <f ca="1">IF(AND($D115="Serviço",AI$12&lt;&gt;0,$H115&gt;0,OR(AUTOEVENTO&lt;&gt;"manual",$M115&lt;&gt;1)),
IF(Import.TipoArredondamento&lt;&gt;"TransfereGOV",
ROUND(OFFSET($P115,0,AI$13),15-13*ORÇAMENTO!$AF$7)/$H115*OFFSET(ORÇAMENTO!$X$15,ROW(AI115)-ROW(AI$15),0),
ROUND(ROUND(OFFSET($P115,0,AI$13),15-13*ORÇAMENTO!$AF$7)*OFFSET(ORÇAMENTO!$W$15,ROW(AI115)-ROW(AI$15),0),15-13*ORÇAMENTO!$AF$11)),0)</f>
        <v>0</v>
      </c>
      <c r="AJ115" s="542">
        <f ca="1">IF(AND($D115="Serviço",AJ$12&lt;&gt;0,$H115&gt;0,OR(AUTOEVENTO&lt;&gt;"manual",$M115&lt;&gt;1)),
IF(Import.TipoArredondamento&lt;&gt;"TransfereGOV",
ROUND(OFFSET($P115,0,AJ$13),15-13*ORÇAMENTO!$AF$7)/$H115*OFFSET(ORÇAMENTO!$X$15,ROW(AJ115)-ROW(AJ$15),0),
ROUND(ROUND(OFFSET($P115,0,AJ$13),15-13*ORÇAMENTO!$AF$7)*OFFSET(ORÇAMENTO!$W$15,ROW(AJ115)-ROW(AJ$15),0),15-13*ORÇAMENTO!$AF$11)),0)</f>
        <v>0</v>
      </c>
      <c r="AK115" s="543">
        <f ca="1">IF(AND($D115="Serviço",AK$12&lt;&gt;0,$H115&gt;0,OR(AUTOEVENTO&lt;&gt;"manual",$M115&lt;&gt;1)),
IF(Import.TipoArredondamento&lt;&gt;"TransfereGOV",
ROUND(OFFSET($P115,0,AK$13),15-13*ORÇAMENTO!$AF$7)/$H115*OFFSET(ORÇAMENTO!$X$15,ROW(AK115)-ROW(AK$15),0),
ROUND(ROUND(OFFSET($P115,0,AK$13),15-13*ORÇAMENTO!$AF$7)*OFFSET(ORÇAMENTO!$W$15,ROW(AK115)-ROW(AK$15),0),15-13*ORÇAMENTO!$AF$11)),0)</f>
        <v>0</v>
      </c>
      <c r="AM115" s="178">
        <f ca="1">IF($D115&lt;&gt;"Serviço",0,IF(AND(AUTOEVENTO="Manual",$M115=1),0,IF(OFFSET(CRONOPLE!$F$14,$M115,AM$13)="",10^12,OFFSET(CRONOPLE!$F$14,$M115,AM$13))))</f>
        <v>1000000000000</v>
      </c>
      <c r="AN115" s="178">
        <f ca="1">IF($D115&lt;&gt;"Serviço",0,IF(AND(AUTOEVENTO="Manual",$M115=1),0,IF(OFFSET(CRONOPLE!$F$14,$M115,AN$13)="",10^12,OFFSET(CRONOPLE!$F$14,$M115,AN$13))))</f>
        <v>1000000000000</v>
      </c>
      <c r="AO115" s="178">
        <f ca="1">IF($D115&lt;&gt;"Serviço",0,IF(AND(AUTOEVENTO="Manual",$M115=1),0,IF(OFFSET(CRONOPLE!$F$14,$M115,AO$13)="",10^12,OFFSET(CRONOPLE!$F$14,$M115,AO$13))))</f>
        <v>1000000000000</v>
      </c>
      <c r="AP115" s="178">
        <f ca="1">IF($D115&lt;&gt;"Serviço",0,IF(AND(AUTOEVENTO="Manual",$M115=1),0,IF(OFFSET(CRONOPLE!$F$14,$M115,AP$13)="",10^12,OFFSET(CRONOPLE!$F$14,$M115,AP$13))))</f>
        <v>1000000000000</v>
      </c>
      <c r="AQ115" s="178">
        <f ca="1">IF($D115&lt;&gt;"Serviço",0,IF(AND(AUTOEVENTO="Manual",$M115=1),0,IF(OFFSET(CRONOPLE!$F$14,$M115,AQ$13)="",10^12,OFFSET(CRONOPLE!$F$14,$M115,AQ$13))))</f>
        <v>1000000000000</v>
      </c>
      <c r="AR115" s="178">
        <f ca="1">IF($D115&lt;&gt;"Serviço",0,IF(AND(AUTOEVENTO="Manual",$M115=1),0,IF(OFFSET(CRONOPLE!$F$14,$M115,AR$13)="",10^12,OFFSET(CRONOPLE!$F$14,$M115,AR$13))))</f>
        <v>1000000000000</v>
      </c>
      <c r="AS115" s="178">
        <f ca="1">IF($D115&lt;&gt;"Serviço",0,IF(AND(AUTOEVENTO="Manual",$M115=1),0,IF(OFFSET(CRONOPLE!$F$14,$M115,AS$13)="",10^12,OFFSET(CRONOPLE!$F$14,$M115,AS$13))))</f>
        <v>1000000000000</v>
      </c>
      <c r="AT115" s="178">
        <f ca="1">IF($D115&lt;&gt;"Serviço",0,IF(AND(AUTOEVENTO="Manual",$M115=1),0,IF(OFFSET(CRONOPLE!$F$14,$M115,AT$13)="",10^12,OFFSET(CRONOPLE!$F$14,$M115,AT$13))))</f>
        <v>1000000000000</v>
      </c>
      <c r="AU115" s="178">
        <f ca="1">IF($D115&lt;&gt;"Serviço",0,IF(AND(AUTOEVENTO="Manual",$M115=1),0,IF(OFFSET(CRONOPLE!$F$14,$M115,AU$13)="",10^12,OFFSET(CRONOPLE!$F$14,$M115,AU$13))))</f>
        <v>1000000000000</v>
      </c>
      <c r="AV115" s="178">
        <f ca="1">IF($D115&lt;&gt;"Serviço",0,IF(AND(AUTOEVENTO="Manual",$M115=1),0,IF(OFFSET(CRONOPLE!$F$14,$M115,AV$13)="",10^12,OFFSET(CRONOPLE!$F$14,$M115,AV$13))))</f>
        <v>1000000000000</v>
      </c>
      <c r="AX115" s="179">
        <f ca="1">IF($D115&lt;&gt;"Serviço",0,IF(OR(AND(AUTOEVENTO="Manual",$M115=1),$M115&gt;(ROW(PLE.lastrow)-ROW(PLE.firstrow))),0,IF(OFFSET(PLE!$G$14,$M115,AX$13)="",10^12,OFFSET(PLE!$G$14,$M115,AX$13))))</f>
        <v>1000000000000</v>
      </c>
      <c r="AY115" s="179">
        <f ca="1">IF($D115&lt;&gt;"Serviço",0,IF(OR(AND(AUTOEVENTO="Manual",$M115=1),$M115&gt;(ROW(PLE.lastrow)-ROW(PLE.firstrow))),0,IF(OFFSET(PLE!$G$14,$M115,AY$13)="",10^12,OFFSET(PLE!$G$14,$M115,AY$13))))</f>
        <v>1000000000000</v>
      </c>
      <c r="AZ115" s="179">
        <f ca="1">IF($D115&lt;&gt;"Serviço",0,IF(OR(AND(AUTOEVENTO="Manual",$M115=1),$M115&gt;(ROW(PLE.lastrow)-ROW(PLE.firstrow))),0,IF(OFFSET(PLE!$G$14,$M115,AZ$13)="",10^12,OFFSET(PLE!$G$14,$M115,AZ$13))))</f>
        <v>1000000000000</v>
      </c>
      <c r="BA115" s="179">
        <f ca="1">IF($D115&lt;&gt;"Serviço",0,IF(OR(AND(AUTOEVENTO="Manual",$M115=1),$M115&gt;(ROW(PLE.lastrow)-ROW(PLE.firstrow))),0,IF(OFFSET(PLE!$G$14,$M115,BA$13)="",10^12,OFFSET(PLE!$G$14,$M115,BA$13))))</f>
        <v>1000000000000</v>
      </c>
      <c r="BB115" s="179">
        <f ca="1">IF($D115&lt;&gt;"Serviço",0,IF(OR(AND(AUTOEVENTO="Manual",$M115=1),$M115&gt;(ROW(PLE.lastrow)-ROW(PLE.firstrow))),0,IF(OFFSET(PLE!$G$14,$M115,BB$13)="",10^12,OFFSET(PLE!$G$14,$M115,BB$13))))</f>
        <v>1000000000000</v>
      </c>
      <c r="BC115" s="179">
        <f ca="1">IF($D115&lt;&gt;"Serviço",0,IF(OR(AND(AUTOEVENTO="Manual",$M115=1),$M115&gt;(ROW(PLE.lastrow)-ROW(PLE.firstrow))),0,IF(OFFSET(PLE!$G$14,$M115,BC$13)="",10^12,OFFSET(PLE!$G$14,$M115,BC$13))))</f>
        <v>1000000000000</v>
      </c>
      <c r="BD115" s="179">
        <f ca="1">IF($D115&lt;&gt;"Serviço",0,IF(OR(AND(AUTOEVENTO="Manual",$M115=1),$M115&gt;(ROW(PLE.lastrow)-ROW(PLE.firstrow))),0,IF(OFFSET(PLE!$G$14,$M115,BD$13)="",10^12,OFFSET(PLE!$G$14,$M115,BD$13))))</f>
        <v>1000000000000</v>
      </c>
      <c r="BE115" s="179">
        <f ca="1">IF($D115&lt;&gt;"Serviço",0,IF(OR(AND(AUTOEVENTO="Manual",$M115=1),$M115&gt;(ROW(PLE.lastrow)-ROW(PLE.firstrow))),0,IF(OFFSET(PLE!$G$14,$M115,BE$13)="",10^12,OFFSET(PLE!$G$14,$M115,BE$13))))</f>
        <v>1000000000000</v>
      </c>
      <c r="BF115" s="179">
        <f ca="1">IF($D115&lt;&gt;"Serviço",0,IF(OR(AND(AUTOEVENTO="Manual",$M115=1),$M115&gt;(ROW(PLE.lastrow)-ROW(PLE.firstrow))),0,IF(OFFSET(PLE!$G$14,$M115,BF$13)="",10^12,OFFSET(PLE!$G$14,$M115,BF$13))))</f>
        <v>1000000000000</v>
      </c>
      <c r="BG115" s="179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25.5" x14ac:dyDescent="0.2">
      <c r="A116" s="7" t="str">
        <f t="shared" ca="1" si="10"/>
        <v>88</v>
      </c>
      <c r="B116" s="7" t="str">
        <f ca="1">OFFSET(ORÇAMENTO!C$15,ROW(B116)-ROW(B$15),0)</f>
        <v>S</v>
      </c>
      <c r="C116" s="7" t="str">
        <f ca="1">OFFSET(ORÇAMENTO!L$15,ROW(C116)-ROW(C$15),0)</f>
        <v/>
      </c>
      <c r="D116" s="115" t="str">
        <f ca="1">OFFSET(ORÇAMENTO!N$15,ROW(D116)-ROW(D$15),0)</f>
        <v>Serviço</v>
      </c>
      <c r="E116" s="116" t="str">
        <f ca="1">OFFSET(ORÇAMENTO!O$15,ROW(E116)-ROW(E$15),0)</f>
        <v>-</v>
      </c>
      <c r="F116" s="169" t="str">
        <f ca="1">OFFSET(ORÇAMENTO!R$15,ROW(F116)-ROW(F$15),0)</f>
        <v>(abra o arquivo 'Referência 10-2024.xlsm)</v>
      </c>
      <c r="G116" s="170" t="str">
        <f ca="1">IF($D116&lt;&gt;"Serviço","",OFFSET(ORÇAMENTO!S$15,ROW(G116)-ROW(G$15),0))</f>
        <v>-</v>
      </c>
      <c r="H116" s="121">
        <f ca="1">IF($D116&lt;&gt;"Serviço",0,IF(ACOMPANHAMENTO="BM",ROUND(OFFSET(ORÇAMENTO!AJ$15,ROW(H116)-ROW(H$15),0),15-13*ORÇAMENTO!$AF$7),SUMPRODUCT(($Q$12:$AA$12&lt;&gt;"")*ROUND($Q116:$AA116,15-13*ORÇAMENTO!$AF$7))))</f>
        <v>3</v>
      </c>
      <c r="I116" s="558" t="s">
        <v>561</v>
      </c>
      <c r="K116" s="171"/>
      <c r="L116" s="172" t="s">
        <v>255</v>
      </c>
      <c r="M116" s="173">
        <f ca="1">IF($D116&lt;&gt;"Serviço","",IF(AUTOEVENTO="manual",$A116,IF(ISERROR(MATCH($A116,$A$15:OFFSET($A116,-1,0),0)),MAX($M$15:OFFSET(M116,-1,0))+1,INDEX($M$15:OFFSET(M116,-1,0),MATCH($A116,$A$15:OFFSET($A116,-1,0),0)))))</f>
        <v>15</v>
      </c>
      <c r="N116" s="174" t="str">
        <f ca="1">IF($D116&lt;&gt;"Serviço","",IF(AUTOEVENTO="Manual",IF($A116=0,"&lt;-- defina o número do agrupador",OFFSET(EVENTOS!$D$14,$A116,0)),OFFSET($F$15,$A116,0)))</f>
        <v>INSTALAÇÕES ELÉTRICAS</v>
      </c>
      <c r="O116" s="175"/>
      <c r="Q116" s="175"/>
      <c r="R116" s="176"/>
      <c r="S116" s="176"/>
      <c r="T116" s="176"/>
      <c r="U116" s="176"/>
      <c r="V116" s="176"/>
      <c r="W116" s="176"/>
      <c r="X116" s="176"/>
      <c r="Y116" s="176"/>
      <c r="Z116" s="177"/>
      <c r="AB116" s="541">
        <f ca="1">IF(AND($D116="Serviço",AB$12&lt;&gt;0,$H116&gt;0,OR(AUTOEVENTO&lt;&gt;"manual",$M116&lt;&gt;1)),
IF(Import.TipoArredondamento&lt;&gt;"TransfereGOV",
ROUND(OFFSET($P116,0,AB$13),15-13*ORÇAMENTO!$AF$7)/$H116*OFFSET(ORÇAMENTO!$X$15,ROW(AB116)-ROW(AB$15),0),
ROUND(ROUND(OFFSET($P116,0,AB$13),15-13*ORÇAMENTO!$AF$7)*OFFSET(ORÇAMENTO!$W$15,ROW(AB116)-ROW(AB$15),0),15-13*ORÇAMENTO!$AF$11)),0)</f>
        <v>0</v>
      </c>
      <c r="AC116" s="542">
        <f ca="1">IF(AND($D116="Serviço",AC$12&lt;&gt;0,$H116&gt;0,OR(AUTOEVENTO&lt;&gt;"manual",$M116&lt;&gt;1)),
IF(Import.TipoArredondamento&lt;&gt;"TransfereGOV",
ROUND(OFFSET($P116,0,AC$13),15-13*ORÇAMENTO!$AF$7)/$H116*OFFSET(ORÇAMENTO!$X$15,ROW(AC116)-ROW(AC$15),0),
ROUND(ROUND(OFFSET($P116,0,AC$13),15-13*ORÇAMENTO!$AF$7)*OFFSET(ORÇAMENTO!$W$15,ROW(AC116)-ROW(AC$15),0),15-13*ORÇAMENTO!$AF$11)),0)</f>
        <v>0</v>
      </c>
      <c r="AD116" s="542">
        <f ca="1">IF(AND($D116="Serviço",AD$12&lt;&gt;0,$H116&gt;0,OR(AUTOEVENTO&lt;&gt;"manual",$M116&lt;&gt;1)),
IF(Import.TipoArredondamento&lt;&gt;"TransfereGOV",
ROUND(OFFSET($P116,0,AD$13),15-13*ORÇAMENTO!$AF$7)/$H116*OFFSET(ORÇAMENTO!$X$15,ROW(AD116)-ROW(AD$15),0),
ROUND(ROUND(OFFSET($P116,0,AD$13),15-13*ORÇAMENTO!$AF$7)*OFFSET(ORÇAMENTO!$W$15,ROW(AD116)-ROW(AD$15),0),15-13*ORÇAMENTO!$AF$11)),0)</f>
        <v>0</v>
      </c>
      <c r="AE116" s="542">
        <f ca="1">IF(AND($D116="Serviço",AE$12&lt;&gt;0,$H116&gt;0,OR(AUTOEVENTO&lt;&gt;"manual",$M116&lt;&gt;1)),
IF(Import.TipoArredondamento&lt;&gt;"TransfereGOV",
ROUND(OFFSET($P116,0,AE$13),15-13*ORÇAMENTO!$AF$7)/$H116*OFFSET(ORÇAMENTO!$X$15,ROW(AE116)-ROW(AE$15),0),
ROUND(ROUND(OFFSET($P116,0,AE$13),15-13*ORÇAMENTO!$AF$7)*OFFSET(ORÇAMENTO!$W$15,ROW(AE116)-ROW(AE$15),0),15-13*ORÇAMENTO!$AF$11)),0)</f>
        <v>0</v>
      </c>
      <c r="AF116" s="542">
        <f ca="1">IF(AND($D116="Serviço",AF$12&lt;&gt;0,$H116&gt;0,OR(AUTOEVENTO&lt;&gt;"manual",$M116&lt;&gt;1)),
IF(Import.TipoArredondamento&lt;&gt;"TransfereGOV",
ROUND(OFFSET($P116,0,AF$13),15-13*ORÇAMENTO!$AF$7)/$H116*OFFSET(ORÇAMENTO!$X$15,ROW(AF116)-ROW(AF$15),0),
ROUND(ROUND(OFFSET($P116,0,AF$13),15-13*ORÇAMENTO!$AF$7)*OFFSET(ORÇAMENTO!$W$15,ROW(AF116)-ROW(AF$15),0),15-13*ORÇAMENTO!$AF$11)),0)</f>
        <v>0</v>
      </c>
      <c r="AG116" s="542">
        <f ca="1">IF(AND($D116="Serviço",AG$12&lt;&gt;0,$H116&gt;0,OR(AUTOEVENTO&lt;&gt;"manual",$M116&lt;&gt;1)),
IF(Import.TipoArredondamento&lt;&gt;"TransfereGOV",
ROUND(OFFSET($P116,0,AG$13),15-13*ORÇAMENTO!$AF$7)/$H116*OFFSET(ORÇAMENTO!$X$15,ROW(AG116)-ROW(AG$15),0),
ROUND(ROUND(OFFSET($P116,0,AG$13),15-13*ORÇAMENTO!$AF$7)*OFFSET(ORÇAMENTO!$W$15,ROW(AG116)-ROW(AG$15),0),15-13*ORÇAMENTO!$AF$11)),0)</f>
        <v>0</v>
      </c>
      <c r="AH116" s="542">
        <f ca="1">IF(AND($D116="Serviço",AH$12&lt;&gt;0,$H116&gt;0,OR(AUTOEVENTO&lt;&gt;"manual",$M116&lt;&gt;1)),
IF(Import.TipoArredondamento&lt;&gt;"TransfereGOV",
ROUND(OFFSET($P116,0,AH$13),15-13*ORÇAMENTO!$AF$7)/$H116*OFFSET(ORÇAMENTO!$X$15,ROW(AH116)-ROW(AH$15),0),
ROUND(ROUND(OFFSET($P116,0,AH$13),15-13*ORÇAMENTO!$AF$7)*OFFSET(ORÇAMENTO!$W$15,ROW(AH116)-ROW(AH$15),0),15-13*ORÇAMENTO!$AF$11)),0)</f>
        <v>0</v>
      </c>
      <c r="AI116" s="542">
        <f ca="1">IF(AND($D116="Serviço",AI$12&lt;&gt;0,$H116&gt;0,OR(AUTOEVENTO&lt;&gt;"manual",$M116&lt;&gt;1)),
IF(Import.TipoArredondamento&lt;&gt;"TransfereGOV",
ROUND(OFFSET($P116,0,AI$13),15-13*ORÇAMENTO!$AF$7)/$H116*OFFSET(ORÇAMENTO!$X$15,ROW(AI116)-ROW(AI$15),0),
ROUND(ROUND(OFFSET($P116,0,AI$13),15-13*ORÇAMENTO!$AF$7)*OFFSET(ORÇAMENTO!$W$15,ROW(AI116)-ROW(AI$15),0),15-13*ORÇAMENTO!$AF$11)),0)</f>
        <v>0</v>
      </c>
      <c r="AJ116" s="542">
        <f ca="1">IF(AND($D116="Serviço",AJ$12&lt;&gt;0,$H116&gt;0,OR(AUTOEVENTO&lt;&gt;"manual",$M116&lt;&gt;1)),
IF(Import.TipoArredondamento&lt;&gt;"TransfereGOV",
ROUND(OFFSET($P116,0,AJ$13),15-13*ORÇAMENTO!$AF$7)/$H116*OFFSET(ORÇAMENTO!$X$15,ROW(AJ116)-ROW(AJ$15),0),
ROUND(ROUND(OFFSET($P116,0,AJ$13),15-13*ORÇAMENTO!$AF$7)*OFFSET(ORÇAMENTO!$W$15,ROW(AJ116)-ROW(AJ$15),0),15-13*ORÇAMENTO!$AF$11)),0)</f>
        <v>0</v>
      </c>
      <c r="AK116" s="543">
        <f ca="1">IF(AND($D116="Serviço",AK$12&lt;&gt;0,$H116&gt;0,OR(AUTOEVENTO&lt;&gt;"manual",$M116&lt;&gt;1)),
IF(Import.TipoArredondamento&lt;&gt;"TransfereGOV",
ROUND(OFFSET($P116,0,AK$13),15-13*ORÇAMENTO!$AF$7)/$H116*OFFSET(ORÇAMENTO!$X$15,ROW(AK116)-ROW(AK$15),0),
ROUND(ROUND(OFFSET($P116,0,AK$13),15-13*ORÇAMENTO!$AF$7)*OFFSET(ORÇAMENTO!$W$15,ROW(AK116)-ROW(AK$15),0),15-13*ORÇAMENTO!$AF$11)),0)</f>
        <v>0</v>
      </c>
      <c r="AM116" s="178">
        <f ca="1">IF($D116&lt;&gt;"Serviço",0,IF(AND(AUTOEVENTO="Manual",$M116=1),0,IF(OFFSET(CRONOPLE!$F$14,$M116,AM$13)="",10^12,OFFSET(CRONOPLE!$F$14,$M116,AM$13))))</f>
        <v>1000000000000</v>
      </c>
      <c r="AN116" s="178">
        <f ca="1">IF($D116&lt;&gt;"Serviço",0,IF(AND(AUTOEVENTO="Manual",$M116=1),0,IF(OFFSET(CRONOPLE!$F$14,$M116,AN$13)="",10^12,OFFSET(CRONOPLE!$F$14,$M116,AN$13))))</f>
        <v>1000000000000</v>
      </c>
      <c r="AO116" s="178">
        <f ca="1">IF($D116&lt;&gt;"Serviço",0,IF(AND(AUTOEVENTO="Manual",$M116=1),0,IF(OFFSET(CRONOPLE!$F$14,$M116,AO$13)="",10^12,OFFSET(CRONOPLE!$F$14,$M116,AO$13))))</f>
        <v>1000000000000</v>
      </c>
      <c r="AP116" s="178">
        <f ca="1">IF($D116&lt;&gt;"Serviço",0,IF(AND(AUTOEVENTO="Manual",$M116=1),0,IF(OFFSET(CRONOPLE!$F$14,$M116,AP$13)="",10^12,OFFSET(CRONOPLE!$F$14,$M116,AP$13))))</f>
        <v>1000000000000</v>
      </c>
      <c r="AQ116" s="178">
        <f ca="1">IF($D116&lt;&gt;"Serviço",0,IF(AND(AUTOEVENTO="Manual",$M116=1),0,IF(OFFSET(CRONOPLE!$F$14,$M116,AQ$13)="",10^12,OFFSET(CRONOPLE!$F$14,$M116,AQ$13))))</f>
        <v>1000000000000</v>
      </c>
      <c r="AR116" s="178">
        <f ca="1">IF($D116&lt;&gt;"Serviço",0,IF(AND(AUTOEVENTO="Manual",$M116=1),0,IF(OFFSET(CRONOPLE!$F$14,$M116,AR$13)="",10^12,OFFSET(CRONOPLE!$F$14,$M116,AR$13))))</f>
        <v>1000000000000</v>
      </c>
      <c r="AS116" s="178">
        <f ca="1">IF($D116&lt;&gt;"Serviço",0,IF(AND(AUTOEVENTO="Manual",$M116=1),0,IF(OFFSET(CRONOPLE!$F$14,$M116,AS$13)="",10^12,OFFSET(CRONOPLE!$F$14,$M116,AS$13))))</f>
        <v>1000000000000</v>
      </c>
      <c r="AT116" s="178">
        <f ca="1">IF($D116&lt;&gt;"Serviço",0,IF(AND(AUTOEVENTO="Manual",$M116=1),0,IF(OFFSET(CRONOPLE!$F$14,$M116,AT$13)="",10^12,OFFSET(CRONOPLE!$F$14,$M116,AT$13))))</f>
        <v>1000000000000</v>
      </c>
      <c r="AU116" s="178">
        <f ca="1">IF($D116&lt;&gt;"Serviço",0,IF(AND(AUTOEVENTO="Manual",$M116=1),0,IF(OFFSET(CRONOPLE!$F$14,$M116,AU$13)="",10^12,OFFSET(CRONOPLE!$F$14,$M116,AU$13))))</f>
        <v>1000000000000</v>
      </c>
      <c r="AV116" s="178">
        <f ca="1">IF($D116&lt;&gt;"Serviço",0,IF(AND(AUTOEVENTO="Manual",$M116=1),0,IF(OFFSET(CRONOPLE!$F$14,$M116,AV$13)="",10^12,OFFSET(CRONOPLE!$F$14,$M116,AV$13))))</f>
        <v>1000000000000</v>
      </c>
      <c r="AX116" s="179">
        <f ca="1">IF($D116&lt;&gt;"Serviço",0,IF(OR(AND(AUTOEVENTO="Manual",$M116=1),$M116&gt;(ROW(PLE.lastrow)-ROW(PLE.firstrow))),0,IF(OFFSET(PLE!$G$14,$M116,AX$13)="",10^12,OFFSET(PLE!$G$14,$M116,AX$13))))</f>
        <v>1000000000000</v>
      </c>
      <c r="AY116" s="179">
        <f ca="1">IF($D116&lt;&gt;"Serviço",0,IF(OR(AND(AUTOEVENTO="Manual",$M116=1),$M116&gt;(ROW(PLE.lastrow)-ROW(PLE.firstrow))),0,IF(OFFSET(PLE!$G$14,$M116,AY$13)="",10^12,OFFSET(PLE!$G$14,$M116,AY$13))))</f>
        <v>1000000000000</v>
      </c>
      <c r="AZ116" s="179">
        <f ca="1">IF($D116&lt;&gt;"Serviço",0,IF(OR(AND(AUTOEVENTO="Manual",$M116=1),$M116&gt;(ROW(PLE.lastrow)-ROW(PLE.firstrow))),0,IF(OFFSET(PLE!$G$14,$M116,AZ$13)="",10^12,OFFSET(PLE!$G$14,$M116,AZ$13))))</f>
        <v>1000000000000</v>
      </c>
      <c r="BA116" s="179">
        <f ca="1">IF($D116&lt;&gt;"Serviço",0,IF(OR(AND(AUTOEVENTO="Manual",$M116=1),$M116&gt;(ROW(PLE.lastrow)-ROW(PLE.firstrow))),0,IF(OFFSET(PLE!$G$14,$M116,BA$13)="",10^12,OFFSET(PLE!$G$14,$M116,BA$13))))</f>
        <v>1000000000000</v>
      </c>
      <c r="BB116" s="179">
        <f ca="1">IF($D116&lt;&gt;"Serviço",0,IF(OR(AND(AUTOEVENTO="Manual",$M116=1),$M116&gt;(ROW(PLE.lastrow)-ROW(PLE.firstrow))),0,IF(OFFSET(PLE!$G$14,$M116,BB$13)="",10^12,OFFSET(PLE!$G$14,$M116,BB$13))))</f>
        <v>1000000000000</v>
      </c>
      <c r="BC116" s="179">
        <f ca="1">IF($D116&lt;&gt;"Serviço",0,IF(OR(AND(AUTOEVENTO="Manual",$M116=1),$M116&gt;(ROW(PLE.lastrow)-ROW(PLE.firstrow))),0,IF(OFFSET(PLE!$G$14,$M116,BC$13)="",10^12,OFFSET(PLE!$G$14,$M116,BC$13))))</f>
        <v>1000000000000</v>
      </c>
      <c r="BD116" s="179">
        <f ca="1">IF($D116&lt;&gt;"Serviço",0,IF(OR(AND(AUTOEVENTO="Manual",$M116=1),$M116&gt;(ROW(PLE.lastrow)-ROW(PLE.firstrow))),0,IF(OFFSET(PLE!$G$14,$M116,BD$13)="",10^12,OFFSET(PLE!$G$14,$M116,BD$13))))</f>
        <v>1000000000000</v>
      </c>
      <c r="BE116" s="179">
        <f ca="1">IF($D116&lt;&gt;"Serviço",0,IF(OR(AND(AUTOEVENTO="Manual",$M116=1),$M116&gt;(ROW(PLE.lastrow)-ROW(PLE.firstrow))),0,IF(OFFSET(PLE!$G$14,$M116,BE$13)="",10^12,OFFSET(PLE!$G$14,$M116,BE$13))))</f>
        <v>1000000000000</v>
      </c>
      <c r="BF116" s="179">
        <f ca="1">IF($D116&lt;&gt;"Serviço",0,IF(OR(AND(AUTOEVENTO="Manual",$M116=1),$M116&gt;(ROW(PLE.lastrow)-ROW(PLE.firstrow))),0,IF(OFFSET(PLE!$G$14,$M116,BF$13)="",10^12,OFFSET(PLE!$G$14,$M116,BF$13))))</f>
        <v>1000000000000</v>
      </c>
      <c r="BG116" s="179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25.5" x14ac:dyDescent="0.2">
      <c r="A117" s="7" t="str">
        <f t="shared" ca="1" si="10"/>
        <v>88</v>
      </c>
      <c r="B117" s="7" t="str">
        <f ca="1">OFFSET(ORÇAMENTO!C$15,ROW(B117)-ROW(B$15),0)</f>
        <v>S</v>
      </c>
      <c r="C117" s="7" t="str">
        <f ca="1">OFFSET(ORÇAMENTO!L$15,ROW(C117)-ROW(C$15),0)</f>
        <v/>
      </c>
      <c r="D117" s="115" t="str">
        <f ca="1">OFFSET(ORÇAMENTO!N$15,ROW(D117)-ROW(D$15),0)</f>
        <v>Serviço</v>
      </c>
      <c r="E117" s="116" t="str">
        <f ca="1">OFFSET(ORÇAMENTO!O$15,ROW(E117)-ROW(E$15),0)</f>
        <v>-</v>
      </c>
      <c r="F117" s="169" t="str">
        <f ca="1">OFFSET(ORÇAMENTO!R$15,ROW(F117)-ROW(F$15),0)</f>
        <v>(abra o arquivo 'Referência 10-2024.xlsm)</v>
      </c>
      <c r="G117" s="170" t="str">
        <f ca="1">IF($D117&lt;&gt;"Serviço","",OFFSET(ORÇAMENTO!S$15,ROW(G117)-ROW(G$15),0))</f>
        <v>-</v>
      </c>
      <c r="H117" s="121">
        <f ca="1">IF($D117&lt;&gt;"Serviço",0,IF(ACOMPANHAMENTO="BM",ROUND(OFFSET(ORÇAMENTO!AJ$15,ROW(H117)-ROW(H$15),0),15-13*ORÇAMENTO!$AF$7),SUMPRODUCT(($Q$12:$AA$12&lt;&gt;"")*ROUND($Q117:$AA117,15-13*ORÇAMENTO!$AF$7))))</f>
        <v>2</v>
      </c>
      <c r="I117" s="558" t="s">
        <v>561</v>
      </c>
      <c r="K117" s="171"/>
      <c r="L117" s="172" t="s">
        <v>255</v>
      </c>
      <c r="M117" s="173">
        <f ca="1">IF($D117&lt;&gt;"Serviço","",IF(AUTOEVENTO="manual",$A117,IF(ISERROR(MATCH($A117,$A$15:OFFSET($A117,-1,0),0)),MAX($M$15:OFFSET(M117,-1,0))+1,INDEX($M$15:OFFSET(M117,-1,0),MATCH($A117,$A$15:OFFSET($A117,-1,0),0)))))</f>
        <v>15</v>
      </c>
      <c r="N117" s="174" t="str">
        <f ca="1">IF($D117&lt;&gt;"Serviço","",IF(AUTOEVENTO="Manual",IF($A117=0,"&lt;-- defina o número do agrupador",OFFSET(EVENTOS!$D$14,$A117,0)),OFFSET($F$15,$A117,0)))</f>
        <v>INSTALAÇÕES ELÉTRICAS</v>
      </c>
      <c r="O117" s="175"/>
      <c r="Q117" s="175"/>
      <c r="R117" s="176"/>
      <c r="S117" s="176"/>
      <c r="T117" s="176"/>
      <c r="U117" s="176"/>
      <c r="V117" s="176"/>
      <c r="W117" s="176"/>
      <c r="X117" s="176"/>
      <c r="Y117" s="176"/>
      <c r="Z117" s="177"/>
      <c r="AB117" s="541">
        <f ca="1">IF(AND($D117="Serviço",AB$12&lt;&gt;0,$H117&gt;0,OR(AUTOEVENTO&lt;&gt;"manual",$M117&lt;&gt;1)),
IF(Import.TipoArredondamento&lt;&gt;"TransfereGOV",
ROUND(OFFSET($P117,0,AB$13),15-13*ORÇAMENTO!$AF$7)/$H117*OFFSET(ORÇAMENTO!$X$15,ROW(AB117)-ROW(AB$15),0),
ROUND(ROUND(OFFSET($P117,0,AB$13),15-13*ORÇAMENTO!$AF$7)*OFFSET(ORÇAMENTO!$W$15,ROW(AB117)-ROW(AB$15),0),15-13*ORÇAMENTO!$AF$11)),0)</f>
        <v>0</v>
      </c>
      <c r="AC117" s="542">
        <f ca="1">IF(AND($D117="Serviço",AC$12&lt;&gt;0,$H117&gt;0,OR(AUTOEVENTO&lt;&gt;"manual",$M117&lt;&gt;1)),
IF(Import.TipoArredondamento&lt;&gt;"TransfereGOV",
ROUND(OFFSET($P117,0,AC$13),15-13*ORÇAMENTO!$AF$7)/$H117*OFFSET(ORÇAMENTO!$X$15,ROW(AC117)-ROW(AC$15),0),
ROUND(ROUND(OFFSET($P117,0,AC$13),15-13*ORÇAMENTO!$AF$7)*OFFSET(ORÇAMENTO!$W$15,ROW(AC117)-ROW(AC$15),0),15-13*ORÇAMENTO!$AF$11)),0)</f>
        <v>0</v>
      </c>
      <c r="AD117" s="542">
        <f ca="1">IF(AND($D117="Serviço",AD$12&lt;&gt;0,$H117&gt;0,OR(AUTOEVENTO&lt;&gt;"manual",$M117&lt;&gt;1)),
IF(Import.TipoArredondamento&lt;&gt;"TransfereGOV",
ROUND(OFFSET($P117,0,AD$13),15-13*ORÇAMENTO!$AF$7)/$H117*OFFSET(ORÇAMENTO!$X$15,ROW(AD117)-ROW(AD$15),0),
ROUND(ROUND(OFFSET($P117,0,AD$13),15-13*ORÇAMENTO!$AF$7)*OFFSET(ORÇAMENTO!$W$15,ROW(AD117)-ROW(AD$15),0),15-13*ORÇAMENTO!$AF$11)),0)</f>
        <v>0</v>
      </c>
      <c r="AE117" s="542">
        <f ca="1">IF(AND($D117="Serviço",AE$12&lt;&gt;0,$H117&gt;0,OR(AUTOEVENTO&lt;&gt;"manual",$M117&lt;&gt;1)),
IF(Import.TipoArredondamento&lt;&gt;"TransfereGOV",
ROUND(OFFSET($P117,0,AE$13),15-13*ORÇAMENTO!$AF$7)/$H117*OFFSET(ORÇAMENTO!$X$15,ROW(AE117)-ROW(AE$15),0),
ROUND(ROUND(OFFSET($P117,0,AE$13),15-13*ORÇAMENTO!$AF$7)*OFFSET(ORÇAMENTO!$W$15,ROW(AE117)-ROW(AE$15),0),15-13*ORÇAMENTO!$AF$11)),0)</f>
        <v>0</v>
      </c>
      <c r="AF117" s="542">
        <f ca="1">IF(AND($D117="Serviço",AF$12&lt;&gt;0,$H117&gt;0,OR(AUTOEVENTO&lt;&gt;"manual",$M117&lt;&gt;1)),
IF(Import.TipoArredondamento&lt;&gt;"TransfereGOV",
ROUND(OFFSET($P117,0,AF$13),15-13*ORÇAMENTO!$AF$7)/$H117*OFFSET(ORÇAMENTO!$X$15,ROW(AF117)-ROW(AF$15),0),
ROUND(ROUND(OFFSET($P117,0,AF$13),15-13*ORÇAMENTO!$AF$7)*OFFSET(ORÇAMENTO!$W$15,ROW(AF117)-ROW(AF$15),0),15-13*ORÇAMENTO!$AF$11)),0)</f>
        <v>0</v>
      </c>
      <c r="AG117" s="542">
        <f ca="1">IF(AND($D117="Serviço",AG$12&lt;&gt;0,$H117&gt;0,OR(AUTOEVENTO&lt;&gt;"manual",$M117&lt;&gt;1)),
IF(Import.TipoArredondamento&lt;&gt;"TransfereGOV",
ROUND(OFFSET($P117,0,AG$13),15-13*ORÇAMENTO!$AF$7)/$H117*OFFSET(ORÇAMENTO!$X$15,ROW(AG117)-ROW(AG$15),0),
ROUND(ROUND(OFFSET($P117,0,AG$13),15-13*ORÇAMENTO!$AF$7)*OFFSET(ORÇAMENTO!$W$15,ROW(AG117)-ROW(AG$15),0),15-13*ORÇAMENTO!$AF$11)),0)</f>
        <v>0</v>
      </c>
      <c r="AH117" s="542">
        <f ca="1">IF(AND($D117="Serviço",AH$12&lt;&gt;0,$H117&gt;0,OR(AUTOEVENTO&lt;&gt;"manual",$M117&lt;&gt;1)),
IF(Import.TipoArredondamento&lt;&gt;"TransfereGOV",
ROUND(OFFSET($P117,0,AH$13),15-13*ORÇAMENTO!$AF$7)/$H117*OFFSET(ORÇAMENTO!$X$15,ROW(AH117)-ROW(AH$15),0),
ROUND(ROUND(OFFSET($P117,0,AH$13),15-13*ORÇAMENTO!$AF$7)*OFFSET(ORÇAMENTO!$W$15,ROW(AH117)-ROW(AH$15),0),15-13*ORÇAMENTO!$AF$11)),0)</f>
        <v>0</v>
      </c>
      <c r="AI117" s="542">
        <f ca="1">IF(AND($D117="Serviço",AI$12&lt;&gt;0,$H117&gt;0,OR(AUTOEVENTO&lt;&gt;"manual",$M117&lt;&gt;1)),
IF(Import.TipoArredondamento&lt;&gt;"TransfereGOV",
ROUND(OFFSET($P117,0,AI$13),15-13*ORÇAMENTO!$AF$7)/$H117*OFFSET(ORÇAMENTO!$X$15,ROW(AI117)-ROW(AI$15),0),
ROUND(ROUND(OFFSET($P117,0,AI$13),15-13*ORÇAMENTO!$AF$7)*OFFSET(ORÇAMENTO!$W$15,ROW(AI117)-ROW(AI$15),0),15-13*ORÇAMENTO!$AF$11)),0)</f>
        <v>0</v>
      </c>
      <c r="AJ117" s="542">
        <f ca="1">IF(AND($D117="Serviço",AJ$12&lt;&gt;0,$H117&gt;0,OR(AUTOEVENTO&lt;&gt;"manual",$M117&lt;&gt;1)),
IF(Import.TipoArredondamento&lt;&gt;"TransfereGOV",
ROUND(OFFSET($P117,0,AJ$13),15-13*ORÇAMENTO!$AF$7)/$H117*OFFSET(ORÇAMENTO!$X$15,ROW(AJ117)-ROW(AJ$15),0),
ROUND(ROUND(OFFSET($P117,0,AJ$13),15-13*ORÇAMENTO!$AF$7)*OFFSET(ORÇAMENTO!$W$15,ROW(AJ117)-ROW(AJ$15),0),15-13*ORÇAMENTO!$AF$11)),0)</f>
        <v>0</v>
      </c>
      <c r="AK117" s="543">
        <f ca="1">IF(AND($D117="Serviço",AK$12&lt;&gt;0,$H117&gt;0,OR(AUTOEVENTO&lt;&gt;"manual",$M117&lt;&gt;1)),
IF(Import.TipoArredondamento&lt;&gt;"TransfereGOV",
ROUND(OFFSET($P117,0,AK$13),15-13*ORÇAMENTO!$AF$7)/$H117*OFFSET(ORÇAMENTO!$X$15,ROW(AK117)-ROW(AK$15),0),
ROUND(ROUND(OFFSET($P117,0,AK$13),15-13*ORÇAMENTO!$AF$7)*OFFSET(ORÇAMENTO!$W$15,ROW(AK117)-ROW(AK$15),0),15-13*ORÇAMENTO!$AF$11)),0)</f>
        <v>0</v>
      </c>
      <c r="AM117" s="178">
        <f ca="1">IF($D117&lt;&gt;"Serviço",0,IF(AND(AUTOEVENTO="Manual",$M117=1),0,IF(OFFSET(CRONOPLE!$F$14,$M117,AM$13)="",10^12,OFFSET(CRONOPLE!$F$14,$M117,AM$13))))</f>
        <v>1000000000000</v>
      </c>
      <c r="AN117" s="178">
        <f ca="1">IF($D117&lt;&gt;"Serviço",0,IF(AND(AUTOEVENTO="Manual",$M117=1),0,IF(OFFSET(CRONOPLE!$F$14,$M117,AN$13)="",10^12,OFFSET(CRONOPLE!$F$14,$M117,AN$13))))</f>
        <v>1000000000000</v>
      </c>
      <c r="AO117" s="178">
        <f ca="1">IF($D117&lt;&gt;"Serviço",0,IF(AND(AUTOEVENTO="Manual",$M117=1),0,IF(OFFSET(CRONOPLE!$F$14,$M117,AO$13)="",10^12,OFFSET(CRONOPLE!$F$14,$M117,AO$13))))</f>
        <v>1000000000000</v>
      </c>
      <c r="AP117" s="178">
        <f ca="1">IF($D117&lt;&gt;"Serviço",0,IF(AND(AUTOEVENTO="Manual",$M117=1),0,IF(OFFSET(CRONOPLE!$F$14,$M117,AP$13)="",10^12,OFFSET(CRONOPLE!$F$14,$M117,AP$13))))</f>
        <v>1000000000000</v>
      </c>
      <c r="AQ117" s="178">
        <f ca="1">IF($D117&lt;&gt;"Serviço",0,IF(AND(AUTOEVENTO="Manual",$M117=1),0,IF(OFFSET(CRONOPLE!$F$14,$M117,AQ$13)="",10^12,OFFSET(CRONOPLE!$F$14,$M117,AQ$13))))</f>
        <v>1000000000000</v>
      </c>
      <c r="AR117" s="178">
        <f ca="1">IF($D117&lt;&gt;"Serviço",0,IF(AND(AUTOEVENTO="Manual",$M117=1),0,IF(OFFSET(CRONOPLE!$F$14,$M117,AR$13)="",10^12,OFFSET(CRONOPLE!$F$14,$M117,AR$13))))</f>
        <v>1000000000000</v>
      </c>
      <c r="AS117" s="178">
        <f ca="1">IF($D117&lt;&gt;"Serviço",0,IF(AND(AUTOEVENTO="Manual",$M117=1),0,IF(OFFSET(CRONOPLE!$F$14,$M117,AS$13)="",10^12,OFFSET(CRONOPLE!$F$14,$M117,AS$13))))</f>
        <v>1000000000000</v>
      </c>
      <c r="AT117" s="178">
        <f ca="1">IF($D117&lt;&gt;"Serviço",0,IF(AND(AUTOEVENTO="Manual",$M117=1),0,IF(OFFSET(CRONOPLE!$F$14,$M117,AT$13)="",10^12,OFFSET(CRONOPLE!$F$14,$M117,AT$13))))</f>
        <v>1000000000000</v>
      </c>
      <c r="AU117" s="178">
        <f ca="1">IF($D117&lt;&gt;"Serviço",0,IF(AND(AUTOEVENTO="Manual",$M117=1),0,IF(OFFSET(CRONOPLE!$F$14,$M117,AU$13)="",10^12,OFFSET(CRONOPLE!$F$14,$M117,AU$13))))</f>
        <v>1000000000000</v>
      </c>
      <c r="AV117" s="178">
        <f ca="1">IF($D117&lt;&gt;"Serviço",0,IF(AND(AUTOEVENTO="Manual",$M117=1),0,IF(OFFSET(CRONOPLE!$F$14,$M117,AV$13)="",10^12,OFFSET(CRONOPLE!$F$14,$M117,AV$13))))</f>
        <v>1000000000000</v>
      </c>
      <c r="AX117" s="179">
        <f ca="1">IF($D117&lt;&gt;"Serviço",0,IF(OR(AND(AUTOEVENTO="Manual",$M117=1),$M117&gt;(ROW(PLE.lastrow)-ROW(PLE.firstrow))),0,IF(OFFSET(PLE!$G$14,$M117,AX$13)="",10^12,OFFSET(PLE!$G$14,$M117,AX$13))))</f>
        <v>1000000000000</v>
      </c>
      <c r="AY117" s="179">
        <f ca="1">IF($D117&lt;&gt;"Serviço",0,IF(OR(AND(AUTOEVENTO="Manual",$M117=1),$M117&gt;(ROW(PLE.lastrow)-ROW(PLE.firstrow))),0,IF(OFFSET(PLE!$G$14,$M117,AY$13)="",10^12,OFFSET(PLE!$G$14,$M117,AY$13))))</f>
        <v>1000000000000</v>
      </c>
      <c r="AZ117" s="179">
        <f ca="1">IF($D117&lt;&gt;"Serviço",0,IF(OR(AND(AUTOEVENTO="Manual",$M117=1),$M117&gt;(ROW(PLE.lastrow)-ROW(PLE.firstrow))),0,IF(OFFSET(PLE!$G$14,$M117,AZ$13)="",10^12,OFFSET(PLE!$G$14,$M117,AZ$13))))</f>
        <v>1000000000000</v>
      </c>
      <c r="BA117" s="179">
        <f ca="1">IF($D117&lt;&gt;"Serviço",0,IF(OR(AND(AUTOEVENTO="Manual",$M117=1),$M117&gt;(ROW(PLE.lastrow)-ROW(PLE.firstrow))),0,IF(OFFSET(PLE!$G$14,$M117,BA$13)="",10^12,OFFSET(PLE!$G$14,$M117,BA$13))))</f>
        <v>1000000000000</v>
      </c>
      <c r="BB117" s="179">
        <f ca="1">IF($D117&lt;&gt;"Serviço",0,IF(OR(AND(AUTOEVENTO="Manual",$M117=1),$M117&gt;(ROW(PLE.lastrow)-ROW(PLE.firstrow))),0,IF(OFFSET(PLE!$G$14,$M117,BB$13)="",10^12,OFFSET(PLE!$G$14,$M117,BB$13))))</f>
        <v>1000000000000</v>
      </c>
      <c r="BC117" s="179">
        <f ca="1">IF($D117&lt;&gt;"Serviço",0,IF(OR(AND(AUTOEVENTO="Manual",$M117=1),$M117&gt;(ROW(PLE.lastrow)-ROW(PLE.firstrow))),0,IF(OFFSET(PLE!$G$14,$M117,BC$13)="",10^12,OFFSET(PLE!$G$14,$M117,BC$13))))</f>
        <v>1000000000000</v>
      </c>
      <c r="BD117" s="179">
        <f ca="1">IF($D117&lt;&gt;"Serviço",0,IF(OR(AND(AUTOEVENTO="Manual",$M117=1),$M117&gt;(ROW(PLE.lastrow)-ROW(PLE.firstrow))),0,IF(OFFSET(PLE!$G$14,$M117,BD$13)="",10^12,OFFSET(PLE!$G$14,$M117,BD$13))))</f>
        <v>1000000000000</v>
      </c>
      <c r="BE117" s="179">
        <f ca="1">IF($D117&lt;&gt;"Serviço",0,IF(OR(AND(AUTOEVENTO="Manual",$M117=1),$M117&gt;(ROW(PLE.lastrow)-ROW(PLE.firstrow))),0,IF(OFFSET(PLE!$G$14,$M117,BE$13)="",10^12,OFFSET(PLE!$G$14,$M117,BE$13))))</f>
        <v>1000000000000</v>
      </c>
      <c r="BF117" s="179">
        <f ca="1">IF($D117&lt;&gt;"Serviço",0,IF(OR(AND(AUTOEVENTO="Manual",$M117=1),$M117&gt;(ROW(PLE.lastrow)-ROW(PLE.firstrow))),0,IF(OFFSET(PLE!$G$14,$M117,BF$13)="",10^12,OFFSET(PLE!$G$14,$M117,BF$13))))</f>
        <v>1000000000000</v>
      </c>
      <c r="BG117" s="179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7" t="str">
        <f t="shared" ca="1" si="10"/>
        <v>88</v>
      </c>
      <c r="B118" s="7" t="str">
        <f ca="1">OFFSET(ORÇAMENTO!C$15,ROW(B118)-ROW(B$15),0)</f>
        <v>S</v>
      </c>
      <c r="C118" s="7" t="str">
        <f ca="1">OFFSET(ORÇAMENTO!L$15,ROW(C118)-ROW(C$15),0)</f>
        <v/>
      </c>
      <c r="D118" s="115" t="str">
        <f ca="1">OFFSET(ORÇAMENTO!N$15,ROW(D118)-ROW(D$15),0)</f>
        <v>Serviço</v>
      </c>
      <c r="E118" s="116" t="str">
        <f ca="1">OFFSET(ORÇAMENTO!O$15,ROW(E118)-ROW(E$15),0)</f>
        <v>-</v>
      </c>
      <c r="F118" s="169" t="str">
        <f ca="1">OFFSET(ORÇAMENTO!R$15,ROW(F118)-ROW(F$15),0)</f>
        <v>(abra o arquivo 'Referência 10-2024.xlsm)</v>
      </c>
      <c r="G118" s="170" t="str">
        <f ca="1">IF($D118&lt;&gt;"Serviço","",OFFSET(ORÇAMENTO!S$15,ROW(G118)-ROW(G$15),0))</f>
        <v>-</v>
      </c>
      <c r="H118" s="121">
        <f ca="1">IF($D118&lt;&gt;"Serviço",0,IF(ACOMPANHAMENTO="BM",ROUND(OFFSET(ORÇAMENTO!AJ$15,ROW(H118)-ROW(H$15),0),15-13*ORÇAMENTO!$AF$7),SUMPRODUCT(($Q$12:$AA$12&lt;&gt;"")*ROUND($Q118:$AA118,15-13*ORÇAMENTO!$AF$7))))</f>
        <v>2</v>
      </c>
      <c r="I118" s="558" t="s">
        <v>561</v>
      </c>
      <c r="K118" s="171"/>
      <c r="L118" s="172" t="s">
        <v>255</v>
      </c>
      <c r="M118" s="173">
        <f ca="1">IF($D118&lt;&gt;"Serviço","",IF(AUTOEVENTO="manual",$A118,IF(ISERROR(MATCH($A118,$A$15:OFFSET($A118,-1,0),0)),MAX($M$15:OFFSET(M118,-1,0))+1,INDEX($M$15:OFFSET(M118,-1,0),MATCH($A118,$A$15:OFFSET($A118,-1,0),0)))))</f>
        <v>15</v>
      </c>
      <c r="N118" s="174" t="str">
        <f ca="1">IF($D118&lt;&gt;"Serviço","",IF(AUTOEVENTO="Manual",IF($A118=0,"&lt;-- defina o número do agrupador",OFFSET(EVENTOS!$D$14,$A118,0)),OFFSET($F$15,$A118,0)))</f>
        <v>INSTALAÇÕES ELÉTRICAS</v>
      </c>
      <c r="O118" s="175"/>
      <c r="Q118" s="175"/>
      <c r="R118" s="176"/>
      <c r="S118" s="176"/>
      <c r="T118" s="176"/>
      <c r="U118" s="176"/>
      <c r="V118" s="176"/>
      <c r="W118" s="176"/>
      <c r="X118" s="176"/>
      <c r="Y118" s="176"/>
      <c r="Z118" s="177"/>
      <c r="AB118" s="541">
        <f ca="1">IF(AND($D118="Serviço",AB$12&lt;&gt;0,$H118&gt;0,OR(AUTOEVENTO&lt;&gt;"manual",$M118&lt;&gt;1)),
IF(Import.TipoArredondamento&lt;&gt;"TransfereGOV",
ROUND(OFFSET($P118,0,AB$13),15-13*ORÇAMENTO!$AF$7)/$H118*OFFSET(ORÇAMENTO!$X$15,ROW(AB118)-ROW(AB$15),0),
ROUND(ROUND(OFFSET($P118,0,AB$13),15-13*ORÇAMENTO!$AF$7)*OFFSET(ORÇAMENTO!$W$15,ROW(AB118)-ROW(AB$15),0),15-13*ORÇAMENTO!$AF$11)),0)</f>
        <v>0</v>
      </c>
      <c r="AC118" s="542">
        <f ca="1">IF(AND($D118="Serviço",AC$12&lt;&gt;0,$H118&gt;0,OR(AUTOEVENTO&lt;&gt;"manual",$M118&lt;&gt;1)),
IF(Import.TipoArredondamento&lt;&gt;"TransfereGOV",
ROUND(OFFSET($P118,0,AC$13),15-13*ORÇAMENTO!$AF$7)/$H118*OFFSET(ORÇAMENTO!$X$15,ROW(AC118)-ROW(AC$15),0),
ROUND(ROUND(OFFSET($P118,0,AC$13),15-13*ORÇAMENTO!$AF$7)*OFFSET(ORÇAMENTO!$W$15,ROW(AC118)-ROW(AC$15),0),15-13*ORÇAMENTO!$AF$11)),0)</f>
        <v>0</v>
      </c>
      <c r="AD118" s="542">
        <f ca="1">IF(AND($D118="Serviço",AD$12&lt;&gt;0,$H118&gt;0,OR(AUTOEVENTO&lt;&gt;"manual",$M118&lt;&gt;1)),
IF(Import.TipoArredondamento&lt;&gt;"TransfereGOV",
ROUND(OFFSET($P118,0,AD$13),15-13*ORÇAMENTO!$AF$7)/$H118*OFFSET(ORÇAMENTO!$X$15,ROW(AD118)-ROW(AD$15),0),
ROUND(ROUND(OFFSET($P118,0,AD$13),15-13*ORÇAMENTO!$AF$7)*OFFSET(ORÇAMENTO!$W$15,ROW(AD118)-ROW(AD$15),0),15-13*ORÇAMENTO!$AF$11)),0)</f>
        <v>0</v>
      </c>
      <c r="AE118" s="542">
        <f ca="1">IF(AND($D118="Serviço",AE$12&lt;&gt;0,$H118&gt;0,OR(AUTOEVENTO&lt;&gt;"manual",$M118&lt;&gt;1)),
IF(Import.TipoArredondamento&lt;&gt;"TransfereGOV",
ROUND(OFFSET($P118,0,AE$13),15-13*ORÇAMENTO!$AF$7)/$H118*OFFSET(ORÇAMENTO!$X$15,ROW(AE118)-ROW(AE$15),0),
ROUND(ROUND(OFFSET($P118,0,AE$13),15-13*ORÇAMENTO!$AF$7)*OFFSET(ORÇAMENTO!$W$15,ROW(AE118)-ROW(AE$15),0),15-13*ORÇAMENTO!$AF$11)),0)</f>
        <v>0</v>
      </c>
      <c r="AF118" s="542">
        <f ca="1">IF(AND($D118="Serviço",AF$12&lt;&gt;0,$H118&gt;0,OR(AUTOEVENTO&lt;&gt;"manual",$M118&lt;&gt;1)),
IF(Import.TipoArredondamento&lt;&gt;"TransfereGOV",
ROUND(OFFSET($P118,0,AF$13),15-13*ORÇAMENTO!$AF$7)/$H118*OFFSET(ORÇAMENTO!$X$15,ROW(AF118)-ROW(AF$15),0),
ROUND(ROUND(OFFSET($P118,0,AF$13),15-13*ORÇAMENTO!$AF$7)*OFFSET(ORÇAMENTO!$W$15,ROW(AF118)-ROW(AF$15),0),15-13*ORÇAMENTO!$AF$11)),0)</f>
        <v>0</v>
      </c>
      <c r="AG118" s="542">
        <f ca="1">IF(AND($D118="Serviço",AG$12&lt;&gt;0,$H118&gt;0,OR(AUTOEVENTO&lt;&gt;"manual",$M118&lt;&gt;1)),
IF(Import.TipoArredondamento&lt;&gt;"TransfereGOV",
ROUND(OFFSET($P118,0,AG$13),15-13*ORÇAMENTO!$AF$7)/$H118*OFFSET(ORÇAMENTO!$X$15,ROW(AG118)-ROW(AG$15),0),
ROUND(ROUND(OFFSET($P118,0,AG$13),15-13*ORÇAMENTO!$AF$7)*OFFSET(ORÇAMENTO!$W$15,ROW(AG118)-ROW(AG$15),0),15-13*ORÇAMENTO!$AF$11)),0)</f>
        <v>0</v>
      </c>
      <c r="AH118" s="542">
        <f ca="1">IF(AND($D118="Serviço",AH$12&lt;&gt;0,$H118&gt;0,OR(AUTOEVENTO&lt;&gt;"manual",$M118&lt;&gt;1)),
IF(Import.TipoArredondamento&lt;&gt;"TransfereGOV",
ROUND(OFFSET($P118,0,AH$13),15-13*ORÇAMENTO!$AF$7)/$H118*OFFSET(ORÇAMENTO!$X$15,ROW(AH118)-ROW(AH$15),0),
ROUND(ROUND(OFFSET($P118,0,AH$13),15-13*ORÇAMENTO!$AF$7)*OFFSET(ORÇAMENTO!$W$15,ROW(AH118)-ROW(AH$15),0),15-13*ORÇAMENTO!$AF$11)),0)</f>
        <v>0</v>
      </c>
      <c r="AI118" s="542">
        <f ca="1">IF(AND($D118="Serviço",AI$12&lt;&gt;0,$H118&gt;0,OR(AUTOEVENTO&lt;&gt;"manual",$M118&lt;&gt;1)),
IF(Import.TipoArredondamento&lt;&gt;"TransfereGOV",
ROUND(OFFSET($P118,0,AI$13),15-13*ORÇAMENTO!$AF$7)/$H118*OFFSET(ORÇAMENTO!$X$15,ROW(AI118)-ROW(AI$15),0),
ROUND(ROUND(OFFSET($P118,0,AI$13),15-13*ORÇAMENTO!$AF$7)*OFFSET(ORÇAMENTO!$W$15,ROW(AI118)-ROW(AI$15),0),15-13*ORÇAMENTO!$AF$11)),0)</f>
        <v>0</v>
      </c>
      <c r="AJ118" s="542">
        <f ca="1">IF(AND($D118="Serviço",AJ$12&lt;&gt;0,$H118&gt;0,OR(AUTOEVENTO&lt;&gt;"manual",$M118&lt;&gt;1)),
IF(Import.TipoArredondamento&lt;&gt;"TransfereGOV",
ROUND(OFFSET($P118,0,AJ$13),15-13*ORÇAMENTO!$AF$7)/$H118*OFFSET(ORÇAMENTO!$X$15,ROW(AJ118)-ROW(AJ$15),0),
ROUND(ROUND(OFFSET($P118,0,AJ$13),15-13*ORÇAMENTO!$AF$7)*OFFSET(ORÇAMENTO!$W$15,ROW(AJ118)-ROW(AJ$15),0),15-13*ORÇAMENTO!$AF$11)),0)</f>
        <v>0</v>
      </c>
      <c r="AK118" s="543">
        <f ca="1">IF(AND($D118="Serviço",AK$12&lt;&gt;0,$H118&gt;0,OR(AUTOEVENTO&lt;&gt;"manual",$M118&lt;&gt;1)),
IF(Import.TipoArredondamento&lt;&gt;"TransfereGOV",
ROUND(OFFSET($P118,0,AK$13),15-13*ORÇAMENTO!$AF$7)/$H118*OFFSET(ORÇAMENTO!$X$15,ROW(AK118)-ROW(AK$15),0),
ROUND(ROUND(OFFSET($P118,0,AK$13),15-13*ORÇAMENTO!$AF$7)*OFFSET(ORÇAMENTO!$W$15,ROW(AK118)-ROW(AK$15),0),15-13*ORÇAMENTO!$AF$11)),0)</f>
        <v>0</v>
      </c>
      <c r="AM118" s="178">
        <f ca="1">IF($D118&lt;&gt;"Serviço",0,IF(AND(AUTOEVENTO="Manual",$M118=1),0,IF(OFFSET(CRONOPLE!$F$14,$M118,AM$13)="",10^12,OFFSET(CRONOPLE!$F$14,$M118,AM$13))))</f>
        <v>1000000000000</v>
      </c>
      <c r="AN118" s="178">
        <f ca="1">IF($D118&lt;&gt;"Serviço",0,IF(AND(AUTOEVENTO="Manual",$M118=1),0,IF(OFFSET(CRONOPLE!$F$14,$M118,AN$13)="",10^12,OFFSET(CRONOPLE!$F$14,$M118,AN$13))))</f>
        <v>1000000000000</v>
      </c>
      <c r="AO118" s="178">
        <f ca="1">IF($D118&lt;&gt;"Serviço",0,IF(AND(AUTOEVENTO="Manual",$M118=1),0,IF(OFFSET(CRONOPLE!$F$14,$M118,AO$13)="",10^12,OFFSET(CRONOPLE!$F$14,$M118,AO$13))))</f>
        <v>1000000000000</v>
      </c>
      <c r="AP118" s="178">
        <f ca="1">IF($D118&lt;&gt;"Serviço",0,IF(AND(AUTOEVENTO="Manual",$M118=1),0,IF(OFFSET(CRONOPLE!$F$14,$M118,AP$13)="",10^12,OFFSET(CRONOPLE!$F$14,$M118,AP$13))))</f>
        <v>1000000000000</v>
      </c>
      <c r="AQ118" s="178">
        <f ca="1">IF($D118&lt;&gt;"Serviço",0,IF(AND(AUTOEVENTO="Manual",$M118=1),0,IF(OFFSET(CRONOPLE!$F$14,$M118,AQ$13)="",10^12,OFFSET(CRONOPLE!$F$14,$M118,AQ$13))))</f>
        <v>1000000000000</v>
      </c>
      <c r="AR118" s="178">
        <f ca="1">IF($D118&lt;&gt;"Serviço",0,IF(AND(AUTOEVENTO="Manual",$M118=1),0,IF(OFFSET(CRONOPLE!$F$14,$M118,AR$13)="",10^12,OFFSET(CRONOPLE!$F$14,$M118,AR$13))))</f>
        <v>1000000000000</v>
      </c>
      <c r="AS118" s="178">
        <f ca="1">IF($D118&lt;&gt;"Serviço",0,IF(AND(AUTOEVENTO="Manual",$M118=1),0,IF(OFFSET(CRONOPLE!$F$14,$M118,AS$13)="",10^12,OFFSET(CRONOPLE!$F$14,$M118,AS$13))))</f>
        <v>1000000000000</v>
      </c>
      <c r="AT118" s="178">
        <f ca="1">IF($D118&lt;&gt;"Serviço",0,IF(AND(AUTOEVENTO="Manual",$M118=1),0,IF(OFFSET(CRONOPLE!$F$14,$M118,AT$13)="",10^12,OFFSET(CRONOPLE!$F$14,$M118,AT$13))))</f>
        <v>1000000000000</v>
      </c>
      <c r="AU118" s="178">
        <f ca="1">IF($D118&lt;&gt;"Serviço",0,IF(AND(AUTOEVENTO="Manual",$M118=1),0,IF(OFFSET(CRONOPLE!$F$14,$M118,AU$13)="",10^12,OFFSET(CRONOPLE!$F$14,$M118,AU$13))))</f>
        <v>1000000000000</v>
      </c>
      <c r="AV118" s="178">
        <f ca="1">IF($D118&lt;&gt;"Serviço",0,IF(AND(AUTOEVENTO="Manual",$M118=1),0,IF(OFFSET(CRONOPLE!$F$14,$M118,AV$13)="",10^12,OFFSET(CRONOPLE!$F$14,$M118,AV$13))))</f>
        <v>1000000000000</v>
      </c>
      <c r="AX118" s="179">
        <f ca="1">IF($D118&lt;&gt;"Serviço",0,IF(OR(AND(AUTOEVENTO="Manual",$M118=1),$M118&gt;(ROW(PLE.lastrow)-ROW(PLE.firstrow))),0,IF(OFFSET(PLE!$G$14,$M118,AX$13)="",10^12,OFFSET(PLE!$G$14,$M118,AX$13))))</f>
        <v>1000000000000</v>
      </c>
      <c r="AY118" s="179">
        <f ca="1">IF($D118&lt;&gt;"Serviço",0,IF(OR(AND(AUTOEVENTO="Manual",$M118=1),$M118&gt;(ROW(PLE.lastrow)-ROW(PLE.firstrow))),0,IF(OFFSET(PLE!$G$14,$M118,AY$13)="",10^12,OFFSET(PLE!$G$14,$M118,AY$13))))</f>
        <v>1000000000000</v>
      </c>
      <c r="AZ118" s="179">
        <f ca="1">IF($D118&lt;&gt;"Serviço",0,IF(OR(AND(AUTOEVENTO="Manual",$M118=1),$M118&gt;(ROW(PLE.lastrow)-ROW(PLE.firstrow))),0,IF(OFFSET(PLE!$G$14,$M118,AZ$13)="",10^12,OFFSET(PLE!$G$14,$M118,AZ$13))))</f>
        <v>1000000000000</v>
      </c>
      <c r="BA118" s="179">
        <f ca="1">IF($D118&lt;&gt;"Serviço",0,IF(OR(AND(AUTOEVENTO="Manual",$M118=1),$M118&gt;(ROW(PLE.lastrow)-ROW(PLE.firstrow))),0,IF(OFFSET(PLE!$G$14,$M118,BA$13)="",10^12,OFFSET(PLE!$G$14,$M118,BA$13))))</f>
        <v>1000000000000</v>
      </c>
      <c r="BB118" s="179">
        <f ca="1">IF($D118&lt;&gt;"Serviço",0,IF(OR(AND(AUTOEVENTO="Manual",$M118=1),$M118&gt;(ROW(PLE.lastrow)-ROW(PLE.firstrow))),0,IF(OFFSET(PLE!$G$14,$M118,BB$13)="",10^12,OFFSET(PLE!$G$14,$M118,BB$13))))</f>
        <v>1000000000000</v>
      </c>
      <c r="BC118" s="179">
        <f ca="1">IF($D118&lt;&gt;"Serviço",0,IF(OR(AND(AUTOEVENTO="Manual",$M118=1),$M118&gt;(ROW(PLE.lastrow)-ROW(PLE.firstrow))),0,IF(OFFSET(PLE!$G$14,$M118,BC$13)="",10^12,OFFSET(PLE!$G$14,$M118,BC$13))))</f>
        <v>1000000000000</v>
      </c>
      <c r="BD118" s="179">
        <f ca="1">IF($D118&lt;&gt;"Serviço",0,IF(OR(AND(AUTOEVENTO="Manual",$M118=1),$M118&gt;(ROW(PLE.lastrow)-ROW(PLE.firstrow))),0,IF(OFFSET(PLE!$G$14,$M118,BD$13)="",10^12,OFFSET(PLE!$G$14,$M118,BD$13))))</f>
        <v>1000000000000</v>
      </c>
      <c r="BE118" s="179">
        <f ca="1">IF($D118&lt;&gt;"Serviço",0,IF(OR(AND(AUTOEVENTO="Manual",$M118=1),$M118&gt;(ROW(PLE.lastrow)-ROW(PLE.firstrow))),0,IF(OFFSET(PLE!$G$14,$M118,BE$13)="",10^12,OFFSET(PLE!$G$14,$M118,BE$13))))</f>
        <v>1000000000000</v>
      </c>
      <c r="BF118" s="179">
        <f ca="1">IF($D118&lt;&gt;"Serviço",0,IF(OR(AND(AUTOEVENTO="Manual",$M118=1),$M118&gt;(ROW(PLE.lastrow)-ROW(PLE.firstrow))),0,IF(OFFSET(PLE!$G$14,$M118,BF$13)="",10^12,OFFSET(PLE!$G$14,$M118,BF$13))))</f>
        <v>1000000000000</v>
      </c>
      <c r="BG118" s="179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25.5" x14ac:dyDescent="0.2">
      <c r="A119" s="7" t="str">
        <f t="shared" ca="1" si="10"/>
        <v>88</v>
      </c>
      <c r="B119" s="7" t="str">
        <f ca="1">OFFSET(ORÇAMENTO!C$15,ROW(B119)-ROW(B$15),0)</f>
        <v>S</v>
      </c>
      <c r="C119" s="7" t="str">
        <f ca="1">OFFSET(ORÇAMENTO!L$15,ROW(C119)-ROW(C$15),0)</f>
        <v/>
      </c>
      <c r="D119" s="115" t="str">
        <f ca="1">OFFSET(ORÇAMENTO!N$15,ROW(D119)-ROW(D$15),0)</f>
        <v>Serviço</v>
      </c>
      <c r="E119" s="116" t="str">
        <f ca="1">OFFSET(ORÇAMENTO!O$15,ROW(E119)-ROW(E$15),0)</f>
        <v>-</v>
      </c>
      <c r="F119" s="169" t="str">
        <f ca="1">OFFSET(ORÇAMENTO!R$15,ROW(F119)-ROW(F$15),0)</f>
        <v>(abra o arquivo 'Referência 10-2024.xlsm)</v>
      </c>
      <c r="G119" s="170" t="str">
        <f ca="1">IF($D119&lt;&gt;"Serviço","",OFFSET(ORÇAMENTO!S$15,ROW(G119)-ROW(G$15),0))</f>
        <v>-</v>
      </c>
      <c r="H119" s="121">
        <f ca="1">IF($D119&lt;&gt;"Serviço",0,IF(ACOMPANHAMENTO="BM",ROUND(OFFSET(ORÇAMENTO!AJ$15,ROW(H119)-ROW(H$15),0),15-13*ORÇAMENTO!$AF$7),SUMPRODUCT(($Q$12:$AA$12&lt;&gt;"")*ROUND($Q119:$AA119,15-13*ORÇAMENTO!$AF$7))))</f>
        <v>1</v>
      </c>
      <c r="I119" s="558" t="s">
        <v>561</v>
      </c>
      <c r="K119" s="171"/>
      <c r="L119" s="172" t="s">
        <v>255</v>
      </c>
      <c r="M119" s="173">
        <f ca="1">IF($D119&lt;&gt;"Serviço","",IF(AUTOEVENTO="manual",$A119,IF(ISERROR(MATCH($A119,$A$15:OFFSET($A119,-1,0),0)),MAX($M$15:OFFSET(M119,-1,0))+1,INDEX($M$15:OFFSET(M119,-1,0),MATCH($A119,$A$15:OFFSET($A119,-1,0),0)))))</f>
        <v>15</v>
      </c>
      <c r="N119" s="174" t="str">
        <f ca="1">IF($D119&lt;&gt;"Serviço","",IF(AUTOEVENTO="Manual",IF($A119=0,"&lt;-- defina o número do agrupador",OFFSET(EVENTOS!$D$14,$A119,0)),OFFSET($F$15,$A119,0)))</f>
        <v>INSTALAÇÕES ELÉTRICAS</v>
      </c>
      <c r="O119" s="175"/>
      <c r="Q119" s="175"/>
      <c r="R119" s="176"/>
      <c r="S119" s="176"/>
      <c r="T119" s="176"/>
      <c r="U119" s="176"/>
      <c r="V119" s="176"/>
      <c r="W119" s="176"/>
      <c r="X119" s="176"/>
      <c r="Y119" s="176"/>
      <c r="Z119" s="177"/>
      <c r="AB119" s="541">
        <f ca="1">IF(AND($D119="Serviço",AB$12&lt;&gt;0,$H119&gt;0,OR(AUTOEVENTO&lt;&gt;"manual",$M119&lt;&gt;1)),
IF(Import.TipoArredondamento&lt;&gt;"TransfereGOV",
ROUND(OFFSET($P119,0,AB$13),15-13*ORÇAMENTO!$AF$7)/$H119*OFFSET(ORÇAMENTO!$X$15,ROW(AB119)-ROW(AB$15),0),
ROUND(ROUND(OFFSET($P119,0,AB$13),15-13*ORÇAMENTO!$AF$7)*OFFSET(ORÇAMENTO!$W$15,ROW(AB119)-ROW(AB$15),0),15-13*ORÇAMENTO!$AF$11)),0)</f>
        <v>0</v>
      </c>
      <c r="AC119" s="542">
        <f ca="1">IF(AND($D119="Serviço",AC$12&lt;&gt;0,$H119&gt;0,OR(AUTOEVENTO&lt;&gt;"manual",$M119&lt;&gt;1)),
IF(Import.TipoArredondamento&lt;&gt;"TransfereGOV",
ROUND(OFFSET($P119,0,AC$13),15-13*ORÇAMENTO!$AF$7)/$H119*OFFSET(ORÇAMENTO!$X$15,ROW(AC119)-ROW(AC$15),0),
ROUND(ROUND(OFFSET($P119,0,AC$13),15-13*ORÇAMENTO!$AF$7)*OFFSET(ORÇAMENTO!$W$15,ROW(AC119)-ROW(AC$15),0),15-13*ORÇAMENTO!$AF$11)),0)</f>
        <v>0</v>
      </c>
      <c r="AD119" s="542">
        <f ca="1">IF(AND($D119="Serviço",AD$12&lt;&gt;0,$H119&gt;0,OR(AUTOEVENTO&lt;&gt;"manual",$M119&lt;&gt;1)),
IF(Import.TipoArredondamento&lt;&gt;"TransfereGOV",
ROUND(OFFSET($P119,0,AD$13),15-13*ORÇAMENTO!$AF$7)/$H119*OFFSET(ORÇAMENTO!$X$15,ROW(AD119)-ROW(AD$15),0),
ROUND(ROUND(OFFSET($P119,0,AD$13),15-13*ORÇAMENTO!$AF$7)*OFFSET(ORÇAMENTO!$W$15,ROW(AD119)-ROW(AD$15),0),15-13*ORÇAMENTO!$AF$11)),0)</f>
        <v>0</v>
      </c>
      <c r="AE119" s="542">
        <f ca="1">IF(AND($D119="Serviço",AE$12&lt;&gt;0,$H119&gt;0,OR(AUTOEVENTO&lt;&gt;"manual",$M119&lt;&gt;1)),
IF(Import.TipoArredondamento&lt;&gt;"TransfereGOV",
ROUND(OFFSET($P119,0,AE$13),15-13*ORÇAMENTO!$AF$7)/$H119*OFFSET(ORÇAMENTO!$X$15,ROW(AE119)-ROW(AE$15),0),
ROUND(ROUND(OFFSET($P119,0,AE$13),15-13*ORÇAMENTO!$AF$7)*OFFSET(ORÇAMENTO!$W$15,ROW(AE119)-ROW(AE$15),0),15-13*ORÇAMENTO!$AF$11)),0)</f>
        <v>0</v>
      </c>
      <c r="AF119" s="542">
        <f ca="1">IF(AND($D119="Serviço",AF$12&lt;&gt;0,$H119&gt;0,OR(AUTOEVENTO&lt;&gt;"manual",$M119&lt;&gt;1)),
IF(Import.TipoArredondamento&lt;&gt;"TransfereGOV",
ROUND(OFFSET($P119,0,AF$13),15-13*ORÇAMENTO!$AF$7)/$H119*OFFSET(ORÇAMENTO!$X$15,ROW(AF119)-ROW(AF$15),0),
ROUND(ROUND(OFFSET($P119,0,AF$13),15-13*ORÇAMENTO!$AF$7)*OFFSET(ORÇAMENTO!$W$15,ROW(AF119)-ROW(AF$15),0),15-13*ORÇAMENTO!$AF$11)),0)</f>
        <v>0</v>
      </c>
      <c r="AG119" s="542">
        <f ca="1">IF(AND($D119="Serviço",AG$12&lt;&gt;0,$H119&gt;0,OR(AUTOEVENTO&lt;&gt;"manual",$M119&lt;&gt;1)),
IF(Import.TipoArredondamento&lt;&gt;"TransfereGOV",
ROUND(OFFSET($P119,0,AG$13),15-13*ORÇAMENTO!$AF$7)/$H119*OFFSET(ORÇAMENTO!$X$15,ROW(AG119)-ROW(AG$15),0),
ROUND(ROUND(OFFSET($P119,0,AG$13),15-13*ORÇAMENTO!$AF$7)*OFFSET(ORÇAMENTO!$W$15,ROW(AG119)-ROW(AG$15),0),15-13*ORÇAMENTO!$AF$11)),0)</f>
        <v>0</v>
      </c>
      <c r="AH119" s="542">
        <f ca="1">IF(AND($D119="Serviço",AH$12&lt;&gt;0,$H119&gt;0,OR(AUTOEVENTO&lt;&gt;"manual",$M119&lt;&gt;1)),
IF(Import.TipoArredondamento&lt;&gt;"TransfereGOV",
ROUND(OFFSET($P119,0,AH$13),15-13*ORÇAMENTO!$AF$7)/$H119*OFFSET(ORÇAMENTO!$X$15,ROW(AH119)-ROW(AH$15),0),
ROUND(ROUND(OFFSET($P119,0,AH$13),15-13*ORÇAMENTO!$AF$7)*OFFSET(ORÇAMENTO!$W$15,ROW(AH119)-ROW(AH$15),0),15-13*ORÇAMENTO!$AF$11)),0)</f>
        <v>0</v>
      </c>
      <c r="AI119" s="542">
        <f ca="1">IF(AND($D119="Serviço",AI$12&lt;&gt;0,$H119&gt;0,OR(AUTOEVENTO&lt;&gt;"manual",$M119&lt;&gt;1)),
IF(Import.TipoArredondamento&lt;&gt;"TransfereGOV",
ROUND(OFFSET($P119,0,AI$13),15-13*ORÇAMENTO!$AF$7)/$H119*OFFSET(ORÇAMENTO!$X$15,ROW(AI119)-ROW(AI$15),0),
ROUND(ROUND(OFFSET($P119,0,AI$13),15-13*ORÇAMENTO!$AF$7)*OFFSET(ORÇAMENTO!$W$15,ROW(AI119)-ROW(AI$15),0),15-13*ORÇAMENTO!$AF$11)),0)</f>
        <v>0</v>
      </c>
      <c r="AJ119" s="542">
        <f ca="1">IF(AND($D119="Serviço",AJ$12&lt;&gt;0,$H119&gt;0,OR(AUTOEVENTO&lt;&gt;"manual",$M119&lt;&gt;1)),
IF(Import.TipoArredondamento&lt;&gt;"TransfereGOV",
ROUND(OFFSET($P119,0,AJ$13),15-13*ORÇAMENTO!$AF$7)/$H119*OFFSET(ORÇAMENTO!$X$15,ROW(AJ119)-ROW(AJ$15),0),
ROUND(ROUND(OFFSET($P119,0,AJ$13),15-13*ORÇAMENTO!$AF$7)*OFFSET(ORÇAMENTO!$W$15,ROW(AJ119)-ROW(AJ$15),0),15-13*ORÇAMENTO!$AF$11)),0)</f>
        <v>0</v>
      </c>
      <c r="AK119" s="543">
        <f ca="1">IF(AND($D119="Serviço",AK$12&lt;&gt;0,$H119&gt;0,OR(AUTOEVENTO&lt;&gt;"manual",$M119&lt;&gt;1)),
IF(Import.TipoArredondamento&lt;&gt;"TransfereGOV",
ROUND(OFFSET($P119,0,AK$13),15-13*ORÇAMENTO!$AF$7)/$H119*OFFSET(ORÇAMENTO!$X$15,ROW(AK119)-ROW(AK$15),0),
ROUND(ROUND(OFFSET($P119,0,AK$13),15-13*ORÇAMENTO!$AF$7)*OFFSET(ORÇAMENTO!$W$15,ROW(AK119)-ROW(AK$15),0),15-13*ORÇAMENTO!$AF$11)),0)</f>
        <v>0</v>
      </c>
      <c r="AM119" s="178">
        <f ca="1">IF($D119&lt;&gt;"Serviço",0,IF(AND(AUTOEVENTO="Manual",$M119=1),0,IF(OFFSET(CRONOPLE!$F$14,$M119,AM$13)="",10^12,OFFSET(CRONOPLE!$F$14,$M119,AM$13))))</f>
        <v>1000000000000</v>
      </c>
      <c r="AN119" s="178">
        <f ca="1">IF($D119&lt;&gt;"Serviço",0,IF(AND(AUTOEVENTO="Manual",$M119=1),0,IF(OFFSET(CRONOPLE!$F$14,$M119,AN$13)="",10^12,OFFSET(CRONOPLE!$F$14,$M119,AN$13))))</f>
        <v>1000000000000</v>
      </c>
      <c r="AO119" s="178">
        <f ca="1">IF($D119&lt;&gt;"Serviço",0,IF(AND(AUTOEVENTO="Manual",$M119=1),0,IF(OFFSET(CRONOPLE!$F$14,$M119,AO$13)="",10^12,OFFSET(CRONOPLE!$F$14,$M119,AO$13))))</f>
        <v>1000000000000</v>
      </c>
      <c r="AP119" s="178">
        <f ca="1">IF($D119&lt;&gt;"Serviço",0,IF(AND(AUTOEVENTO="Manual",$M119=1),0,IF(OFFSET(CRONOPLE!$F$14,$M119,AP$13)="",10^12,OFFSET(CRONOPLE!$F$14,$M119,AP$13))))</f>
        <v>1000000000000</v>
      </c>
      <c r="AQ119" s="178">
        <f ca="1">IF($D119&lt;&gt;"Serviço",0,IF(AND(AUTOEVENTO="Manual",$M119=1),0,IF(OFFSET(CRONOPLE!$F$14,$M119,AQ$13)="",10^12,OFFSET(CRONOPLE!$F$14,$M119,AQ$13))))</f>
        <v>1000000000000</v>
      </c>
      <c r="AR119" s="178">
        <f ca="1">IF($D119&lt;&gt;"Serviço",0,IF(AND(AUTOEVENTO="Manual",$M119=1),0,IF(OFFSET(CRONOPLE!$F$14,$M119,AR$13)="",10^12,OFFSET(CRONOPLE!$F$14,$M119,AR$13))))</f>
        <v>1000000000000</v>
      </c>
      <c r="AS119" s="178">
        <f ca="1">IF($D119&lt;&gt;"Serviço",0,IF(AND(AUTOEVENTO="Manual",$M119=1),0,IF(OFFSET(CRONOPLE!$F$14,$M119,AS$13)="",10^12,OFFSET(CRONOPLE!$F$14,$M119,AS$13))))</f>
        <v>1000000000000</v>
      </c>
      <c r="AT119" s="178">
        <f ca="1">IF($D119&lt;&gt;"Serviço",0,IF(AND(AUTOEVENTO="Manual",$M119=1),0,IF(OFFSET(CRONOPLE!$F$14,$M119,AT$13)="",10^12,OFFSET(CRONOPLE!$F$14,$M119,AT$13))))</f>
        <v>1000000000000</v>
      </c>
      <c r="AU119" s="178">
        <f ca="1">IF($D119&lt;&gt;"Serviço",0,IF(AND(AUTOEVENTO="Manual",$M119=1),0,IF(OFFSET(CRONOPLE!$F$14,$M119,AU$13)="",10^12,OFFSET(CRONOPLE!$F$14,$M119,AU$13))))</f>
        <v>1000000000000</v>
      </c>
      <c r="AV119" s="178">
        <f ca="1">IF($D119&lt;&gt;"Serviço",0,IF(AND(AUTOEVENTO="Manual",$M119=1),0,IF(OFFSET(CRONOPLE!$F$14,$M119,AV$13)="",10^12,OFFSET(CRONOPLE!$F$14,$M119,AV$13))))</f>
        <v>1000000000000</v>
      </c>
      <c r="AX119" s="179">
        <f ca="1">IF($D119&lt;&gt;"Serviço",0,IF(OR(AND(AUTOEVENTO="Manual",$M119=1),$M119&gt;(ROW(PLE.lastrow)-ROW(PLE.firstrow))),0,IF(OFFSET(PLE!$G$14,$M119,AX$13)="",10^12,OFFSET(PLE!$G$14,$M119,AX$13))))</f>
        <v>1000000000000</v>
      </c>
      <c r="AY119" s="179">
        <f ca="1">IF($D119&lt;&gt;"Serviço",0,IF(OR(AND(AUTOEVENTO="Manual",$M119=1),$M119&gt;(ROW(PLE.lastrow)-ROW(PLE.firstrow))),0,IF(OFFSET(PLE!$G$14,$M119,AY$13)="",10^12,OFFSET(PLE!$G$14,$M119,AY$13))))</f>
        <v>1000000000000</v>
      </c>
      <c r="AZ119" s="179">
        <f ca="1">IF($D119&lt;&gt;"Serviço",0,IF(OR(AND(AUTOEVENTO="Manual",$M119=1),$M119&gt;(ROW(PLE.lastrow)-ROW(PLE.firstrow))),0,IF(OFFSET(PLE!$G$14,$M119,AZ$13)="",10^12,OFFSET(PLE!$G$14,$M119,AZ$13))))</f>
        <v>1000000000000</v>
      </c>
      <c r="BA119" s="179">
        <f ca="1">IF($D119&lt;&gt;"Serviço",0,IF(OR(AND(AUTOEVENTO="Manual",$M119=1),$M119&gt;(ROW(PLE.lastrow)-ROW(PLE.firstrow))),0,IF(OFFSET(PLE!$G$14,$M119,BA$13)="",10^12,OFFSET(PLE!$G$14,$M119,BA$13))))</f>
        <v>1000000000000</v>
      </c>
      <c r="BB119" s="179">
        <f ca="1">IF($D119&lt;&gt;"Serviço",0,IF(OR(AND(AUTOEVENTO="Manual",$M119=1),$M119&gt;(ROW(PLE.lastrow)-ROW(PLE.firstrow))),0,IF(OFFSET(PLE!$G$14,$M119,BB$13)="",10^12,OFFSET(PLE!$G$14,$M119,BB$13))))</f>
        <v>1000000000000</v>
      </c>
      <c r="BC119" s="179">
        <f ca="1">IF($D119&lt;&gt;"Serviço",0,IF(OR(AND(AUTOEVENTO="Manual",$M119=1),$M119&gt;(ROW(PLE.lastrow)-ROW(PLE.firstrow))),0,IF(OFFSET(PLE!$G$14,$M119,BC$13)="",10^12,OFFSET(PLE!$G$14,$M119,BC$13))))</f>
        <v>1000000000000</v>
      </c>
      <c r="BD119" s="179">
        <f ca="1">IF($D119&lt;&gt;"Serviço",0,IF(OR(AND(AUTOEVENTO="Manual",$M119=1),$M119&gt;(ROW(PLE.lastrow)-ROW(PLE.firstrow))),0,IF(OFFSET(PLE!$G$14,$M119,BD$13)="",10^12,OFFSET(PLE!$G$14,$M119,BD$13))))</f>
        <v>1000000000000</v>
      </c>
      <c r="BE119" s="179">
        <f ca="1">IF($D119&lt;&gt;"Serviço",0,IF(OR(AND(AUTOEVENTO="Manual",$M119=1),$M119&gt;(ROW(PLE.lastrow)-ROW(PLE.firstrow))),0,IF(OFFSET(PLE!$G$14,$M119,BE$13)="",10^12,OFFSET(PLE!$G$14,$M119,BE$13))))</f>
        <v>1000000000000</v>
      </c>
      <c r="BF119" s="179">
        <f ca="1">IF($D119&lt;&gt;"Serviço",0,IF(OR(AND(AUTOEVENTO="Manual",$M119=1),$M119&gt;(ROW(PLE.lastrow)-ROW(PLE.firstrow))),0,IF(OFFSET(PLE!$G$14,$M119,BF$13)="",10^12,OFFSET(PLE!$G$14,$M119,BF$13))))</f>
        <v>1000000000000</v>
      </c>
      <c r="BG119" s="179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5.0999999999999996" customHeight="1" x14ac:dyDescent="0.2">
      <c r="B120" s="7">
        <f ca="1">OFFSET(ORÇAMENTO!C$15,ROW(B120)-ROW(B$15),0)</f>
        <v>-1</v>
      </c>
      <c r="C120" s="7" t="str">
        <f ca="1">OFFSET(ORÇAMENTO!L$15,ROW(C120)-ROW(C$15),0)</f>
        <v>F</v>
      </c>
      <c r="D120" s="480" t="s">
        <v>194</v>
      </c>
      <c r="E120" s="481"/>
      <c r="F120" s="482"/>
      <c r="G120" s="482"/>
      <c r="H120" s="482"/>
      <c r="I120" s="483"/>
      <c r="K120" s="485"/>
      <c r="L120" s="172" t="s">
        <v>255</v>
      </c>
      <c r="M120" s="486"/>
      <c r="N120" s="484"/>
      <c r="O120" s="479"/>
      <c r="Q120" s="481"/>
      <c r="R120" s="482"/>
      <c r="S120" s="482"/>
      <c r="T120" s="482"/>
      <c r="U120" s="482"/>
      <c r="V120" s="482"/>
      <c r="W120" s="482"/>
      <c r="X120" s="482"/>
      <c r="Y120" s="482"/>
      <c r="Z120" s="483"/>
      <c r="AB120" s="135"/>
      <c r="AC120" s="189"/>
      <c r="AD120" s="189"/>
      <c r="AE120" s="189"/>
      <c r="AF120" s="189"/>
      <c r="AG120" s="189"/>
      <c r="AH120" s="189"/>
      <c r="AI120" s="189"/>
      <c r="AJ120" s="189"/>
      <c r="AK120" s="136"/>
      <c r="AM120" s="135"/>
      <c r="AN120" s="189"/>
      <c r="AO120" s="189"/>
      <c r="AP120" s="189"/>
      <c r="AQ120" s="189"/>
      <c r="AR120" s="189"/>
      <c r="AS120" s="189"/>
      <c r="AT120" s="189"/>
      <c r="AU120" s="189"/>
      <c r="AV120" s="136"/>
      <c r="AX120" s="135"/>
      <c r="AY120" s="189"/>
      <c r="AZ120" s="189"/>
      <c r="BA120" s="189"/>
      <c r="BB120" s="189"/>
      <c r="BC120" s="189"/>
      <c r="BD120" s="189"/>
      <c r="BE120" s="189"/>
      <c r="BF120" s="189"/>
      <c r="BG120" s="136"/>
    </row>
    <row r="121" spans="1:59" ht="12.75" customHeight="1" x14ac:dyDescent="0.2"/>
    <row r="122" spans="1:59" ht="12.75" customHeight="1" x14ac:dyDescent="0.2"/>
    <row r="123" spans="1:59" ht="12.75" customHeight="1" x14ac:dyDescent="0.2"/>
    <row r="124" spans="1:59" ht="15" customHeight="1" x14ac:dyDescent="0.2">
      <c r="F124" s="190" t="str">
        <f>Import.Município</f>
        <v>LAGES/SC</v>
      </c>
      <c r="I124" s="550"/>
      <c r="J124" s="550"/>
      <c r="K124" s="550"/>
      <c r="L124" s="550"/>
      <c r="M124" s="551"/>
      <c r="N124" s="476"/>
      <c r="T124" s="142"/>
      <c r="U124" s="142"/>
      <c r="V124" s="191"/>
      <c r="W124" s="191"/>
      <c r="X124" s="191"/>
      <c r="Y124" s="191"/>
    </row>
    <row r="125" spans="1:59" ht="12.75" customHeight="1" x14ac:dyDescent="0.2">
      <c r="F125" s="10" t="s">
        <v>188</v>
      </c>
      <c r="I125" s="192" t="s">
        <v>190</v>
      </c>
      <c r="J125" s="192"/>
      <c r="K125" s="192"/>
      <c r="L125" s="192"/>
      <c r="T125" s="192" t="s">
        <v>190</v>
      </c>
      <c r="U125" s="192"/>
    </row>
    <row r="126" spans="1:59" ht="12.75" customHeight="1" x14ac:dyDescent="0.2">
      <c r="I126" s="444" t="str">
        <f t="array" aca="1" ref="I126:I128" ca="1">OFFSET(Import.RespOrçamento,0,-1) &amp; " " &amp; Import.RespOrçamento</f>
        <v>Nome: RODRIGO FAGUNDES DE ALMEIDA</v>
      </c>
      <c r="K126" s="77"/>
      <c r="L126" s="77"/>
      <c r="T126" s="444" t="str">
        <f t="array" aca="1" ref="T126:T128" ca="1">OFFSET(Import.RespOrçamento,0,-1) &amp; " " &amp; Import.RespOrçamento</f>
        <v>Nome: RODRIGO FAGUNDES DE ALMEIDA</v>
      </c>
      <c r="U126" s="76"/>
    </row>
    <row r="127" spans="1:59" ht="12.75" customHeight="1" x14ac:dyDescent="0.2">
      <c r="F127" s="549">
        <f ca="1">DADOS!$F$25</f>
        <v>45639</v>
      </c>
      <c r="I127" s="444" t="str">
        <f ca="1"/>
        <v>CREA/CAU: CREA/SC 147572-3</v>
      </c>
      <c r="K127" s="77"/>
      <c r="L127" s="77"/>
      <c r="T127" s="444" t="str">
        <f ca="1"/>
        <v>CREA/CAU: CREA/SC 147572-3</v>
      </c>
      <c r="U127" s="76"/>
    </row>
    <row r="128" spans="1:59" ht="12.75" customHeight="1" x14ac:dyDescent="0.2">
      <c r="F128" s="143" t="s">
        <v>189</v>
      </c>
      <c r="I128" s="444" t="str">
        <f ca="1"/>
        <v>ART/RRT: 9360947-0</v>
      </c>
      <c r="K128" s="77"/>
      <c r="L128" s="77"/>
      <c r="T128" s="444" t="str">
        <f ca="1"/>
        <v>ART/RRT: 9360947-0</v>
      </c>
      <c r="U128" s="76"/>
    </row>
    <row r="129" spans="3:13" ht="12.75" customHeight="1" x14ac:dyDescent="0.2">
      <c r="C129"/>
      <c r="M129"/>
    </row>
    <row r="130" spans="3:13" ht="12.75" customHeight="1" x14ac:dyDescent="0.2">
      <c r="C130"/>
      <c r="M130"/>
    </row>
    <row r="131" spans="3:13" ht="12.75" customHeight="1" x14ac:dyDescent="0.2">
      <c r="C131"/>
      <c r="M131"/>
    </row>
    <row r="132" spans="3:13" ht="12.75" customHeight="1" x14ac:dyDescent="0.2">
      <c r="C132"/>
      <c r="M132"/>
    </row>
    <row r="133" spans="3:13" ht="12.75" customHeight="1" x14ac:dyDescent="0.2">
      <c r="C133"/>
      <c r="M133"/>
    </row>
    <row r="134" spans="3:13" ht="12.75" customHeight="1" x14ac:dyDescent="0.2">
      <c r="C134"/>
      <c r="M134"/>
    </row>
    <row r="135" spans="3:13" ht="12.75" customHeight="1" x14ac:dyDescent="0.2">
      <c r="C135"/>
      <c r="M135"/>
    </row>
    <row r="136" spans="3:13" ht="12.75" customHeight="1" x14ac:dyDescent="0.2">
      <c r="C136"/>
      <c r="M136"/>
    </row>
    <row r="137" spans="3:13" ht="12.75" customHeight="1" x14ac:dyDescent="0.2">
      <c r="C137"/>
      <c r="M137"/>
    </row>
    <row r="138" spans="3:13" ht="12.75" customHeight="1" x14ac:dyDescent="0.2">
      <c r="C138"/>
      <c r="M138"/>
    </row>
    <row r="139" spans="3:13" ht="12.75" customHeight="1" x14ac:dyDescent="0.2">
      <c r="C139"/>
      <c r="M139"/>
    </row>
    <row r="140" spans="3:13" ht="12.75" customHeight="1" x14ac:dyDescent="0.2">
      <c r="C140"/>
      <c r="M140"/>
    </row>
    <row r="141" spans="3:13" ht="12.75" customHeight="1" x14ac:dyDescent="0.2">
      <c r="C141"/>
      <c r="M141"/>
    </row>
    <row r="142" spans="3:13" ht="12.75" customHeight="1" x14ac:dyDescent="0.2">
      <c r="C142"/>
      <c r="M142"/>
    </row>
    <row r="143" spans="3:13" ht="12.75" customHeight="1" x14ac:dyDescent="0.2">
      <c r="C143"/>
      <c r="M143"/>
    </row>
    <row r="144" spans="3:13" ht="12.75" customHeight="1" x14ac:dyDescent="0.2">
      <c r="C144"/>
      <c r="M144"/>
    </row>
    <row r="145" spans="3:13" ht="12.75" customHeight="1" x14ac:dyDescent="0.2">
      <c r="C145"/>
      <c r="M145"/>
    </row>
    <row r="146" spans="3:13" ht="12.75" customHeight="1" x14ac:dyDescent="0.2">
      <c r="C146"/>
      <c r="M146"/>
    </row>
    <row r="147" spans="3:13" ht="12.75" customHeight="1" x14ac:dyDescent="0.2">
      <c r="C147"/>
      <c r="M147"/>
    </row>
    <row r="148" spans="3:13" ht="12.75" customHeight="1" x14ac:dyDescent="0.2">
      <c r="C148"/>
      <c r="M148"/>
    </row>
    <row r="149" spans="3:13" ht="12.75" customHeight="1" x14ac:dyDescent="0.2">
      <c r="C149"/>
      <c r="M149"/>
    </row>
    <row r="150" spans="3:13" ht="12.75" customHeight="1" x14ac:dyDescent="0.2">
      <c r="C150"/>
      <c r="M150"/>
    </row>
    <row r="151" spans="3:13" ht="12.75" customHeight="1" x14ac:dyDescent="0.2">
      <c r="C151"/>
      <c r="M151"/>
    </row>
    <row r="152" spans="3:13" ht="12.75" customHeight="1" x14ac:dyDescent="0.2">
      <c r="C152"/>
      <c r="M152"/>
    </row>
    <row r="153" spans="3:13" ht="12.75" customHeight="1" x14ac:dyDescent="0.2">
      <c r="C153"/>
      <c r="M153"/>
    </row>
    <row r="154" spans="3:13" ht="12.75" customHeight="1" x14ac:dyDescent="0.2">
      <c r="C154"/>
      <c r="M154"/>
    </row>
    <row r="155" spans="3:13" ht="12.75" customHeight="1" x14ac:dyDescent="0.2">
      <c r="C155"/>
      <c r="M155"/>
    </row>
    <row r="156" spans="3:13" ht="12.75" customHeight="1" x14ac:dyDescent="0.2">
      <c r="C156"/>
      <c r="M156"/>
    </row>
    <row r="157" spans="3:13" ht="12.75" customHeight="1" x14ac:dyDescent="0.2">
      <c r="C157"/>
      <c r="M157"/>
    </row>
    <row r="158" spans="3:13" ht="12.75" customHeight="1" x14ac:dyDescent="0.2">
      <c r="C158"/>
      <c r="M158"/>
    </row>
    <row r="159" spans="3:13" ht="12.75" customHeight="1" x14ac:dyDescent="0.2">
      <c r="C159"/>
      <c r="M159"/>
    </row>
    <row r="160" spans="3:13" ht="12.75" customHeight="1" x14ac:dyDescent="0.2">
      <c r="C160"/>
      <c r="M160"/>
    </row>
    <row r="161" spans="3:13" ht="12.75" customHeight="1" x14ac:dyDescent="0.2">
      <c r="C161"/>
      <c r="M161"/>
    </row>
    <row r="162" spans="3:13" ht="12.75" customHeight="1" x14ac:dyDescent="0.2">
      <c r="C162"/>
      <c r="M162"/>
    </row>
    <row r="163" spans="3:13" ht="12.75" customHeight="1" x14ac:dyDescent="0.2">
      <c r="C163"/>
      <c r="M163"/>
    </row>
    <row r="164" spans="3:13" ht="12.75" customHeight="1" x14ac:dyDescent="0.2">
      <c r="C164"/>
      <c r="M164"/>
    </row>
    <row r="165" spans="3:13" ht="12.75" customHeight="1" x14ac:dyDescent="0.2">
      <c r="C165"/>
      <c r="M165"/>
    </row>
    <row r="166" spans="3:13" ht="12.75" customHeight="1" x14ac:dyDescent="0.2">
      <c r="C166"/>
      <c r="M166"/>
    </row>
    <row r="167" spans="3:13" ht="12.75" customHeight="1" x14ac:dyDescent="0.2">
      <c r="C167"/>
      <c r="M167"/>
    </row>
    <row r="168" spans="3:13" ht="12.75" customHeight="1" x14ac:dyDescent="0.2">
      <c r="C168"/>
      <c r="M168"/>
    </row>
    <row r="169" spans="3:13" ht="12.75" customHeight="1" x14ac:dyDescent="0.2">
      <c r="C169"/>
      <c r="M169"/>
    </row>
    <row r="170" spans="3:13" ht="12.75" customHeight="1" x14ac:dyDescent="0.2">
      <c r="C170"/>
      <c r="M170"/>
    </row>
    <row r="171" spans="3:13" ht="12.75" customHeight="1" x14ac:dyDescent="0.2">
      <c r="C171"/>
      <c r="M171"/>
    </row>
    <row r="172" spans="3:13" ht="12.75" customHeight="1" x14ac:dyDescent="0.2">
      <c r="C172"/>
      <c r="M172"/>
    </row>
    <row r="173" spans="3:13" ht="12.75" customHeight="1" x14ac:dyDescent="0.2">
      <c r="C173"/>
      <c r="M173"/>
    </row>
    <row r="174" spans="3:13" ht="12.75" customHeight="1" x14ac:dyDescent="0.2">
      <c r="C174"/>
      <c r="M174"/>
    </row>
    <row r="175" spans="3:13" ht="12.75" customHeight="1" x14ac:dyDescent="0.2">
      <c r="C175"/>
      <c r="M175"/>
    </row>
    <row r="176" spans="3:13" ht="12.75" customHeight="1" x14ac:dyDescent="0.2">
      <c r="C176"/>
      <c r="M176"/>
    </row>
    <row r="177" spans="3:13" ht="12.75" customHeight="1" x14ac:dyDescent="0.2">
      <c r="C177"/>
      <c r="M177"/>
    </row>
    <row r="178" spans="3:13" ht="12.75" customHeight="1" x14ac:dyDescent="0.2">
      <c r="C178"/>
      <c r="M178"/>
    </row>
    <row r="179" spans="3:13" ht="12.75" customHeight="1" x14ac:dyDescent="0.2">
      <c r="C179"/>
      <c r="M179"/>
    </row>
    <row r="180" spans="3:13" ht="12.75" customHeight="1" x14ac:dyDescent="0.2">
      <c r="C180"/>
      <c r="M180"/>
    </row>
    <row r="181" spans="3:13" ht="12.75" customHeight="1" x14ac:dyDescent="0.2">
      <c r="C181"/>
      <c r="M181"/>
    </row>
    <row r="182" spans="3:13" ht="12.75" customHeight="1" x14ac:dyDescent="0.2">
      <c r="C182"/>
      <c r="M182"/>
    </row>
    <row r="183" spans="3:13" ht="12.75" customHeight="1" x14ac:dyDescent="0.2">
      <c r="C183"/>
      <c r="M183"/>
    </row>
    <row r="184" spans="3:13" ht="12.75" customHeight="1" x14ac:dyDescent="0.2">
      <c r="C184"/>
      <c r="M184"/>
    </row>
    <row r="185" spans="3:13" ht="12.75" customHeight="1" x14ac:dyDescent="0.2">
      <c r="C185"/>
      <c r="M185"/>
    </row>
    <row r="186" spans="3:13" ht="12.75" customHeight="1" x14ac:dyDescent="0.2">
      <c r="C186"/>
      <c r="M186"/>
    </row>
    <row r="187" spans="3:13" ht="12.75" customHeight="1" x14ac:dyDescent="0.2">
      <c r="C187"/>
      <c r="M187"/>
    </row>
    <row r="188" spans="3:13" ht="12.75" customHeight="1" x14ac:dyDescent="0.2">
      <c r="C188"/>
      <c r="M188"/>
    </row>
    <row r="189" spans="3:13" ht="12.75" customHeight="1" x14ac:dyDescent="0.2">
      <c r="C189"/>
      <c r="M189"/>
    </row>
    <row r="190" spans="3:13" ht="12.75" customHeight="1" x14ac:dyDescent="0.2">
      <c r="C190"/>
      <c r="M190"/>
    </row>
    <row r="191" spans="3:13" ht="12.75" customHeight="1" x14ac:dyDescent="0.2">
      <c r="C191"/>
      <c r="M191"/>
    </row>
    <row r="192" spans="3:13" ht="12.75" customHeight="1" x14ac:dyDescent="0.2">
      <c r="C192"/>
      <c r="M192"/>
    </row>
    <row r="193" spans="3:13" ht="12.75" customHeight="1" x14ac:dyDescent="0.2">
      <c r="C193"/>
      <c r="M193"/>
    </row>
    <row r="194" spans="3:13" ht="12.75" customHeight="1" x14ac:dyDescent="0.2">
      <c r="C194"/>
      <c r="M194"/>
    </row>
    <row r="195" spans="3:13" ht="12.75" customHeight="1" x14ac:dyDescent="0.2">
      <c r="C195"/>
      <c r="M195"/>
    </row>
    <row r="196" spans="3:13" ht="12.75" customHeight="1" x14ac:dyDescent="0.2">
      <c r="C196"/>
      <c r="M196"/>
    </row>
    <row r="197" spans="3:13" ht="12.75" customHeight="1" x14ac:dyDescent="0.2">
      <c r="C197"/>
      <c r="M197"/>
    </row>
    <row r="198" spans="3:13" ht="12.75" customHeight="1" x14ac:dyDescent="0.2">
      <c r="C198"/>
      <c r="M198"/>
    </row>
    <row r="199" spans="3:13" ht="12.75" customHeight="1" x14ac:dyDescent="0.2">
      <c r="C199"/>
      <c r="M199"/>
    </row>
    <row r="200" spans="3:13" ht="12.75" customHeight="1" x14ac:dyDescent="0.2">
      <c r="C200"/>
      <c r="M200"/>
    </row>
    <row r="201" spans="3:13" ht="12.75" customHeight="1" x14ac:dyDescent="0.2">
      <c r="C201"/>
      <c r="M201"/>
    </row>
    <row r="202" spans="3:13" ht="12.75" customHeight="1" x14ac:dyDescent="0.2">
      <c r="C202"/>
      <c r="M202"/>
    </row>
    <row r="203" spans="3:13" ht="12.75" customHeight="1" x14ac:dyDescent="0.2">
      <c r="C203"/>
      <c r="M203"/>
    </row>
    <row r="204" spans="3:13" ht="12.75" customHeight="1" x14ac:dyDescent="0.2">
      <c r="C204"/>
      <c r="M204"/>
    </row>
    <row r="205" spans="3:13" ht="12.75" customHeight="1" x14ac:dyDescent="0.2">
      <c r="C205"/>
      <c r="M205"/>
    </row>
    <row r="206" spans="3:13" ht="12.75" customHeight="1" x14ac:dyDescent="0.2">
      <c r="C206"/>
      <c r="M206"/>
    </row>
    <row r="207" spans="3:13" ht="12.75" customHeight="1" x14ac:dyDescent="0.2">
      <c r="C207"/>
      <c r="M207"/>
    </row>
    <row r="208" spans="3:13" ht="12.75" customHeight="1" x14ac:dyDescent="0.2">
      <c r="C208"/>
      <c r="M208"/>
    </row>
    <row r="209" spans="3:13" ht="12.75" customHeight="1" x14ac:dyDescent="0.2">
      <c r="C209"/>
      <c r="M209"/>
    </row>
    <row r="210" spans="3:13" ht="12.75" customHeight="1" x14ac:dyDescent="0.2">
      <c r="C210"/>
      <c r="M210"/>
    </row>
    <row r="211" spans="3:13" ht="12.75" customHeight="1" x14ac:dyDescent="0.2">
      <c r="C211"/>
      <c r="M211"/>
    </row>
    <row r="212" spans="3:13" ht="12.75" customHeight="1" x14ac:dyDescent="0.2">
      <c r="C212"/>
      <c r="M212"/>
    </row>
    <row r="213" spans="3:13" ht="12.75" customHeight="1" x14ac:dyDescent="0.2">
      <c r="C213"/>
      <c r="M213"/>
    </row>
    <row r="214" spans="3:13" ht="12.75" customHeight="1" x14ac:dyDescent="0.2">
      <c r="C214"/>
      <c r="M214"/>
    </row>
    <row r="215" spans="3:13" ht="12.75" customHeight="1" x14ac:dyDescent="0.2">
      <c r="C215"/>
      <c r="M215"/>
    </row>
    <row r="216" spans="3:13" ht="12.75" customHeight="1" x14ac:dyDescent="0.2">
      <c r="C216"/>
      <c r="M216"/>
    </row>
    <row r="217" spans="3:13" ht="12.75" customHeight="1" x14ac:dyDescent="0.2">
      <c r="C217"/>
      <c r="M217"/>
    </row>
    <row r="218" spans="3:13" ht="12.75" customHeight="1" x14ac:dyDescent="0.2">
      <c r="C218"/>
      <c r="M218"/>
    </row>
    <row r="219" spans="3:13" ht="12.75" customHeight="1" x14ac:dyDescent="0.2">
      <c r="C219"/>
      <c r="M219"/>
    </row>
    <row r="220" spans="3:13" ht="12.75" customHeight="1" x14ac:dyDescent="0.2">
      <c r="C220"/>
      <c r="M220"/>
    </row>
    <row r="221" spans="3:13" ht="12.75" customHeight="1" x14ac:dyDescent="0.2">
      <c r="C221"/>
      <c r="M221"/>
    </row>
    <row r="222" spans="3:13" ht="12.75" customHeight="1" x14ac:dyDescent="0.2">
      <c r="C222"/>
      <c r="M222"/>
    </row>
    <row r="223" spans="3:13" ht="12.75" customHeight="1" x14ac:dyDescent="0.2">
      <c r="C223"/>
      <c r="M223"/>
    </row>
    <row r="224" spans="3:13" ht="12.75" customHeight="1" x14ac:dyDescent="0.2">
      <c r="C224"/>
      <c r="M224"/>
    </row>
    <row r="225" spans="3:13" ht="12.75" customHeight="1" x14ac:dyDescent="0.2">
      <c r="C225"/>
      <c r="M225"/>
    </row>
    <row r="226" spans="3:13" ht="12.75" customHeight="1" x14ac:dyDescent="0.2">
      <c r="C226"/>
      <c r="M226"/>
    </row>
    <row r="227" spans="3:13" ht="12.75" customHeight="1" x14ac:dyDescent="0.2">
      <c r="C227"/>
      <c r="M227"/>
    </row>
    <row r="228" spans="3:13" ht="12.75" customHeight="1" x14ac:dyDescent="0.2">
      <c r="C228"/>
      <c r="M228"/>
    </row>
    <row r="229" spans="3:13" ht="12.75" customHeight="1" x14ac:dyDescent="0.2">
      <c r="C229"/>
      <c r="M229"/>
    </row>
    <row r="230" spans="3:13" ht="12.75" customHeight="1" x14ac:dyDescent="0.2">
      <c r="C230"/>
      <c r="M230"/>
    </row>
    <row r="231" spans="3:13" ht="12.75" customHeight="1" x14ac:dyDescent="0.2">
      <c r="C231"/>
      <c r="M231"/>
    </row>
    <row r="232" spans="3:13" ht="12.75" customHeight="1" x14ac:dyDescent="0.2">
      <c r="C232"/>
      <c r="M232"/>
    </row>
    <row r="233" spans="3:13" ht="12.75" customHeight="1" x14ac:dyDescent="0.2">
      <c r="C233"/>
      <c r="M233"/>
    </row>
    <row r="234" spans="3:13" ht="12.75" customHeight="1" x14ac:dyDescent="0.2">
      <c r="C234"/>
      <c r="M234"/>
    </row>
    <row r="235" spans="3:13" ht="12.75" customHeight="1" x14ac:dyDescent="0.2">
      <c r="C235"/>
      <c r="M235"/>
    </row>
    <row r="236" spans="3:13" ht="12.75" customHeight="1" x14ac:dyDescent="0.2">
      <c r="C236"/>
      <c r="M236"/>
    </row>
    <row r="237" spans="3:13" ht="12.75" customHeight="1" x14ac:dyDescent="0.2">
      <c r="C237"/>
      <c r="M237"/>
    </row>
    <row r="238" spans="3:13" ht="12.75" customHeight="1" x14ac:dyDescent="0.2">
      <c r="C238"/>
      <c r="M238"/>
    </row>
    <row r="239" spans="3:13" ht="12.75" customHeight="1" x14ac:dyDescent="0.2">
      <c r="C239"/>
      <c r="M239"/>
    </row>
    <row r="240" spans="3:13" ht="12.75" customHeight="1" x14ac:dyDescent="0.2">
      <c r="C240"/>
      <c r="M240"/>
    </row>
    <row r="241" spans="3:13" ht="12.75" customHeight="1" x14ac:dyDescent="0.2">
      <c r="C241"/>
      <c r="M241"/>
    </row>
    <row r="242" spans="3:13" ht="12.75" customHeight="1" x14ac:dyDescent="0.2">
      <c r="C242"/>
      <c r="M242"/>
    </row>
    <row r="243" spans="3:13" ht="12.75" customHeight="1" x14ac:dyDescent="0.2">
      <c r="C243"/>
      <c r="M243"/>
    </row>
    <row r="244" spans="3:13" ht="12.75" customHeight="1" x14ac:dyDescent="0.2">
      <c r="C244"/>
      <c r="M244"/>
    </row>
    <row r="245" spans="3:13" ht="12.75" customHeight="1" x14ac:dyDescent="0.2">
      <c r="C245"/>
      <c r="M245"/>
    </row>
    <row r="246" spans="3:13" ht="12.75" customHeight="1" x14ac:dyDescent="0.2">
      <c r="C246"/>
      <c r="M246"/>
    </row>
    <row r="247" spans="3:13" ht="12.75" customHeight="1" x14ac:dyDescent="0.2">
      <c r="C247"/>
      <c r="M247"/>
    </row>
    <row r="248" spans="3:13" ht="12.75" customHeight="1" x14ac:dyDescent="0.2">
      <c r="C248"/>
      <c r="M248"/>
    </row>
    <row r="249" spans="3:13" ht="12.75" customHeight="1" x14ac:dyDescent="0.2">
      <c r="C249"/>
      <c r="M249"/>
    </row>
    <row r="250" spans="3:13" ht="12.75" customHeight="1" x14ac:dyDescent="0.2">
      <c r="C250"/>
      <c r="M250"/>
    </row>
    <row r="251" spans="3:13" ht="12.75" customHeight="1" x14ac:dyDescent="0.2">
      <c r="C251"/>
      <c r="M251"/>
    </row>
    <row r="252" spans="3:13" ht="12.75" customHeight="1" x14ac:dyDescent="0.2">
      <c r="C252"/>
      <c r="M252"/>
    </row>
    <row r="253" spans="3:13" ht="12.75" customHeight="1" x14ac:dyDescent="0.2">
      <c r="C253"/>
      <c r="M253"/>
    </row>
    <row r="254" spans="3:13" ht="12.75" customHeight="1" x14ac:dyDescent="0.2">
      <c r="C254"/>
      <c r="M254"/>
    </row>
    <row r="255" spans="3:13" ht="12.75" customHeight="1" x14ac:dyDescent="0.2">
      <c r="C255"/>
      <c r="M255"/>
    </row>
    <row r="256" spans="3:13" ht="12.75" customHeight="1" x14ac:dyDescent="0.2">
      <c r="C256"/>
      <c r="M256"/>
    </row>
    <row r="257" spans="3:13" ht="12.75" customHeight="1" x14ac:dyDescent="0.2">
      <c r="C257"/>
      <c r="M257"/>
    </row>
    <row r="258" spans="3:13" ht="12.75" customHeight="1" x14ac:dyDescent="0.2">
      <c r="C258"/>
      <c r="M258"/>
    </row>
    <row r="259" spans="3:13" ht="12.75" customHeight="1" x14ac:dyDescent="0.2">
      <c r="C259"/>
      <c r="M259"/>
    </row>
    <row r="260" spans="3:13" ht="12.75" customHeight="1" x14ac:dyDescent="0.2">
      <c r="C260"/>
      <c r="M260"/>
    </row>
    <row r="261" spans="3:13" ht="12.75" customHeight="1" x14ac:dyDescent="0.2">
      <c r="C261"/>
      <c r="M261"/>
    </row>
    <row r="262" spans="3:13" ht="12.75" customHeight="1" x14ac:dyDescent="0.2">
      <c r="C262"/>
      <c r="M262"/>
    </row>
    <row r="263" spans="3:13" ht="12.75" customHeight="1" x14ac:dyDescent="0.2">
      <c r="C263"/>
      <c r="M263"/>
    </row>
    <row r="264" spans="3:13" ht="12.75" customHeight="1" x14ac:dyDescent="0.2">
      <c r="C264"/>
      <c r="M264"/>
    </row>
    <row r="265" spans="3:13" ht="12.75" customHeight="1" x14ac:dyDescent="0.2">
      <c r="C265"/>
      <c r="M265"/>
    </row>
    <row r="266" spans="3:13" ht="12.75" customHeight="1" x14ac:dyDescent="0.2">
      <c r="C266"/>
      <c r="M266"/>
    </row>
    <row r="267" spans="3:13" ht="12.75" customHeight="1" x14ac:dyDescent="0.2">
      <c r="C267"/>
      <c r="M267"/>
    </row>
    <row r="268" spans="3:13" ht="12.75" customHeight="1" x14ac:dyDescent="0.2">
      <c r="C268"/>
      <c r="M268"/>
    </row>
    <row r="269" spans="3:13" ht="12.75" customHeight="1" x14ac:dyDescent="0.2">
      <c r="C269"/>
      <c r="M269"/>
    </row>
    <row r="270" spans="3:13" ht="12.75" customHeight="1" x14ac:dyDescent="0.2">
      <c r="C270"/>
      <c r="M270"/>
    </row>
    <row r="271" spans="3:13" ht="12.75" customHeight="1" x14ac:dyDescent="0.2">
      <c r="C271"/>
      <c r="M271"/>
    </row>
    <row r="272" spans="3:13" ht="12.75" customHeight="1" x14ac:dyDescent="0.2">
      <c r="C272"/>
      <c r="M272"/>
    </row>
    <row r="273" spans="3:13" ht="12.75" customHeight="1" x14ac:dyDescent="0.2">
      <c r="C273"/>
      <c r="M273"/>
    </row>
    <row r="274" spans="3:13" ht="12.75" customHeight="1" x14ac:dyDescent="0.2">
      <c r="C274"/>
      <c r="M274"/>
    </row>
    <row r="275" spans="3:13" ht="12.75" customHeight="1" x14ac:dyDescent="0.2">
      <c r="C275"/>
      <c r="M275"/>
    </row>
    <row r="276" spans="3:13" ht="12.75" customHeight="1" x14ac:dyDescent="0.2">
      <c r="C276"/>
      <c r="M276"/>
    </row>
    <row r="277" spans="3:13" ht="12.75" customHeight="1" x14ac:dyDescent="0.2">
      <c r="C277"/>
      <c r="M277"/>
    </row>
    <row r="278" spans="3:13" ht="12.75" customHeight="1" x14ac:dyDescent="0.2">
      <c r="C278"/>
      <c r="M278"/>
    </row>
    <row r="279" spans="3:13" ht="12.75" customHeight="1" x14ac:dyDescent="0.2">
      <c r="C279"/>
      <c r="M279"/>
    </row>
    <row r="280" spans="3:13" ht="12.75" customHeight="1" x14ac:dyDescent="0.2">
      <c r="C280"/>
      <c r="M280"/>
    </row>
    <row r="281" spans="3:13" ht="12.75" customHeight="1" x14ac:dyDescent="0.2">
      <c r="C281"/>
      <c r="M281"/>
    </row>
    <row r="282" spans="3:13" ht="12.75" customHeight="1" x14ac:dyDescent="0.2">
      <c r="C282"/>
      <c r="M282"/>
    </row>
    <row r="283" spans="3:13" ht="12.75" customHeight="1" x14ac:dyDescent="0.2">
      <c r="C283"/>
      <c r="M283"/>
    </row>
    <row r="284" spans="3:13" ht="12.75" customHeight="1" x14ac:dyDescent="0.2">
      <c r="C284"/>
      <c r="M284"/>
    </row>
    <row r="285" spans="3:13" ht="12.75" customHeight="1" x14ac:dyDescent="0.2">
      <c r="C285"/>
      <c r="M285"/>
    </row>
    <row r="286" spans="3:13" ht="12.75" customHeight="1" x14ac:dyDescent="0.2">
      <c r="C286"/>
      <c r="M286"/>
    </row>
    <row r="287" spans="3:13" ht="12.75" customHeight="1" x14ac:dyDescent="0.2">
      <c r="C287"/>
      <c r="M287"/>
    </row>
    <row r="288" spans="3:13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61032" spans="3:13" ht="12.75" customHeight="1" x14ac:dyDescent="0.2">
      <c r="C61032"/>
      <c r="M61032"/>
    </row>
    <row r="61048" spans="3:13" ht="12.75" customHeight="1" x14ac:dyDescent="0.2">
      <c r="C61048"/>
      <c r="M61048"/>
    </row>
    <row r="61064" spans="3:13" ht="12.75" customHeight="1" x14ac:dyDescent="0.2">
      <c r="C61064"/>
      <c r="M61064"/>
    </row>
    <row r="61080" spans="3:13" ht="12.75" customHeight="1" x14ac:dyDescent="0.2">
      <c r="C61080"/>
      <c r="M61080"/>
    </row>
    <row r="61093" spans="3:13" ht="12.75" customHeight="1" x14ac:dyDescent="0.2">
      <c r="C61093"/>
      <c r="M61093"/>
    </row>
    <row r="61094" spans="3:13" ht="12.75" customHeight="1" x14ac:dyDescent="0.2">
      <c r="C61094"/>
      <c r="M61094"/>
    </row>
    <row r="61096" spans="3:13" ht="12.75" customHeight="1" x14ac:dyDescent="0.2">
      <c r="C61096"/>
      <c r="M61096"/>
    </row>
    <row r="61107" spans="3:13" ht="12.75" customHeight="1" x14ac:dyDescent="0.2">
      <c r="C61107"/>
      <c r="M61107"/>
    </row>
    <row r="61108" spans="3:13" ht="12.75" customHeight="1" x14ac:dyDescent="0.2">
      <c r="C61108"/>
      <c r="M61108"/>
    </row>
    <row r="61109" spans="3:13" ht="12.75" customHeight="1" x14ac:dyDescent="0.2">
      <c r="C61109"/>
      <c r="M61109"/>
    </row>
    <row r="61110" spans="3:13" ht="12.75" customHeight="1" x14ac:dyDescent="0.2">
      <c r="C61110"/>
      <c r="M61110"/>
    </row>
    <row r="61112" spans="3:13" ht="12.75" customHeight="1" x14ac:dyDescent="0.2">
      <c r="C61112"/>
      <c r="M61112"/>
    </row>
    <row r="61123" spans="3:13" ht="12.75" customHeight="1" x14ac:dyDescent="0.2">
      <c r="C61123"/>
      <c r="M61123"/>
    </row>
    <row r="61124" spans="3:13" ht="12.75" customHeight="1" x14ac:dyDescent="0.2">
      <c r="C61124"/>
      <c r="M61124"/>
    </row>
    <row r="61125" spans="3:13" ht="12.75" customHeight="1" x14ac:dyDescent="0.2">
      <c r="C61125"/>
      <c r="M61125"/>
    </row>
    <row r="61126" spans="3:13" ht="12.75" customHeight="1" x14ac:dyDescent="0.2">
      <c r="C61126"/>
      <c r="M61126"/>
    </row>
    <row r="61128" spans="3:13" ht="12.75" customHeight="1" x14ac:dyDescent="0.2">
      <c r="C61128"/>
      <c r="M61128"/>
    </row>
    <row r="61139" spans="3:13" ht="12.75" customHeight="1" x14ac:dyDescent="0.2">
      <c r="C61139"/>
      <c r="M61139"/>
    </row>
    <row r="61140" spans="3:13" ht="12.75" customHeight="1" x14ac:dyDescent="0.2">
      <c r="C61140"/>
      <c r="M61140"/>
    </row>
    <row r="61141" spans="3:13" ht="12.75" customHeight="1" x14ac:dyDescent="0.2">
      <c r="C61141"/>
      <c r="M61141"/>
    </row>
    <row r="61142" spans="3:13" ht="12.75" customHeight="1" x14ac:dyDescent="0.2">
      <c r="C61142"/>
      <c r="M61142"/>
    </row>
    <row r="61144" spans="3:13" ht="12.75" customHeight="1" x14ac:dyDescent="0.2">
      <c r="C61144"/>
      <c r="M61144"/>
    </row>
    <row r="61155" spans="3:13" ht="12.75" customHeight="1" x14ac:dyDescent="0.2">
      <c r="C61155"/>
      <c r="M61155"/>
    </row>
    <row r="61156" spans="3:13" ht="12.75" customHeight="1" x14ac:dyDescent="0.2">
      <c r="C61156"/>
      <c r="M61156"/>
    </row>
    <row r="61157" spans="3:13" ht="12.75" customHeight="1" x14ac:dyDescent="0.2">
      <c r="C61157"/>
      <c r="M61157"/>
    </row>
    <row r="61158" spans="3:13" ht="12.75" customHeight="1" x14ac:dyDescent="0.2">
      <c r="C61158"/>
      <c r="M61158"/>
    </row>
    <row r="61160" spans="3:13" ht="12.75" customHeight="1" x14ac:dyDescent="0.2">
      <c r="C61160"/>
      <c r="M61160"/>
    </row>
    <row r="61171" spans="3:13" ht="12.75" customHeight="1" x14ac:dyDescent="0.2">
      <c r="C61171"/>
      <c r="M61171"/>
    </row>
    <row r="61172" spans="3:13" ht="12.75" customHeight="1" x14ac:dyDescent="0.2">
      <c r="C61172"/>
      <c r="M61172"/>
    </row>
    <row r="61173" spans="3:13" ht="12.75" customHeight="1" x14ac:dyDescent="0.2">
      <c r="C61173"/>
      <c r="M61173"/>
    </row>
    <row r="61174" spans="3:13" ht="12.75" customHeight="1" x14ac:dyDescent="0.2">
      <c r="C61174"/>
      <c r="M61174"/>
    </row>
    <row r="61176" spans="3:13" ht="12.75" customHeight="1" x14ac:dyDescent="0.2">
      <c r="C61176"/>
      <c r="M61176"/>
    </row>
    <row r="61187" spans="3:13" ht="12.75" customHeight="1" x14ac:dyDescent="0.2">
      <c r="C61187"/>
      <c r="M61187"/>
    </row>
    <row r="61188" spans="3:13" ht="12.75" customHeight="1" x14ac:dyDescent="0.2">
      <c r="C61188"/>
      <c r="M61188"/>
    </row>
    <row r="61189" spans="3:13" ht="12.75" customHeight="1" x14ac:dyDescent="0.2">
      <c r="C61189"/>
      <c r="M61189"/>
    </row>
    <row r="61190" spans="3:13" ht="12.75" customHeight="1" x14ac:dyDescent="0.2">
      <c r="C61190"/>
      <c r="M61190"/>
    </row>
    <row r="61192" spans="3:13" ht="12.75" customHeight="1" x14ac:dyDescent="0.2">
      <c r="C61192"/>
      <c r="M61192"/>
    </row>
    <row r="61203" spans="3:13" ht="12.75" customHeight="1" x14ac:dyDescent="0.2">
      <c r="C61203"/>
      <c r="M61203"/>
    </row>
    <row r="61204" spans="3:13" ht="12.75" customHeight="1" x14ac:dyDescent="0.2">
      <c r="C61204"/>
      <c r="M61204"/>
    </row>
    <row r="61205" spans="3:13" ht="12.75" customHeight="1" x14ac:dyDescent="0.2">
      <c r="C61205"/>
      <c r="M61205"/>
    </row>
    <row r="61206" spans="3:13" ht="12.75" customHeight="1" x14ac:dyDescent="0.2">
      <c r="C61206"/>
      <c r="M61206"/>
    </row>
    <row r="61208" spans="3:13" ht="12.75" customHeight="1" x14ac:dyDescent="0.2">
      <c r="C61208"/>
      <c r="M61208"/>
    </row>
    <row r="61219" spans="3:13" ht="12.75" customHeight="1" x14ac:dyDescent="0.2">
      <c r="C61219"/>
      <c r="M61219"/>
    </row>
    <row r="61220" spans="3:13" ht="12.75" customHeight="1" x14ac:dyDescent="0.2">
      <c r="C61220"/>
      <c r="M61220"/>
    </row>
    <row r="61221" spans="3:13" ht="12.75" customHeight="1" x14ac:dyDescent="0.2">
      <c r="C61221"/>
      <c r="M61221"/>
    </row>
    <row r="61222" spans="3:13" ht="12.75" customHeight="1" x14ac:dyDescent="0.2">
      <c r="C61222"/>
      <c r="M61222"/>
    </row>
    <row r="61224" spans="3:13" ht="12.75" customHeight="1" x14ac:dyDescent="0.2">
      <c r="C61224"/>
      <c r="M61224"/>
    </row>
    <row r="61232" spans="3:13" ht="12.75" customHeight="1" x14ac:dyDescent="0.2">
      <c r="C61232"/>
      <c r="M61232"/>
    </row>
    <row r="61235" spans="3:13" ht="12.75" customHeight="1" x14ac:dyDescent="0.2">
      <c r="C61235"/>
      <c r="M61235"/>
    </row>
    <row r="61236" spans="3:13" ht="12.75" customHeight="1" x14ac:dyDescent="0.2">
      <c r="C61236"/>
      <c r="M61236"/>
    </row>
    <row r="61237" spans="3:13" ht="12.75" customHeight="1" x14ac:dyDescent="0.2">
      <c r="C61237"/>
      <c r="M61237"/>
    </row>
    <row r="61238" spans="3:13" ht="12.75" customHeight="1" x14ac:dyDescent="0.2">
      <c r="C61238"/>
      <c r="M61238"/>
    </row>
    <row r="61240" spans="3:13" ht="12.75" customHeight="1" x14ac:dyDescent="0.2">
      <c r="C61240"/>
      <c r="M61240"/>
    </row>
    <row r="61248" spans="3:13" ht="12.75" customHeight="1" x14ac:dyDescent="0.2">
      <c r="C61248"/>
      <c r="M61248"/>
    </row>
    <row r="61251" spans="3:13" ht="12.75" customHeight="1" x14ac:dyDescent="0.2">
      <c r="C61251"/>
      <c r="M61251"/>
    </row>
    <row r="61252" spans="3:13" ht="12.75" customHeight="1" x14ac:dyDescent="0.2">
      <c r="C61252"/>
      <c r="M6125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6" spans="3:13" ht="12.75" customHeight="1" x14ac:dyDescent="0.2">
      <c r="C61256"/>
      <c r="M61256"/>
    </row>
    <row r="61264" spans="3:13" ht="12.75" customHeight="1" x14ac:dyDescent="0.2">
      <c r="C61264"/>
      <c r="M61264"/>
    </row>
    <row r="61265" spans="3:13" ht="12.75" customHeight="1" x14ac:dyDescent="0.2">
      <c r="C61265"/>
      <c r="M61265"/>
    </row>
    <row r="61267" spans="3:13" ht="12.75" customHeight="1" x14ac:dyDescent="0.2">
      <c r="C61267"/>
      <c r="M61267"/>
    </row>
    <row r="61268" spans="3:13" ht="12.75" customHeight="1" x14ac:dyDescent="0.2">
      <c r="C61268"/>
      <c r="M6126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2" spans="3:13" ht="12.75" customHeight="1" x14ac:dyDescent="0.2">
      <c r="C61272"/>
      <c r="M61272"/>
    </row>
    <row r="61280" spans="3:13" ht="12.75" customHeight="1" x14ac:dyDescent="0.2">
      <c r="C61280"/>
      <c r="M61280"/>
    </row>
    <row r="61281" spans="3:13" ht="12.75" customHeight="1" x14ac:dyDescent="0.2">
      <c r="C61281"/>
      <c r="M61281"/>
    </row>
    <row r="61282" spans="3:13" ht="12.75" customHeight="1" x14ac:dyDescent="0.2">
      <c r="C61282"/>
      <c r="M61282"/>
    </row>
    <row r="61283" spans="3:13" ht="12.75" customHeight="1" x14ac:dyDescent="0.2">
      <c r="C61283"/>
      <c r="M61283"/>
    </row>
    <row r="61284" spans="3:13" ht="12.75" customHeight="1" x14ac:dyDescent="0.2">
      <c r="C61284"/>
      <c r="M6128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8" spans="3:13" ht="12.75" customHeight="1" x14ac:dyDescent="0.2">
      <c r="C61288"/>
      <c r="M61288"/>
    </row>
    <row r="61296" spans="3:13" ht="12.75" customHeight="1" x14ac:dyDescent="0.2">
      <c r="C61296"/>
      <c r="M61296"/>
    </row>
    <row r="61297" spans="3:13" ht="12.75" customHeight="1" x14ac:dyDescent="0.2">
      <c r="C61297"/>
      <c r="M61297"/>
    </row>
    <row r="61298" spans="3:13" ht="12.75" customHeight="1" x14ac:dyDescent="0.2">
      <c r="C61298"/>
      <c r="M61298"/>
    </row>
    <row r="61299" spans="3:13" ht="12.75" customHeight="1" x14ac:dyDescent="0.2">
      <c r="C61299"/>
      <c r="M61299"/>
    </row>
    <row r="61300" spans="3:13" ht="12.75" customHeight="1" x14ac:dyDescent="0.2">
      <c r="C61300"/>
      <c r="M6130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4" spans="3:13" ht="12.75" customHeight="1" x14ac:dyDescent="0.2">
      <c r="C61304"/>
      <c r="M61304"/>
    </row>
    <row r="61310" spans="3:13" ht="12.75" customHeight="1" x14ac:dyDescent="0.2">
      <c r="C61310"/>
      <c r="M61310"/>
    </row>
    <row r="61311" spans="3:13" ht="12.75" customHeight="1" x14ac:dyDescent="0.2">
      <c r="C61311"/>
      <c r="M61311"/>
    </row>
    <row r="61312" spans="3:13" ht="12.75" customHeight="1" x14ac:dyDescent="0.2">
      <c r="C61312"/>
      <c r="M61312"/>
    </row>
    <row r="61313" spans="3:13" ht="12.75" customHeight="1" x14ac:dyDescent="0.2">
      <c r="C61313"/>
      <c r="M61313"/>
    </row>
    <row r="61314" spans="3:13" ht="12.75" customHeight="1" x14ac:dyDescent="0.2">
      <c r="C61314"/>
      <c r="M61314"/>
    </row>
    <row r="61315" spans="3:13" ht="12.75" customHeight="1" x14ac:dyDescent="0.2">
      <c r="C61315"/>
      <c r="M61315"/>
    </row>
    <row r="61316" spans="3:13" ht="12.75" customHeight="1" x14ac:dyDescent="0.2">
      <c r="C61316"/>
      <c r="M6131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1" spans="3:13" ht="12.75" customHeight="1" x14ac:dyDescent="0.2">
      <c r="C61321"/>
      <c r="M61321"/>
    </row>
    <row r="61326" spans="3:13" ht="12.75" customHeight="1" x14ac:dyDescent="0.2">
      <c r="C61326"/>
      <c r="M61326"/>
    </row>
    <row r="61327" spans="3:13" ht="12.75" customHeight="1" x14ac:dyDescent="0.2">
      <c r="C61327"/>
      <c r="M61327"/>
    </row>
    <row r="61328" spans="3:13" ht="12.75" customHeight="1" x14ac:dyDescent="0.2">
      <c r="C61328"/>
      <c r="M61328"/>
    </row>
    <row r="61329" spans="3:13" ht="12.75" customHeight="1" x14ac:dyDescent="0.2">
      <c r="C61329"/>
      <c r="M61329"/>
    </row>
    <row r="61330" spans="3:13" ht="12.75" customHeight="1" x14ac:dyDescent="0.2">
      <c r="C61330"/>
      <c r="M61330"/>
    </row>
    <row r="61331" spans="3:13" ht="12.75" customHeight="1" x14ac:dyDescent="0.2">
      <c r="C61331"/>
      <c r="M61331"/>
    </row>
    <row r="61332" spans="3:13" ht="12.75" customHeight="1" x14ac:dyDescent="0.2">
      <c r="C61332"/>
      <c r="M6133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7" spans="3:13" ht="12.75" customHeight="1" x14ac:dyDescent="0.2">
      <c r="C61337"/>
      <c r="M61337"/>
    </row>
    <row r="61342" spans="3:13" ht="12.75" customHeight="1" x14ac:dyDescent="0.2">
      <c r="C61342"/>
      <c r="M61342"/>
    </row>
    <row r="61343" spans="3:13" ht="12.75" customHeight="1" x14ac:dyDescent="0.2">
      <c r="C61343"/>
      <c r="M61343"/>
    </row>
    <row r="61344" spans="3:13" ht="12.75" customHeight="1" x14ac:dyDescent="0.2">
      <c r="C61344"/>
      <c r="M61344"/>
    </row>
    <row r="61345" spans="3:13" ht="12.75" customHeight="1" x14ac:dyDescent="0.2">
      <c r="C61345"/>
      <c r="M61345"/>
    </row>
    <row r="61346" spans="3:13" ht="12.75" customHeight="1" x14ac:dyDescent="0.2">
      <c r="C61346"/>
      <c r="M61346"/>
    </row>
    <row r="61347" spans="3:13" ht="12.75" customHeight="1" x14ac:dyDescent="0.2">
      <c r="C61347"/>
      <c r="M61347"/>
    </row>
    <row r="61348" spans="3:13" ht="12.75" customHeight="1" x14ac:dyDescent="0.2">
      <c r="C61348"/>
      <c r="M6134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3" spans="3:13" ht="12.75" customHeight="1" x14ac:dyDescent="0.2">
      <c r="C61353"/>
      <c r="M61353"/>
    </row>
    <row r="61358" spans="3:13" ht="12.75" customHeight="1" x14ac:dyDescent="0.2">
      <c r="C61358"/>
      <c r="M61358"/>
    </row>
    <row r="61359" spans="3:13" ht="12.75" customHeight="1" x14ac:dyDescent="0.2">
      <c r="C61359"/>
      <c r="M61359"/>
    </row>
    <row r="61360" spans="3:13" ht="12.75" customHeight="1" x14ac:dyDescent="0.2">
      <c r="C61360"/>
      <c r="M61360"/>
    </row>
    <row r="61361" spans="3:13" ht="12.75" customHeight="1" x14ac:dyDescent="0.2">
      <c r="C61361"/>
      <c r="M61361"/>
    </row>
    <row r="61362" spans="3:13" ht="12.75" customHeight="1" x14ac:dyDescent="0.2">
      <c r="C61362"/>
      <c r="M61362"/>
    </row>
    <row r="61363" spans="3:13" ht="12.75" customHeight="1" x14ac:dyDescent="0.2">
      <c r="C61363"/>
      <c r="M61363"/>
    </row>
    <row r="61364" spans="3:13" ht="12.75" customHeight="1" x14ac:dyDescent="0.2">
      <c r="C61364"/>
      <c r="M6136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69" spans="3:13" ht="12.75" customHeight="1" x14ac:dyDescent="0.2">
      <c r="C61369"/>
      <c r="M61369"/>
    </row>
    <row r="61373" spans="3:13" ht="12.75" customHeight="1" x14ac:dyDescent="0.2">
      <c r="C61373"/>
      <c r="M61373"/>
    </row>
    <row r="61374" spans="3:13" ht="12.75" customHeight="1" x14ac:dyDescent="0.2">
      <c r="C61374"/>
      <c r="M61374"/>
    </row>
    <row r="61375" spans="3:13" ht="12.75" customHeight="1" x14ac:dyDescent="0.2">
      <c r="C61375"/>
      <c r="M61375"/>
    </row>
    <row r="61376" spans="3:13" ht="12.75" customHeight="1" x14ac:dyDescent="0.2">
      <c r="C61376"/>
      <c r="M61376"/>
    </row>
    <row r="61377" spans="3:13" ht="12.75" customHeight="1" x14ac:dyDescent="0.2">
      <c r="C61377"/>
      <c r="M61377"/>
    </row>
    <row r="61378" spans="3:13" ht="12.75" customHeight="1" x14ac:dyDescent="0.2">
      <c r="C61378"/>
      <c r="M61378"/>
    </row>
    <row r="61379" spans="3:13" ht="12.75" customHeight="1" x14ac:dyDescent="0.2">
      <c r="C61379"/>
      <c r="M61379"/>
    </row>
    <row r="61380" spans="3:13" ht="12.75" customHeight="1" x14ac:dyDescent="0.2">
      <c r="C61380"/>
      <c r="M61380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5" spans="3:13" ht="12.75" customHeight="1" x14ac:dyDescent="0.2">
      <c r="C61385"/>
      <c r="M61385"/>
    </row>
    <row r="61389" spans="3:13" ht="12.75" customHeight="1" x14ac:dyDescent="0.2">
      <c r="C61389"/>
      <c r="M61389"/>
    </row>
    <row r="61390" spans="3:13" ht="12.75" customHeight="1" x14ac:dyDescent="0.2">
      <c r="C61390"/>
      <c r="M61390"/>
    </row>
    <row r="61391" spans="3:13" ht="12.75" customHeight="1" x14ac:dyDescent="0.2">
      <c r="C61391"/>
      <c r="M61391"/>
    </row>
    <row r="61392" spans="3:13" ht="12.75" customHeight="1" x14ac:dyDescent="0.2">
      <c r="C61392"/>
      <c r="M61392"/>
    </row>
    <row r="61393" spans="3:13" ht="12.75" customHeight="1" x14ac:dyDescent="0.2">
      <c r="C61393"/>
      <c r="M61393"/>
    </row>
    <row r="61394" spans="3:13" ht="12.75" customHeight="1" x14ac:dyDescent="0.2">
      <c r="C61394"/>
      <c r="M61394"/>
    </row>
    <row r="61395" spans="3:13" ht="12.75" customHeight="1" x14ac:dyDescent="0.2">
      <c r="C61395"/>
      <c r="M61395"/>
    </row>
    <row r="61396" spans="3:13" ht="12.75" customHeight="1" x14ac:dyDescent="0.2">
      <c r="C61396"/>
      <c r="M61396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1" spans="3:13" ht="12.75" customHeight="1" x14ac:dyDescent="0.2">
      <c r="C61401"/>
      <c r="M61401"/>
    </row>
    <row r="61405" spans="3:13" ht="12.75" customHeight="1" x14ac:dyDescent="0.2">
      <c r="C61405"/>
      <c r="M61405"/>
    </row>
    <row r="61406" spans="3:13" ht="12.75" customHeight="1" x14ac:dyDescent="0.2">
      <c r="C61406"/>
      <c r="M61406"/>
    </row>
    <row r="61407" spans="3:13" ht="12.75" customHeight="1" x14ac:dyDescent="0.2">
      <c r="C61407"/>
      <c r="M61407"/>
    </row>
    <row r="61408" spans="3:13" ht="12.75" customHeight="1" x14ac:dyDescent="0.2">
      <c r="C61408"/>
      <c r="M61408"/>
    </row>
    <row r="61409" spans="3:13" ht="12.75" customHeight="1" x14ac:dyDescent="0.2">
      <c r="C61409"/>
      <c r="M61409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2" spans="3:13" ht="12.75" customHeight="1" x14ac:dyDescent="0.2">
      <c r="C61412"/>
      <c r="M61412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7" spans="3:13" ht="12.75" customHeight="1" x14ac:dyDescent="0.2">
      <c r="C61417"/>
      <c r="M61417"/>
    </row>
    <row r="61421" spans="3:13" ht="12.75" customHeight="1" x14ac:dyDescent="0.2">
      <c r="C61421"/>
      <c r="M61421"/>
    </row>
    <row r="61422" spans="3:13" ht="12.75" customHeight="1" x14ac:dyDescent="0.2">
      <c r="C61422"/>
      <c r="M61422"/>
    </row>
    <row r="61423" spans="3:13" ht="12.75" customHeight="1" x14ac:dyDescent="0.2">
      <c r="C61423"/>
      <c r="M61423"/>
    </row>
    <row r="61424" spans="3:13" ht="12.75" customHeight="1" x14ac:dyDescent="0.2">
      <c r="C61424"/>
      <c r="M61424"/>
    </row>
    <row r="61425" spans="3:13" ht="12.75" customHeight="1" x14ac:dyDescent="0.2">
      <c r="C61425"/>
      <c r="M61425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3" spans="3:13" ht="12.75" customHeight="1" x14ac:dyDescent="0.2">
      <c r="C61433"/>
      <c r="M61433"/>
    </row>
    <row r="61437" spans="3:13" ht="12.75" customHeight="1" x14ac:dyDescent="0.2">
      <c r="C61437"/>
      <c r="M61437"/>
    </row>
    <row r="61438" spans="3:13" ht="12.75" customHeight="1" x14ac:dyDescent="0.2">
      <c r="C61438"/>
      <c r="M61438"/>
    </row>
    <row r="61439" spans="3:13" ht="12.75" customHeight="1" x14ac:dyDescent="0.2">
      <c r="C61439"/>
      <c r="M61439"/>
    </row>
    <row r="61440" spans="3:13" ht="12.75" customHeight="1" x14ac:dyDescent="0.2">
      <c r="C61440"/>
      <c r="M61440"/>
    </row>
    <row r="61441" spans="3:13" ht="12.75" customHeight="1" x14ac:dyDescent="0.2">
      <c r="C61441"/>
      <c r="M61441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49" spans="3:13" ht="12.75" customHeight="1" x14ac:dyDescent="0.2">
      <c r="C61449"/>
      <c r="M61449"/>
    </row>
    <row r="61453" spans="3:13" ht="12.75" customHeight="1" x14ac:dyDescent="0.2">
      <c r="C61453"/>
      <c r="M61453"/>
    </row>
    <row r="61454" spans="3:13" ht="12.75" customHeight="1" x14ac:dyDescent="0.2">
      <c r="C61454"/>
      <c r="M61454"/>
    </row>
    <row r="61455" spans="3:13" ht="12.75" customHeight="1" x14ac:dyDescent="0.2">
      <c r="C61455"/>
      <c r="M61455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9" spans="3:13" ht="12.75" customHeight="1" x14ac:dyDescent="0.2">
      <c r="C61469"/>
      <c r="M61469"/>
    </row>
    <row r="61470" spans="3:13" ht="12.75" customHeight="1" x14ac:dyDescent="0.2">
      <c r="C61470"/>
      <c r="M61470"/>
    </row>
    <row r="61471" spans="3:13" ht="12.75" customHeight="1" x14ac:dyDescent="0.2">
      <c r="C61471"/>
      <c r="M61471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5" spans="3:13" ht="12.75" customHeight="1" x14ac:dyDescent="0.2">
      <c r="C61485"/>
      <c r="M61485"/>
    </row>
    <row r="61486" spans="3:13" ht="12.75" customHeight="1" x14ac:dyDescent="0.2">
      <c r="C61486"/>
      <c r="M61486"/>
    </row>
    <row r="61487" spans="3:13" ht="12.75" customHeight="1" x14ac:dyDescent="0.2">
      <c r="C61487"/>
      <c r="M61487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501" spans="3:13" ht="12.75" customHeight="1" x14ac:dyDescent="0.2">
      <c r="C61501"/>
      <c r="M61501"/>
    </row>
    <row r="61502" spans="3:13" ht="12.75" customHeight="1" x14ac:dyDescent="0.2">
      <c r="C61502"/>
      <c r="M61502"/>
    </row>
    <row r="61503" spans="3:13" ht="12.75" customHeight="1" x14ac:dyDescent="0.2">
      <c r="C61503"/>
      <c r="M61503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7" spans="3:13" ht="12.75" customHeight="1" x14ac:dyDescent="0.2">
      <c r="C61517"/>
      <c r="M61517"/>
    </row>
    <row r="61518" spans="3:13" ht="12.75" customHeight="1" x14ac:dyDescent="0.2">
      <c r="C61518"/>
      <c r="M61518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3" spans="3:13" ht="12.75" customHeight="1" x14ac:dyDescent="0.2">
      <c r="C61533"/>
      <c r="M61533"/>
    </row>
    <row r="61534" spans="3:13" ht="12.75" customHeight="1" x14ac:dyDescent="0.2">
      <c r="C61534"/>
      <c r="M61534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48" spans="3:13" ht="12.75" customHeight="1" x14ac:dyDescent="0.2">
      <c r="C61548"/>
      <c r="M61548"/>
    </row>
    <row r="61549" spans="3:13" ht="12.75" customHeight="1" x14ac:dyDescent="0.2">
      <c r="C61549"/>
      <c r="M61549"/>
    </row>
    <row r="61550" spans="3:13" ht="12.75" customHeight="1" x14ac:dyDescent="0.2">
      <c r="C61550"/>
      <c r="M61550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4" spans="3:13" ht="12.75" customHeight="1" x14ac:dyDescent="0.2">
      <c r="C61564"/>
      <c r="M61564"/>
    </row>
    <row r="61565" spans="3:13" ht="12.75" customHeight="1" x14ac:dyDescent="0.2">
      <c r="C61565"/>
      <c r="M61565"/>
    </row>
    <row r="61566" spans="3:13" ht="12.75" customHeight="1" x14ac:dyDescent="0.2">
      <c r="C61566"/>
      <c r="M61566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0" spans="3:13" ht="12.75" customHeight="1" x14ac:dyDescent="0.2">
      <c r="C61580"/>
      <c r="M61580"/>
    </row>
    <row r="61581" spans="3:13" ht="12.75" customHeight="1" x14ac:dyDescent="0.2">
      <c r="C61581"/>
      <c r="M61581"/>
    </row>
    <row r="61582" spans="3:13" ht="12.75" customHeight="1" x14ac:dyDescent="0.2">
      <c r="C61582"/>
      <c r="M61582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6" spans="3:13" ht="12.75" customHeight="1" x14ac:dyDescent="0.2">
      <c r="C61596"/>
      <c r="M61596"/>
    </row>
    <row r="61597" spans="3:13" ht="12.75" customHeight="1" x14ac:dyDescent="0.2">
      <c r="C61597"/>
      <c r="M61597"/>
    </row>
    <row r="61598" spans="3:13" ht="12.75" customHeight="1" x14ac:dyDescent="0.2">
      <c r="C61598"/>
      <c r="M61598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2" spans="3:13" ht="12.75" customHeight="1" x14ac:dyDescent="0.2">
      <c r="C61612"/>
      <c r="M61612"/>
    </row>
    <row r="61613" spans="3:13" ht="12.75" customHeight="1" x14ac:dyDescent="0.2">
      <c r="C61613"/>
      <c r="M61613"/>
    </row>
    <row r="61614" spans="3:13" ht="12.75" customHeight="1" x14ac:dyDescent="0.2">
      <c r="C61614"/>
      <c r="M61614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28" spans="3:13" ht="12.75" customHeight="1" x14ac:dyDescent="0.2">
      <c r="C61628"/>
      <c r="M61628"/>
    </row>
    <row r="61629" spans="3:13" ht="12.75" customHeight="1" x14ac:dyDescent="0.2">
      <c r="C61629"/>
      <c r="M61629"/>
    </row>
    <row r="61630" spans="3:13" ht="12.75" customHeight="1" x14ac:dyDescent="0.2">
      <c r="C61630"/>
      <c r="M61630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5" spans="3:13" ht="12.75" customHeight="1" x14ac:dyDescent="0.2">
      <c r="C61645"/>
      <c r="M61645"/>
    </row>
    <row r="61646" spans="3:13" ht="12.75" customHeight="1" x14ac:dyDescent="0.2">
      <c r="C61646"/>
      <c r="M61646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1" spans="3:13" ht="12.75" customHeight="1" x14ac:dyDescent="0.2">
      <c r="C61661"/>
      <c r="M61661"/>
    </row>
    <row r="61662" spans="3:13" ht="12.75" customHeight="1" x14ac:dyDescent="0.2">
      <c r="C61662"/>
      <c r="M61662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8" spans="3:13" ht="12.75" customHeight="1" x14ac:dyDescent="0.2">
      <c r="C61678"/>
      <c r="M61678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</sheetData>
  <sheetProtection algorithmName="SHA-512" hashValue="dBtpZHTktWN4ANuwq0oUodF583b68+egl+AQnfqHX2zp5Pe+UAoh6eYj5Iv8AVAVW/bcMd6VasoqDC7zkYciDQ==" saltValue="V9yBeDOekks7yNMZDO3OsQ==" spinCount="100000" sheet="1" objects="1" scenarios="1" autoFilter="0"/>
  <autoFilter ref="C15:C120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8" type="noConversion"/>
  <conditionalFormatting sqref="D14:I14 D16:I19 D25:I29 D45:I49 D37:I41 D51:I119">
    <cfRule type="expression" dxfId="290" priority="5472" stopIfTrue="1">
      <formula>$B14=1</formula>
    </cfRule>
    <cfRule type="expression" dxfId="289" priority="5473" stopIfTrue="1">
      <formula>OR($B14=0,$B14=2,$B14=3,$B14=4)</formula>
    </cfRule>
  </conditionalFormatting>
  <conditionalFormatting sqref="M12:N19 M25:N29 M45:N49 M37:N41 M51:N120">
    <cfRule type="expression" dxfId="288" priority="5474" stopIfTrue="1">
      <formula>ACOMPANHAMENTO="BM"</formula>
    </cfRule>
    <cfRule type="expression" dxfId="287" priority="5475" stopIfTrue="1">
      <formula>OR($B12=0,$B12=2,$B12=3,$B12=4)</formula>
    </cfRule>
    <cfRule type="expression" dxfId="286" priority="5476" stopIfTrue="1">
      <formula>$B12=1</formula>
    </cfRule>
  </conditionalFormatting>
  <conditionalFormatting sqref="K12:K120">
    <cfRule type="expression" dxfId="285" priority="5477" stopIfTrue="1">
      <formula>OR(ACOMPANHAMENTO="BM",$A$12&lt;&gt;"Manual")</formula>
    </cfRule>
    <cfRule type="expression" dxfId="284" priority="5478" stopIfTrue="1">
      <formula>$B12=1</formula>
    </cfRule>
    <cfRule type="expression" dxfId="283" priority="5479" stopIfTrue="1">
      <formula>OR($B12=2,$B12=3,$B12=4,$B12=0)</formula>
    </cfRule>
  </conditionalFormatting>
  <conditionalFormatting sqref="O12:AA120">
    <cfRule type="expression" dxfId="282" priority="5480" stopIfTrue="1">
      <formula>ACOMPANHAMENTO="BM"</formula>
    </cfRule>
    <cfRule type="expression" dxfId="281" priority="5481" stopIfTrue="1">
      <formula>AND(O$12&lt;&gt;".",OR($B12=0,$B12=2,$B12=3,$B12=4,AND(O$12="",$B12&lt;&gt;"Empty"),OFFSET(O$12,0,-1)=""))</formula>
    </cfRule>
    <cfRule type="expression" dxfId="280" priority="5482" stopIfTrue="1">
      <formula>AND($B12=1,O$12&lt;&gt;".")</formula>
    </cfRule>
  </conditionalFormatting>
  <conditionalFormatting sqref="D20:I20 D30:I30">
    <cfRule type="expression" dxfId="279" priority="456" stopIfTrue="1">
      <formula>$B20=1</formula>
    </cfRule>
    <cfRule type="expression" dxfId="278" priority="457" stopIfTrue="1">
      <formula>OR($B20=0,$B20=2,$B20=3,$B20=4)</formula>
    </cfRule>
  </conditionalFormatting>
  <conditionalFormatting sqref="M20:N20 M30:N30">
    <cfRule type="expression" dxfId="277" priority="458" stopIfTrue="1">
      <formula>ACOMPANHAMENTO="BM"</formula>
    </cfRule>
    <cfRule type="expression" dxfId="276" priority="459" stopIfTrue="1">
      <formula>OR($B20=0,$B20=2,$B20=3,$B20=4)</formula>
    </cfRule>
    <cfRule type="expression" dxfId="275" priority="460" stopIfTrue="1">
      <formula>$B20=1</formula>
    </cfRule>
  </conditionalFormatting>
  <conditionalFormatting sqref="D31:I31 D50:I50">
    <cfRule type="expression" dxfId="274" priority="445" stopIfTrue="1">
      <formula>$B31=1</formula>
    </cfRule>
    <cfRule type="expression" dxfId="273" priority="446" stopIfTrue="1">
      <formula>OR($B31=0,$B31=2,$B31=3,$B31=4)</formula>
    </cfRule>
  </conditionalFormatting>
  <conditionalFormatting sqref="M31:N31 M50:N50">
    <cfRule type="expression" dxfId="272" priority="447" stopIfTrue="1">
      <formula>ACOMPANHAMENTO="BM"</formula>
    </cfRule>
    <cfRule type="expression" dxfId="271" priority="448" stopIfTrue="1">
      <formula>OR($B31=0,$B31=2,$B31=3,$B31=4)</formula>
    </cfRule>
    <cfRule type="expression" dxfId="270" priority="449" stopIfTrue="1">
      <formula>$B31=1</formula>
    </cfRule>
  </conditionalFormatting>
  <conditionalFormatting sqref="D42:I42">
    <cfRule type="expression" dxfId="269" priority="82" stopIfTrue="1">
      <formula>$B42=1</formula>
    </cfRule>
    <cfRule type="expression" dxfId="268" priority="83" stopIfTrue="1">
      <formula>OR($B42=0,$B42=2,$B42=3,$B42=4)</formula>
    </cfRule>
  </conditionalFormatting>
  <conditionalFormatting sqref="M42:N42">
    <cfRule type="expression" dxfId="267" priority="84" stopIfTrue="1">
      <formula>ACOMPANHAMENTO="BM"</formula>
    </cfRule>
    <cfRule type="expression" dxfId="266" priority="85" stopIfTrue="1">
      <formula>OR($B42=0,$B42=2,$B42=3,$B42=4)</formula>
    </cfRule>
    <cfRule type="expression" dxfId="265" priority="86" stopIfTrue="1">
      <formula>$B42=1</formula>
    </cfRule>
  </conditionalFormatting>
  <conditionalFormatting sqref="D43:I44">
    <cfRule type="expression" dxfId="264" priority="71" stopIfTrue="1">
      <formula>$B43=1</formula>
    </cfRule>
    <cfRule type="expression" dxfId="263" priority="72" stopIfTrue="1">
      <formula>OR($B43=0,$B43=2,$B43=3,$B43=4)</formula>
    </cfRule>
  </conditionalFormatting>
  <conditionalFormatting sqref="M43:N44">
    <cfRule type="expression" dxfId="262" priority="73" stopIfTrue="1">
      <formula>ACOMPANHAMENTO="BM"</formula>
    </cfRule>
    <cfRule type="expression" dxfId="261" priority="74" stopIfTrue="1">
      <formula>OR($B43=0,$B43=2,$B43=3,$B43=4)</formula>
    </cfRule>
    <cfRule type="expression" dxfId="260" priority="75" stopIfTrue="1">
      <formula>$B43=1</formula>
    </cfRule>
  </conditionalFormatting>
  <conditionalFormatting sqref="D22:I22">
    <cfRule type="expression" dxfId="259" priority="38" stopIfTrue="1">
      <formula>$B22=1</formula>
    </cfRule>
    <cfRule type="expression" dxfId="258" priority="39" stopIfTrue="1">
      <formula>OR($B22=0,$B22=2,$B22=3,$B22=4)</formula>
    </cfRule>
  </conditionalFormatting>
  <conditionalFormatting sqref="M22:N22">
    <cfRule type="expression" dxfId="257" priority="40" stopIfTrue="1">
      <formula>ACOMPANHAMENTO="BM"</formula>
    </cfRule>
    <cfRule type="expression" dxfId="256" priority="41" stopIfTrue="1">
      <formula>OR($B22=0,$B22=2,$B22=3,$B22=4)</formula>
    </cfRule>
    <cfRule type="expression" dxfId="255" priority="42" stopIfTrue="1">
      <formula>$B22=1</formula>
    </cfRule>
  </conditionalFormatting>
  <conditionalFormatting sqref="D21:I21">
    <cfRule type="expression" dxfId="254" priority="27" stopIfTrue="1">
      <formula>$B21=1</formula>
    </cfRule>
    <cfRule type="expression" dxfId="253" priority="28" stopIfTrue="1">
      <formula>OR($B21=0,$B21=2,$B21=3,$B21=4)</formula>
    </cfRule>
  </conditionalFormatting>
  <conditionalFormatting sqref="M21:N21">
    <cfRule type="expression" dxfId="252" priority="29" stopIfTrue="1">
      <formula>ACOMPANHAMENTO="BM"</formula>
    </cfRule>
    <cfRule type="expression" dxfId="251" priority="30" stopIfTrue="1">
      <formula>OR($B21=0,$B21=2,$B21=3,$B21=4)</formula>
    </cfRule>
    <cfRule type="expression" dxfId="250" priority="31" stopIfTrue="1">
      <formula>$B21=1</formula>
    </cfRule>
  </conditionalFormatting>
  <conditionalFormatting sqref="D23:I24">
    <cfRule type="expression" dxfId="249" priority="16" stopIfTrue="1">
      <formula>$B23=1</formula>
    </cfRule>
    <cfRule type="expression" dxfId="248" priority="17" stopIfTrue="1">
      <formula>OR($B23=0,$B23=2,$B23=3,$B23=4)</formula>
    </cfRule>
  </conditionalFormatting>
  <conditionalFormatting sqref="M23:N24">
    <cfRule type="expression" dxfId="247" priority="18" stopIfTrue="1">
      <formula>ACOMPANHAMENTO="BM"</formula>
    </cfRule>
    <cfRule type="expression" dxfId="246" priority="19" stopIfTrue="1">
      <formula>OR($B23=0,$B23=2,$B23=3,$B23=4)</formula>
    </cfRule>
    <cfRule type="expression" dxfId="245" priority="20" stopIfTrue="1">
      <formula>$B23=1</formula>
    </cfRule>
  </conditionalFormatting>
  <conditionalFormatting sqref="D32:I36">
    <cfRule type="expression" dxfId="244" priority="11" stopIfTrue="1">
      <formula>$B32=1</formula>
    </cfRule>
    <cfRule type="expression" dxfId="243" priority="12" stopIfTrue="1">
      <formula>OR($B32=0,$B32=2,$B32=3,$B32=4)</formula>
    </cfRule>
  </conditionalFormatting>
  <conditionalFormatting sqref="M32:N36">
    <cfRule type="expression" dxfId="242" priority="13" stopIfTrue="1">
      <formula>ACOMPANHAMENTO="BM"</formula>
    </cfRule>
    <cfRule type="expression" dxfId="241" priority="14" stopIfTrue="1">
      <formula>OR($B32=0,$B32=2,$B32=3,$B32=4)</formula>
    </cfRule>
    <cfRule type="expression" dxfId="240" priority="15" stopIfTrue="1">
      <formula>$B32=1</formula>
    </cfRule>
  </conditionalFormatting>
  <dataValidations count="4">
    <dataValidation type="decimal" operator="greaterThan" allowBlank="1" showErrorMessage="1" error="Apenas números decimais maiores que zero." sqref="O14 Q14:Z14 O16:O119 Q16:Z119">
      <formula1>0</formula1>
      <formula2>0</formula2>
    </dataValidation>
    <dataValidation type="list" allowBlank="1" showErrorMessage="1" sqref="K14 K16:K119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119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&amp;LPMv3.0.6&amp;R&amp;P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80" t="s">
        <v>264</v>
      </c>
    </row>
    <row r="4" spans="2:6" x14ac:dyDescent="0.2">
      <c r="C4" t="s">
        <v>265</v>
      </c>
    </row>
    <row r="6" spans="2:6" x14ac:dyDescent="0.2">
      <c r="C6" s="628" t="s">
        <v>408</v>
      </c>
      <c r="D6" s="628"/>
      <c r="E6" s="628"/>
      <c r="F6" s="628"/>
    </row>
    <row r="8" spans="2:6" ht="33.75" customHeight="1" x14ac:dyDescent="0.2"/>
    <row r="9" spans="2:6" ht="12" customHeight="1" x14ac:dyDescent="0.2">
      <c r="C9" s="629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629"/>
      <c r="E9" s="629"/>
      <c r="F9" s="629"/>
    </row>
    <row r="10" spans="2:6" ht="12" customHeight="1" x14ac:dyDescent="0.2">
      <c r="C10" s="629"/>
      <c r="D10" s="629"/>
      <c r="E10" s="629"/>
      <c r="F10" s="629"/>
    </row>
    <row r="11" spans="2:6" ht="12" customHeight="1" x14ac:dyDescent="0.2">
      <c r="C11" s="629"/>
      <c r="D11" s="629"/>
      <c r="E11" s="629"/>
      <c r="F11" s="629"/>
    </row>
    <row r="12" spans="2:6" ht="12" customHeight="1" x14ac:dyDescent="0.2"/>
    <row r="13" spans="2:6" ht="15" x14ac:dyDescent="0.25">
      <c r="C13" s="193" t="s">
        <v>266</v>
      </c>
      <c r="D13" s="630" t="s">
        <v>267</v>
      </c>
      <c r="E13" s="630"/>
      <c r="F13" s="194" t="s">
        <v>268</v>
      </c>
    </row>
    <row r="14" spans="2:6" hidden="1" x14ac:dyDescent="0.2">
      <c r="B14" t="e">
        <f ca="1">CONCATENATE(C14,".",D14)</f>
        <v>#VALUE!</v>
      </c>
      <c r="C14" s="195" t="e">
        <f ca="1">OFFSET(C14,-1,0)+1</f>
        <v>#VALUE!</v>
      </c>
      <c r="D14" s="627"/>
      <c r="E14" s="627"/>
      <c r="F14" s="196">
        <f ca="1">IF(AUTOEVENTO="Manual",ROUND(SUMPRODUCT((CÁLCULO!$M$15:$M$120=EVENTOS!$C14)*(OFFSET(CÁLCULO!$AA$15,0,1):OFFSET(CÁLCULO!$AL$120,0,-1))),2),0)</f>
        <v>0</v>
      </c>
    </row>
    <row r="15" spans="2:6" x14ac:dyDescent="0.2">
      <c r="B15" t="str">
        <f>CONCATENATE(C15,".",D15)</f>
        <v>1.Administração Local</v>
      </c>
      <c r="C15" s="197">
        <v>1</v>
      </c>
      <c r="D15" s="631" t="s">
        <v>269</v>
      </c>
      <c r="E15" s="631"/>
      <c r="F15" s="198">
        <f ca="1">IF(AUTOEVENTO="Manual",ROUND(SUMIF(CÁLCULO!$M$15:$M$120,1,ORÇAMENTO!$X$15:$X$120),2),0)</f>
        <v>0</v>
      </c>
    </row>
    <row r="16" spans="2:6" x14ac:dyDescent="0.2">
      <c r="B16" t="str">
        <f t="shared" ref="B16:B64" ca="1" si="0">CONCATENATE(C16,".",D16)</f>
        <v>2.</v>
      </c>
      <c r="C16" s="195">
        <f t="shared" ref="C16:C64" ca="1" si="1">OFFSET(C16,-1,0)+1</f>
        <v>2</v>
      </c>
      <c r="D16" s="627"/>
      <c r="E16" s="627"/>
      <c r="F16" s="196">
        <f ca="1">IF(AUTOEVENTO="Manual",ROUND(SUMPRODUCT((CÁLCULO!$M$15:$M$120=EVENTOS!$C16)*(OFFSET(CÁLCULO!$AA$15,0,1):OFFSET(CÁLCULO!$AL$120,0,-1))),2),0)</f>
        <v>0</v>
      </c>
    </row>
    <row r="17" spans="2:6" x14ac:dyDescent="0.2">
      <c r="B17" t="str">
        <f t="shared" ca="1" si="0"/>
        <v>3.</v>
      </c>
      <c r="C17" s="195">
        <f t="shared" ca="1" si="1"/>
        <v>3</v>
      </c>
      <c r="D17" s="627"/>
      <c r="E17" s="627"/>
      <c r="F17" s="196">
        <f ca="1">IF(AUTOEVENTO="Manual",ROUND(SUMPRODUCT((CÁLCULO!$M$15:$M$120=EVENTOS!$C17)*(OFFSET(CÁLCULO!$AA$15,0,1):OFFSET(CÁLCULO!$AL$120,0,-1))),2),0)</f>
        <v>0</v>
      </c>
    </row>
    <row r="18" spans="2:6" x14ac:dyDescent="0.2">
      <c r="B18" t="str">
        <f t="shared" ca="1" si="0"/>
        <v>4.</v>
      </c>
      <c r="C18" s="195">
        <f t="shared" ca="1" si="1"/>
        <v>4</v>
      </c>
      <c r="D18" s="627"/>
      <c r="E18" s="627"/>
      <c r="F18" s="196">
        <f ca="1">IF(AUTOEVENTO="Manual",ROUND(SUMPRODUCT((CÁLCULO!$M$15:$M$120=EVENTOS!$C18)*(OFFSET(CÁLCULO!$AA$15,0,1):OFFSET(CÁLCULO!$AL$120,0,-1))),2),0)</f>
        <v>0</v>
      </c>
    </row>
    <row r="19" spans="2:6" x14ac:dyDescent="0.2">
      <c r="B19" t="str">
        <f t="shared" ca="1" si="0"/>
        <v>5.</v>
      </c>
      <c r="C19" s="195">
        <f t="shared" ca="1" si="1"/>
        <v>5</v>
      </c>
      <c r="D19" s="627"/>
      <c r="E19" s="627"/>
      <c r="F19" s="196">
        <f ca="1">IF(AUTOEVENTO="Manual",ROUND(SUMPRODUCT((CÁLCULO!$M$15:$M$120=EVENTOS!$C19)*(OFFSET(CÁLCULO!$AA$15,0,1):OFFSET(CÁLCULO!$AL$120,0,-1))),2),0)</f>
        <v>0</v>
      </c>
    </row>
    <row r="20" spans="2:6" x14ac:dyDescent="0.2">
      <c r="B20" t="str">
        <f t="shared" ca="1" si="0"/>
        <v>6.</v>
      </c>
      <c r="C20" s="195">
        <f t="shared" ca="1" si="1"/>
        <v>6</v>
      </c>
      <c r="D20" s="627"/>
      <c r="E20" s="627"/>
      <c r="F20" s="196">
        <f ca="1">IF(AUTOEVENTO="Manual",ROUND(SUMPRODUCT((CÁLCULO!$M$15:$M$120=EVENTOS!$C20)*(OFFSET(CÁLCULO!$AA$15,0,1):OFFSET(CÁLCULO!$AL$120,0,-1))),2),0)</f>
        <v>0</v>
      </c>
    </row>
    <row r="21" spans="2:6" x14ac:dyDescent="0.2">
      <c r="B21" t="str">
        <f t="shared" ca="1" si="0"/>
        <v>7.</v>
      </c>
      <c r="C21" s="195">
        <f t="shared" ca="1" si="1"/>
        <v>7</v>
      </c>
      <c r="D21" s="627"/>
      <c r="E21" s="627"/>
      <c r="F21" s="196">
        <f ca="1">IF(AUTOEVENTO="Manual",ROUND(SUMPRODUCT((CÁLCULO!$M$15:$M$120=EVENTOS!$C21)*(OFFSET(CÁLCULO!$AA$15,0,1):OFFSET(CÁLCULO!$AL$120,0,-1))),2),0)</f>
        <v>0</v>
      </c>
    </row>
    <row r="22" spans="2:6" x14ac:dyDescent="0.2">
      <c r="B22" t="str">
        <f t="shared" ca="1" si="0"/>
        <v>8.</v>
      </c>
      <c r="C22" s="195">
        <f t="shared" ca="1" si="1"/>
        <v>8</v>
      </c>
      <c r="D22" s="627"/>
      <c r="E22" s="627"/>
      <c r="F22" s="196">
        <f ca="1">IF(AUTOEVENTO="Manual",ROUND(SUMPRODUCT((CÁLCULO!$M$15:$M$120=EVENTOS!$C22)*(OFFSET(CÁLCULO!$AA$15,0,1):OFFSET(CÁLCULO!$AL$120,0,-1))),2),0)</f>
        <v>0</v>
      </c>
    </row>
    <row r="23" spans="2:6" x14ac:dyDescent="0.2">
      <c r="B23" t="str">
        <f t="shared" ca="1" si="0"/>
        <v>9.</v>
      </c>
      <c r="C23" s="195">
        <f t="shared" ca="1" si="1"/>
        <v>9</v>
      </c>
      <c r="D23" s="627"/>
      <c r="E23" s="627"/>
      <c r="F23" s="196">
        <f ca="1">IF(AUTOEVENTO="Manual",ROUND(SUMPRODUCT((CÁLCULO!$M$15:$M$120=EVENTOS!$C23)*(OFFSET(CÁLCULO!$AA$15,0,1):OFFSET(CÁLCULO!$AL$120,0,-1))),2),0)</f>
        <v>0</v>
      </c>
    </row>
    <row r="24" spans="2:6" x14ac:dyDescent="0.2">
      <c r="B24" t="str">
        <f t="shared" ca="1" si="0"/>
        <v>10.</v>
      </c>
      <c r="C24" s="195">
        <f t="shared" ca="1" si="1"/>
        <v>10</v>
      </c>
      <c r="D24" s="627"/>
      <c r="E24" s="627"/>
      <c r="F24" s="196">
        <f ca="1">IF(AUTOEVENTO="Manual",ROUND(SUMPRODUCT((CÁLCULO!$M$15:$M$120=EVENTOS!$C24)*(OFFSET(CÁLCULO!$AA$15,0,1):OFFSET(CÁLCULO!$AL$120,0,-1))),2),0)</f>
        <v>0</v>
      </c>
    </row>
    <row r="25" spans="2:6" x14ac:dyDescent="0.2">
      <c r="B25" t="str">
        <f t="shared" ca="1" si="0"/>
        <v>11.</v>
      </c>
      <c r="C25" s="195">
        <f t="shared" ca="1" si="1"/>
        <v>11</v>
      </c>
      <c r="D25" s="627"/>
      <c r="E25" s="627"/>
      <c r="F25" s="196">
        <f ca="1">IF(AUTOEVENTO="Manual",ROUND(SUMPRODUCT((CÁLCULO!$M$15:$M$120=EVENTOS!$C25)*(OFFSET(CÁLCULO!$AA$15,0,1):OFFSET(CÁLCULO!$AL$120,0,-1))),2),0)</f>
        <v>0</v>
      </c>
    </row>
    <row r="26" spans="2:6" x14ac:dyDescent="0.2">
      <c r="B26" t="str">
        <f t="shared" ca="1" si="0"/>
        <v>12.</v>
      </c>
      <c r="C26" s="195">
        <f t="shared" ca="1" si="1"/>
        <v>12</v>
      </c>
      <c r="D26" s="627"/>
      <c r="E26" s="627"/>
      <c r="F26" s="196">
        <f ca="1">IF(AUTOEVENTO="Manual",ROUND(SUMPRODUCT((CÁLCULO!$M$15:$M$120=EVENTOS!$C26)*(OFFSET(CÁLCULO!$AA$15,0,1):OFFSET(CÁLCULO!$AL$120,0,-1))),2),0)</f>
        <v>0</v>
      </c>
    </row>
    <row r="27" spans="2:6" x14ac:dyDescent="0.2">
      <c r="B27" t="str">
        <f t="shared" ca="1" si="0"/>
        <v>13.</v>
      </c>
      <c r="C27" s="195">
        <f t="shared" ca="1" si="1"/>
        <v>13</v>
      </c>
      <c r="D27" s="627"/>
      <c r="E27" s="627"/>
      <c r="F27" s="196">
        <f ca="1">IF(AUTOEVENTO="Manual",ROUND(SUMPRODUCT((CÁLCULO!$M$15:$M$120=EVENTOS!$C27)*(OFFSET(CÁLCULO!$AA$15,0,1):OFFSET(CÁLCULO!$AL$120,0,-1))),2),0)</f>
        <v>0</v>
      </c>
    </row>
    <row r="28" spans="2:6" x14ac:dyDescent="0.2">
      <c r="B28" t="str">
        <f t="shared" ca="1" si="0"/>
        <v>14.</v>
      </c>
      <c r="C28" s="195">
        <f t="shared" ca="1" si="1"/>
        <v>14</v>
      </c>
      <c r="D28" s="627"/>
      <c r="E28" s="627"/>
      <c r="F28" s="196">
        <f ca="1">IF(AUTOEVENTO="Manual",ROUND(SUMPRODUCT((CÁLCULO!$M$15:$M$120=EVENTOS!$C28)*(OFFSET(CÁLCULO!$AA$15,0,1):OFFSET(CÁLCULO!$AL$120,0,-1))),2),0)</f>
        <v>0</v>
      </c>
    </row>
    <row r="29" spans="2:6" x14ac:dyDescent="0.2">
      <c r="B29" t="str">
        <f t="shared" ca="1" si="0"/>
        <v>15.</v>
      </c>
      <c r="C29" s="195">
        <f t="shared" ca="1" si="1"/>
        <v>15</v>
      </c>
      <c r="D29" s="627"/>
      <c r="E29" s="627"/>
      <c r="F29" s="196">
        <f ca="1">IF(AUTOEVENTO="Manual",ROUND(SUMPRODUCT((CÁLCULO!$M$15:$M$120=EVENTOS!$C29)*(OFFSET(CÁLCULO!$AA$15,0,1):OFFSET(CÁLCULO!$AL$120,0,-1))),2),0)</f>
        <v>0</v>
      </c>
    </row>
    <row r="30" spans="2:6" x14ac:dyDescent="0.2">
      <c r="B30" t="str">
        <f t="shared" ca="1" si="0"/>
        <v>16.</v>
      </c>
      <c r="C30" s="195">
        <f t="shared" ca="1" si="1"/>
        <v>16</v>
      </c>
      <c r="D30" s="627"/>
      <c r="E30" s="627"/>
      <c r="F30" s="196">
        <f ca="1">IF(AUTOEVENTO="Manual",ROUND(SUMPRODUCT((CÁLCULO!$M$15:$M$120=EVENTOS!$C30)*(OFFSET(CÁLCULO!$AA$15,0,1):OFFSET(CÁLCULO!$AL$120,0,-1))),2),0)</f>
        <v>0</v>
      </c>
    </row>
    <row r="31" spans="2:6" x14ac:dyDescent="0.2">
      <c r="B31" t="str">
        <f t="shared" ca="1" si="0"/>
        <v>17.</v>
      </c>
      <c r="C31" s="195">
        <f t="shared" ca="1" si="1"/>
        <v>17</v>
      </c>
      <c r="D31" s="627"/>
      <c r="E31" s="627"/>
      <c r="F31" s="196">
        <f ca="1">IF(AUTOEVENTO="Manual",ROUND(SUMPRODUCT((CÁLCULO!$M$15:$M$120=EVENTOS!$C31)*(OFFSET(CÁLCULO!$AA$15,0,1):OFFSET(CÁLCULO!$AL$120,0,-1))),2),0)</f>
        <v>0</v>
      </c>
    </row>
    <row r="32" spans="2:6" x14ac:dyDescent="0.2">
      <c r="B32" t="str">
        <f t="shared" ca="1" si="0"/>
        <v>18.</v>
      </c>
      <c r="C32" s="195">
        <f t="shared" ca="1" si="1"/>
        <v>18</v>
      </c>
      <c r="D32" s="627"/>
      <c r="E32" s="627"/>
      <c r="F32" s="196">
        <f ca="1">IF(AUTOEVENTO="Manual",ROUND(SUMPRODUCT((CÁLCULO!$M$15:$M$120=EVENTOS!$C32)*(OFFSET(CÁLCULO!$AA$15,0,1):OFFSET(CÁLCULO!$AL$120,0,-1))),2),0)</f>
        <v>0</v>
      </c>
    </row>
    <row r="33" spans="2:6" x14ac:dyDescent="0.2">
      <c r="B33" t="str">
        <f t="shared" ca="1" si="0"/>
        <v>19.</v>
      </c>
      <c r="C33" s="195">
        <f t="shared" ca="1" si="1"/>
        <v>19</v>
      </c>
      <c r="D33" s="627"/>
      <c r="E33" s="627"/>
      <c r="F33" s="196">
        <f ca="1">IF(AUTOEVENTO="Manual",ROUND(SUMPRODUCT((CÁLCULO!$M$15:$M$120=EVENTOS!$C33)*(OFFSET(CÁLCULO!$AA$15,0,1):OFFSET(CÁLCULO!$AL$120,0,-1))),2),0)</f>
        <v>0</v>
      </c>
    </row>
    <row r="34" spans="2:6" x14ac:dyDescent="0.2">
      <c r="B34" t="str">
        <f t="shared" ca="1" si="0"/>
        <v>20.</v>
      </c>
      <c r="C34" s="195">
        <f t="shared" ca="1" si="1"/>
        <v>20</v>
      </c>
      <c r="D34" s="627"/>
      <c r="E34" s="627"/>
      <c r="F34" s="196">
        <f ca="1">IF(AUTOEVENTO="Manual",ROUND(SUMPRODUCT((CÁLCULO!$M$15:$M$120=EVENTOS!$C34)*(OFFSET(CÁLCULO!$AA$15,0,1):OFFSET(CÁLCULO!$AL$120,0,-1))),2),0)</f>
        <v>0</v>
      </c>
    </row>
    <row r="35" spans="2:6" x14ac:dyDescent="0.2">
      <c r="B35" t="str">
        <f t="shared" ca="1" si="0"/>
        <v>21.</v>
      </c>
      <c r="C35" s="195">
        <f t="shared" ca="1" si="1"/>
        <v>21</v>
      </c>
      <c r="D35" s="627"/>
      <c r="E35" s="627"/>
      <c r="F35" s="196">
        <f ca="1">IF(AUTOEVENTO="Manual",ROUND(SUMPRODUCT((CÁLCULO!$M$15:$M$120=EVENTOS!$C35)*(OFFSET(CÁLCULO!$AA$15,0,1):OFFSET(CÁLCULO!$AL$120,0,-1))),2),0)</f>
        <v>0</v>
      </c>
    </row>
    <row r="36" spans="2:6" x14ac:dyDescent="0.2">
      <c r="B36" t="str">
        <f t="shared" ca="1" si="0"/>
        <v>22.</v>
      </c>
      <c r="C36" s="195">
        <f t="shared" ca="1" si="1"/>
        <v>22</v>
      </c>
      <c r="D36" s="627"/>
      <c r="E36" s="627"/>
      <c r="F36" s="196">
        <f ca="1">IF(AUTOEVENTO="Manual",ROUND(SUMPRODUCT((CÁLCULO!$M$15:$M$120=EVENTOS!$C36)*(OFFSET(CÁLCULO!$AA$15,0,1):OFFSET(CÁLCULO!$AL$120,0,-1))),2),0)</f>
        <v>0</v>
      </c>
    </row>
    <row r="37" spans="2:6" x14ac:dyDescent="0.2">
      <c r="B37" t="str">
        <f t="shared" ca="1" si="0"/>
        <v>23.</v>
      </c>
      <c r="C37" s="195">
        <f t="shared" ca="1" si="1"/>
        <v>23</v>
      </c>
      <c r="D37" s="627"/>
      <c r="E37" s="627"/>
      <c r="F37" s="196">
        <f ca="1">IF(AUTOEVENTO="Manual",ROUND(SUMPRODUCT((CÁLCULO!$M$15:$M$120=EVENTOS!$C37)*(OFFSET(CÁLCULO!$AA$15,0,1):OFFSET(CÁLCULO!$AL$120,0,-1))),2),0)</f>
        <v>0</v>
      </c>
    </row>
    <row r="38" spans="2:6" x14ac:dyDescent="0.2">
      <c r="B38" t="str">
        <f t="shared" ca="1" si="0"/>
        <v>24.</v>
      </c>
      <c r="C38" s="195">
        <f t="shared" ca="1" si="1"/>
        <v>24</v>
      </c>
      <c r="D38" s="627"/>
      <c r="E38" s="627"/>
      <c r="F38" s="196">
        <f ca="1">IF(AUTOEVENTO="Manual",ROUND(SUMPRODUCT((CÁLCULO!$M$15:$M$120=EVENTOS!$C38)*(OFFSET(CÁLCULO!$AA$15,0,1):OFFSET(CÁLCULO!$AL$120,0,-1))),2),0)</f>
        <v>0</v>
      </c>
    </row>
    <row r="39" spans="2:6" x14ac:dyDescent="0.2">
      <c r="B39" t="str">
        <f t="shared" ca="1" si="0"/>
        <v>25.</v>
      </c>
      <c r="C39" s="195">
        <f t="shared" ca="1" si="1"/>
        <v>25</v>
      </c>
      <c r="D39" s="627"/>
      <c r="E39" s="627"/>
      <c r="F39" s="196">
        <f ca="1">IF(AUTOEVENTO="Manual",ROUND(SUMPRODUCT((CÁLCULO!$M$15:$M$120=EVENTOS!$C39)*(OFFSET(CÁLCULO!$AA$15,0,1):OFFSET(CÁLCULO!$AL$120,0,-1))),2),0)</f>
        <v>0</v>
      </c>
    </row>
    <row r="40" spans="2:6" x14ac:dyDescent="0.2">
      <c r="B40" t="str">
        <f t="shared" ca="1" si="0"/>
        <v>26.</v>
      </c>
      <c r="C40" s="195">
        <f t="shared" ca="1" si="1"/>
        <v>26</v>
      </c>
      <c r="D40" s="627"/>
      <c r="E40" s="627"/>
      <c r="F40" s="196">
        <f ca="1">IF(AUTOEVENTO="Manual",ROUND(SUMPRODUCT((CÁLCULO!$M$15:$M$120=EVENTOS!$C40)*(OFFSET(CÁLCULO!$AA$15,0,1):OFFSET(CÁLCULO!$AL$120,0,-1))),2),0)</f>
        <v>0</v>
      </c>
    </row>
    <row r="41" spans="2:6" x14ac:dyDescent="0.2">
      <c r="B41" t="str">
        <f t="shared" ca="1" si="0"/>
        <v>27.</v>
      </c>
      <c r="C41" s="195">
        <f t="shared" ca="1" si="1"/>
        <v>27</v>
      </c>
      <c r="D41" s="627"/>
      <c r="E41" s="627"/>
      <c r="F41" s="196">
        <f ca="1">IF(AUTOEVENTO="Manual",ROUND(SUMPRODUCT((CÁLCULO!$M$15:$M$120=EVENTOS!$C41)*(OFFSET(CÁLCULO!$AA$15,0,1):OFFSET(CÁLCULO!$AL$120,0,-1))),2),0)</f>
        <v>0</v>
      </c>
    </row>
    <row r="42" spans="2:6" x14ac:dyDescent="0.2">
      <c r="B42" t="str">
        <f t="shared" ca="1" si="0"/>
        <v>28.</v>
      </c>
      <c r="C42" s="195">
        <f t="shared" ca="1" si="1"/>
        <v>28</v>
      </c>
      <c r="D42" s="627"/>
      <c r="E42" s="627"/>
      <c r="F42" s="196">
        <f ca="1">IF(AUTOEVENTO="Manual",ROUND(SUMPRODUCT((CÁLCULO!$M$15:$M$120=EVENTOS!$C42)*(OFFSET(CÁLCULO!$AA$15,0,1):OFFSET(CÁLCULO!$AL$120,0,-1))),2),0)</f>
        <v>0</v>
      </c>
    </row>
    <row r="43" spans="2:6" x14ac:dyDescent="0.2">
      <c r="B43" t="str">
        <f t="shared" ca="1" si="0"/>
        <v>29.</v>
      </c>
      <c r="C43" s="195">
        <f t="shared" ca="1" si="1"/>
        <v>29</v>
      </c>
      <c r="D43" s="627"/>
      <c r="E43" s="627"/>
      <c r="F43" s="196">
        <f ca="1">IF(AUTOEVENTO="Manual",ROUND(SUMPRODUCT((CÁLCULO!$M$15:$M$120=EVENTOS!$C43)*(OFFSET(CÁLCULO!$AA$15,0,1):OFFSET(CÁLCULO!$AL$120,0,-1))),2),0)</f>
        <v>0</v>
      </c>
    </row>
    <row r="44" spans="2:6" x14ac:dyDescent="0.2">
      <c r="B44" t="str">
        <f t="shared" ca="1" si="0"/>
        <v>30.</v>
      </c>
      <c r="C44" s="195">
        <f t="shared" ca="1" si="1"/>
        <v>30</v>
      </c>
      <c r="D44" s="627"/>
      <c r="E44" s="627"/>
      <c r="F44" s="196">
        <f ca="1">IF(AUTOEVENTO="Manual",ROUND(SUMPRODUCT((CÁLCULO!$M$15:$M$120=EVENTOS!$C44)*(OFFSET(CÁLCULO!$AA$15,0,1):OFFSET(CÁLCULO!$AL$120,0,-1))),2),0)</f>
        <v>0</v>
      </c>
    </row>
    <row r="45" spans="2:6" x14ac:dyDescent="0.2">
      <c r="B45" t="str">
        <f t="shared" ca="1" si="0"/>
        <v>31.</v>
      </c>
      <c r="C45" s="195">
        <f t="shared" ca="1" si="1"/>
        <v>31</v>
      </c>
      <c r="D45" s="627"/>
      <c r="E45" s="627"/>
      <c r="F45" s="196">
        <f ca="1">IF(AUTOEVENTO="Manual",ROUND(SUMPRODUCT((CÁLCULO!$M$15:$M$120=EVENTOS!$C45)*(OFFSET(CÁLCULO!$AA$15,0,1):OFFSET(CÁLCULO!$AL$120,0,-1))),2),0)</f>
        <v>0</v>
      </c>
    </row>
    <row r="46" spans="2:6" x14ac:dyDescent="0.2">
      <c r="B46" t="str">
        <f t="shared" ca="1" si="0"/>
        <v>32.</v>
      </c>
      <c r="C46" s="195">
        <f t="shared" ca="1" si="1"/>
        <v>32</v>
      </c>
      <c r="D46" s="627"/>
      <c r="E46" s="627"/>
      <c r="F46" s="196">
        <f ca="1">IF(AUTOEVENTO="Manual",ROUND(SUMPRODUCT((CÁLCULO!$M$15:$M$120=EVENTOS!$C46)*(OFFSET(CÁLCULO!$AA$15,0,1):OFFSET(CÁLCULO!$AL$120,0,-1))),2),0)</f>
        <v>0</v>
      </c>
    </row>
    <row r="47" spans="2:6" x14ac:dyDescent="0.2">
      <c r="B47" t="str">
        <f t="shared" ca="1" si="0"/>
        <v>33.</v>
      </c>
      <c r="C47" s="195">
        <f t="shared" ca="1" si="1"/>
        <v>33</v>
      </c>
      <c r="D47" s="627"/>
      <c r="E47" s="627"/>
      <c r="F47" s="196">
        <f ca="1">IF(AUTOEVENTO="Manual",ROUND(SUMPRODUCT((CÁLCULO!$M$15:$M$120=EVENTOS!$C47)*(OFFSET(CÁLCULO!$AA$15,0,1):OFFSET(CÁLCULO!$AL$120,0,-1))),2),0)</f>
        <v>0</v>
      </c>
    </row>
    <row r="48" spans="2:6" x14ac:dyDescent="0.2">
      <c r="B48" t="str">
        <f t="shared" ca="1" si="0"/>
        <v>34.</v>
      </c>
      <c r="C48" s="195">
        <f t="shared" ca="1" si="1"/>
        <v>34</v>
      </c>
      <c r="D48" s="627"/>
      <c r="E48" s="627"/>
      <c r="F48" s="196">
        <f ca="1">IF(AUTOEVENTO="Manual",ROUND(SUMPRODUCT((CÁLCULO!$M$15:$M$120=EVENTOS!$C48)*(OFFSET(CÁLCULO!$AA$15,0,1):OFFSET(CÁLCULO!$AL$120,0,-1))),2),0)</f>
        <v>0</v>
      </c>
    </row>
    <row r="49" spans="2:6" x14ac:dyDescent="0.2">
      <c r="B49" t="str">
        <f t="shared" ca="1" si="0"/>
        <v>35.</v>
      </c>
      <c r="C49" s="195">
        <f t="shared" ca="1" si="1"/>
        <v>35</v>
      </c>
      <c r="D49" s="627"/>
      <c r="E49" s="627"/>
      <c r="F49" s="196">
        <f ca="1">IF(AUTOEVENTO="Manual",ROUND(SUMPRODUCT((CÁLCULO!$M$15:$M$120=EVENTOS!$C49)*(OFFSET(CÁLCULO!$AA$15,0,1):OFFSET(CÁLCULO!$AL$120,0,-1))),2),0)</f>
        <v>0</v>
      </c>
    </row>
    <row r="50" spans="2:6" x14ac:dyDescent="0.2">
      <c r="B50" t="str">
        <f t="shared" ca="1" si="0"/>
        <v>36.</v>
      </c>
      <c r="C50" s="195">
        <f t="shared" ca="1" si="1"/>
        <v>36</v>
      </c>
      <c r="D50" s="627"/>
      <c r="E50" s="627"/>
      <c r="F50" s="196">
        <f ca="1">IF(AUTOEVENTO="Manual",ROUND(SUMPRODUCT((CÁLCULO!$M$15:$M$120=EVENTOS!$C50)*(OFFSET(CÁLCULO!$AA$15,0,1):OFFSET(CÁLCULO!$AL$120,0,-1))),2),0)</f>
        <v>0</v>
      </c>
    </row>
    <row r="51" spans="2:6" x14ac:dyDescent="0.2">
      <c r="B51" t="str">
        <f t="shared" ca="1" si="0"/>
        <v>37.</v>
      </c>
      <c r="C51" s="195">
        <f t="shared" ca="1" si="1"/>
        <v>37</v>
      </c>
      <c r="D51" s="627"/>
      <c r="E51" s="627"/>
      <c r="F51" s="196">
        <f ca="1">IF(AUTOEVENTO="Manual",ROUND(SUMPRODUCT((CÁLCULO!$M$15:$M$120=EVENTOS!$C51)*(OFFSET(CÁLCULO!$AA$15,0,1):OFFSET(CÁLCULO!$AL$120,0,-1))),2),0)</f>
        <v>0</v>
      </c>
    </row>
    <row r="52" spans="2:6" x14ac:dyDescent="0.2">
      <c r="B52" t="str">
        <f t="shared" ca="1" si="0"/>
        <v>38.</v>
      </c>
      <c r="C52" s="195">
        <f t="shared" ca="1" si="1"/>
        <v>38</v>
      </c>
      <c r="D52" s="627"/>
      <c r="E52" s="627"/>
      <c r="F52" s="196">
        <f ca="1">IF(AUTOEVENTO="Manual",ROUND(SUMPRODUCT((CÁLCULO!$M$15:$M$120=EVENTOS!$C52)*(OFFSET(CÁLCULO!$AA$15,0,1):OFFSET(CÁLCULO!$AL$120,0,-1))),2),0)</f>
        <v>0</v>
      </c>
    </row>
    <row r="53" spans="2:6" x14ac:dyDescent="0.2">
      <c r="B53" t="str">
        <f t="shared" ca="1" si="0"/>
        <v>39.</v>
      </c>
      <c r="C53" s="195">
        <f t="shared" ca="1" si="1"/>
        <v>39</v>
      </c>
      <c r="D53" s="627"/>
      <c r="E53" s="627"/>
      <c r="F53" s="196">
        <f ca="1">IF(AUTOEVENTO="Manual",ROUND(SUMPRODUCT((CÁLCULO!$M$15:$M$120=EVENTOS!$C53)*(OFFSET(CÁLCULO!$AA$15,0,1):OFFSET(CÁLCULO!$AL$120,0,-1))),2),0)</f>
        <v>0</v>
      </c>
    </row>
    <row r="54" spans="2:6" x14ac:dyDescent="0.2">
      <c r="B54" t="str">
        <f t="shared" ca="1" si="0"/>
        <v>40.</v>
      </c>
      <c r="C54" s="195">
        <f t="shared" ca="1" si="1"/>
        <v>40</v>
      </c>
      <c r="D54" s="627"/>
      <c r="E54" s="627"/>
      <c r="F54" s="196">
        <f ca="1">IF(AUTOEVENTO="Manual",ROUND(SUMPRODUCT((CÁLCULO!$M$15:$M$120=EVENTOS!$C54)*(OFFSET(CÁLCULO!$AA$15,0,1):OFFSET(CÁLCULO!$AL$120,0,-1))),2),0)</f>
        <v>0</v>
      </c>
    </row>
    <row r="55" spans="2:6" x14ac:dyDescent="0.2">
      <c r="B55" t="str">
        <f t="shared" ca="1" si="0"/>
        <v>41.</v>
      </c>
      <c r="C55" s="195">
        <f t="shared" ca="1" si="1"/>
        <v>41</v>
      </c>
      <c r="D55" s="627"/>
      <c r="E55" s="627"/>
      <c r="F55" s="196">
        <f ca="1">IF(AUTOEVENTO="Manual",ROUND(SUMPRODUCT((CÁLCULO!$M$15:$M$120=EVENTOS!$C55)*(OFFSET(CÁLCULO!$AA$15,0,1):OFFSET(CÁLCULO!$AL$120,0,-1))),2),0)</f>
        <v>0</v>
      </c>
    </row>
    <row r="56" spans="2:6" x14ac:dyDescent="0.2">
      <c r="B56" t="str">
        <f t="shared" ca="1" si="0"/>
        <v>42.</v>
      </c>
      <c r="C56" s="195">
        <f t="shared" ca="1" si="1"/>
        <v>42</v>
      </c>
      <c r="D56" s="627"/>
      <c r="E56" s="627"/>
      <c r="F56" s="196">
        <f ca="1">IF(AUTOEVENTO="Manual",ROUND(SUMPRODUCT((CÁLCULO!$M$15:$M$120=EVENTOS!$C56)*(OFFSET(CÁLCULO!$AA$15,0,1):OFFSET(CÁLCULO!$AL$120,0,-1))),2),0)</f>
        <v>0</v>
      </c>
    </row>
    <row r="57" spans="2:6" x14ac:dyDescent="0.2">
      <c r="B57" t="str">
        <f t="shared" ca="1" si="0"/>
        <v>43.</v>
      </c>
      <c r="C57" s="195">
        <f t="shared" ca="1" si="1"/>
        <v>43</v>
      </c>
      <c r="D57" s="627"/>
      <c r="E57" s="627"/>
      <c r="F57" s="196">
        <f ca="1">IF(AUTOEVENTO="Manual",ROUND(SUMPRODUCT((CÁLCULO!$M$15:$M$120=EVENTOS!$C57)*(OFFSET(CÁLCULO!$AA$15,0,1):OFFSET(CÁLCULO!$AL$120,0,-1))),2),0)</f>
        <v>0</v>
      </c>
    </row>
    <row r="58" spans="2:6" x14ac:dyDescent="0.2">
      <c r="B58" t="str">
        <f t="shared" ca="1" si="0"/>
        <v>44.</v>
      </c>
      <c r="C58" s="195">
        <f t="shared" ca="1" si="1"/>
        <v>44</v>
      </c>
      <c r="D58" s="627"/>
      <c r="E58" s="627"/>
      <c r="F58" s="196">
        <f ca="1">IF(AUTOEVENTO="Manual",ROUND(SUMPRODUCT((CÁLCULO!$M$15:$M$120=EVENTOS!$C58)*(OFFSET(CÁLCULO!$AA$15,0,1):OFFSET(CÁLCULO!$AL$120,0,-1))),2),0)</f>
        <v>0</v>
      </c>
    </row>
    <row r="59" spans="2:6" x14ac:dyDescent="0.2">
      <c r="B59" t="str">
        <f t="shared" ca="1" si="0"/>
        <v>45.</v>
      </c>
      <c r="C59" s="195">
        <f t="shared" ca="1" si="1"/>
        <v>45</v>
      </c>
      <c r="D59" s="627"/>
      <c r="E59" s="627"/>
      <c r="F59" s="196">
        <f ca="1">IF(AUTOEVENTO="Manual",ROUND(SUMPRODUCT((CÁLCULO!$M$15:$M$120=EVENTOS!$C59)*(OFFSET(CÁLCULO!$AA$15,0,1):OFFSET(CÁLCULO!$AL$120,0,-1))),2),0)</f>
        <v>0</v>
      </c>
    </row>
    <row r="60" spans="2:6" x14ac:dyDescent="0.2">
      <c r="B60" t="str">
        <f t="shared" ca="1" si="0"/>
        <v>46.</v>
      </c>
      <c r="C60" s="195">
        <f t="shared" ca="1" si="1"/>
        <v>46</v>
      </c>
      <c r="D60" s="627"/>
      <c r="E60" s="627"/>
      <c r="F60" s="196">
        <f ca="1">IF(AUTOEVENTO="Manual",ROUND(SUMPRODUCT((CÁLCULO!$M$15:$M$120=EVENTOS!$C60)*(OFFSET(CÁLCULO!$AA$15,0,1):OFFSET(CÁLCULO!$AL$120,0,-1))),2),0)</f>
        <v>0</v>
      </c>
    </row>
    <row r="61" spans="2:6" x14ac:dyDescent="0.2">
      <c r="B61" t="str">
        <f t="shared" ca="1" si="0"/>
        <v>47.</v>
      </c>
      <c r="C61" s="195">
        <f t="shared" ca="1" si="1"/>
        <v>47</v>
      </c>
      <c r="D61" s="627"/>
      <c r="E61" s="627"/>
      <c r="F61" s="196">
        <f ca="1">IF(AUTOEVENTO="Manual",ROUND(SUMPRODUCT((CÁLCULO!$M$15:$M$120=EVENTOS!$C61)*(OFFSET(CÁLCULO!$AA$15,0,1):OFFSET(CÁLCULO!$AL$120,0,-1))),2),0)</f>
        <v>0</v>
      </c>
    </row>
    <row r="62" spans="2:6" x14ac:dyDescent="0.2">
      <c r="B62" t="str">
        <f t="shared" ca="1" si="0"/>
        <v>48.</v>
      </c>
      <c r="C62" s="195">
        <f t="shared" ca="1" si="1"/>
        <v>48</v>
      </c>
      <c r="D62" s="627"/>
      <c r="E62" s="627"/>
      <c r="F62" s="196">
        <f ca="1">IF(AUTOEVENTO="Manual",ROUND(SUMPRODUCT((CÁLCULO!$M$15:$M$120=EVENTOS!$C62)*(OFFSET(CÁLCULO!$AA$15,0,1):OFFSET(CÁLCULO!$AL$120,0,-1))),2),0)</f>
        <v>0</v>
      </c>
    </row>
    <row r="63" spans="2:6" x14ac:dyDescent="0.2">
      <c r="B63" t="str">
        <f t="shared" ca="1" si="0"/>
        <v>49.</v>
      </c>
      <c r="C63" s="195">
        <f t="shared" ca="1" si="1"/>
        <v>49</v>
      </c>
      <c r="D63" s="627"/>
      <c r="E63" s="627"/>
      <c r="F63" s="196">
        <f ca="1">IF(AUTOEVENTO="Manual",ROUND(SUMPRODUCT((CÁLCULO!$M$15:$M$120=EVENTOS!$C63)*(OFFSET(CÁLCULO!$AA$15,0,1):OFFSET(CÁLCULO!$AL$120,0,-1))),2),0)</f>
        <v>0</v>
      </c>
    </row>
    <row r="64" spans="2:6" x14ac:dyDescent="0.2">
      <c r="B64" t="str">
        <f t="shared" ca="1" si="0"/>
        <v>50.</v>
      </c>
      <c r="C64" s="195">
        <f t="shared" ca="1" si="1"/>
        <v>50</v>
      </c>
      <c r="D64" s="627"/>
      <c r="E64" s="627"/>
      <c r="F64" s="196">
        <f ca="1">IF(AUTOEVENTO="Manual",ROUND(SUMPRODUCT((CÁLCULO!$M$15:$M$120=EVENTOS!$C64)*(OFFSET(CÁLCULO!$AA$15,0,1):OFFSET(CÁLCULO!$AL$120,0,-1))),2),0)</f>
        <v>0</v>
      </c>
    </row>
    <row r="65" spans="3:6" ht="5.0999999999999996" customHeight="1" x14ac:dyDescent="0.2">
      <c r="C65" s="188"/>
      <c r="D65" s="199"/>
      <c r="E65" s="199"/>
      <c r="F65" s="200"/>
    </row>
  </sheetData>
  <sheetProtection algorithmName="SHA-512" hashValue="ZgL7kARA2cJOGv+gJe6Z3EZ6JMUHTovamIojrPBuKEXng10SJVTzgW5TPK1KuMxzAcLzEC+yEIEfD7K9ZKWyDA==" saltValue="eaUCOfEWXc9dL0JA29s+E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8" type="noConversion"/>
  <conditionalFormatting sqref="C13:F15 C65:F65">
    <cfRule type="expression" dxfId="239" priority="112" stopIfTrue="1">
      <formula>OR(AUTOEVENTO&lt;&gt;"Manual",ACOMPANHAMENTO="BM")</formula>
    </cfRule>
  </conditionalFormatting>
  <conditionalFormatting sqref="C16:F24">
    <cfRule type="expression" dxfId="238" priority="6" stopIfTrue="1">
      <formula>OR(AUTOEVENTO&lt;&gt;"Manual",ACOMPANHAMENTO="BM")</formula>
    </cfRule>
  </conditionalFormatting>
  <conditionalFormatting sqref="C25:F33">
    <cfRule type="expression" dxfId="237" priority="5" stopIfTrue="1">
      <formula>OR(AUTOEVENTO&lt;&gt;"Manual",ACOMPANHAMENTO="BM")</formula>
    </cfRule>
  </conditionalFormatting>
  <conditionalFormatting sqref="C34:F42">
    <cfRule type="expression" dxfId="236" priority="4" stopIfTrue="1">
      <formula>OR(AUTOEVENTO&lt;&gt;"Manual",ACOMPANHAMENTO="BM")</formula>
    </cfRule>
  </conditionalFormatting>
  <conditionalFormatting sqref="C43:F51">
    <cfRule type="expression" dxfId="235" priority="3" stopIfTrue="1">
      <formula>OR(AUTOEVENTO&lt;&gt;"Manual",ACOMPANHAMENTO="BM")</formula>
    </cfRule>
  </conditionalFormatting>
  <conditionalFormatting sqref="C52:F60">
    <cfRule type="expression" dxfId="234" priority="2" stopIfTrue="1">
      <formula>OR(AUTOEVENTO&lt;&gt;"Manual",ACOMPANHAMENTO="BM")</formula>
    </cfRule>
  </conditionalFormatting>
  <conditionalFormatting sqref="C61:F64">
    <cfRule type="expression" dxfId="233" priority="1" stopIfTrue="1">
      <formula>OR(AUTOEVENTO&lt;&gt;"Manual",ACOMPANHAMENTO="BM")</formula>
    </cfRule>
  </conditionalFormatting>
  <dataValidations count="1">
    <dataValidation type="list" allowBlank="1" showErrorMessage="1" sqref="C6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23" activePane="bottomRight" state="frozen"/>
      <selection activeCell="F4" sqref="F4"/>
      <selection pane="topRight" activeCell="T4" sqref="T4"/>
      <selection pane="bottomLeft" activeCell="F14" sqref="F14"/>
      <selection pane="bottomRight" activeCell="T13" sqref="T13"/>
    </sheetView>
  </sheetViews>
  <sheetFormatPr defaultColWidth="9.140625" defaultRowHeight="12.75" x14ac:dyDescent="0.2"/>
  <cols>
    <col min="1" max="3" width="9.140625" style="201" hidden="1" customWidth="1"/>
    <col min="4" max="4" width="11" style="202" hidden="1" customWidth="1"/>
    <col min="5" max="5" width="19" style="201" hidden="1" customWidth="1"/>
    <col min="6" max="6" width="3.7109375" style="202" customWidth="1"/>
    <col min="7" max="7" width="12.7109375" style="201" customWidth="1"/>
    <col min="8" max="8" width="7.140625" style="202" customWidth="1"/>
    <col min="9" max="9" width="14.5703125" style="202" customWidth="1"/>
    <col min="10" max="10" width="12" style="202" customWidth="1"/>
    <col min="11" max="11" width="11" style="202" customWidth="1"/>
    <col min="12" max="17" width="0" style="201" hidden="1" customWidth="1"/>
    <col min="18" max="18" width="11.42578125" style="203" customWidth="1"/>
    <col min="19" max="19" width="10.7109375" style="203" customWidth="1"/>
    <col min="20" max="31" width="11" style="202" customWidth="1"/>
    <col min="32" max="32" width="0.140625" style="202" customWidth="1"/>
    <col min="33" max="16384" width="9.140625" style="202"/>
  </cols>
  <sheetData>
    <row r="1" spans="1:32" hidden="1" x14ac:dyDescent="0.2">
      <c r="A1" s="201" t="e">
        <f ca="1">OFFSET(A1,-3,0)+1</f>
        <v>#REF!</v>
      </c>
      <c r="B1" s="201" t="e">
        <f ca="1">IF($Q1&lt;&gt;2,0,IF($R1=0,1,IF(E2&gt;0,OFFSET(QCI!$M$13,SUBSTITUTE(E2,".",""),0),OFFSET(ORÇAMENTO!$AA$15,CRONO!$E1,0))/$R1))</f>
        <v>#REF!</v>
      </c>
      <c r="C1" s="201" t="e">
        <f ca="1">IF($Q1&lt;&gt;2,0,IF($R1=0,1,IF(E2&gt;0,OFFSET(QCI!$N$13,SUBSTITUTE(E2,".",""),0),OFFSET(ORÇAMENTO!$AB$15,CRONO!$E1,0))/$R1))</f>
        <v>#REF!</v>
      </c>
      <c r="D1" s="204" t="e">
        <f ca="1">IF(AND($Q1=2,ACOMPANHAMENTO="BM"),D2,D3/$R1)</f>
        <v>#REF!</v>
      </c>
      <c r="E1" s="201" t="e">
        <f ca="1">IF(A1&lt;=ORÇAMENTO.MáximoListaCrono,MATCH(A1,ORÇAMENTO.ListaCrono,0),NA())</f>
        <v>#REF!</v>
      </c>
      <c r="F1" s="201" t="e">
        <f ca="1">IF(AND($E2&lt;&gt;-1,$R1&gt;0),"F","")</f>
        <v>#REF!</v>
      </c>
      <c r="G1" s="205" t="e">
        <f ca="1">IF(OR(R1=0,R1=""),"Linha",IF(AND(OR(ACOMPANHAMENTO="PLE",$Q1&lt;&gt;2),$E2=0),"Linha",1-SUM(T1:AF1)))</f>
        <v>#REF!</v>
      </c>
      <c r="H1" s="206" t="e">
        <f ca="1">IF($E2=0,OFFSET(ORÇAMENTO!O$15,$E1,0),IF($E2&lt;&gt;-1,OFFSET(QCI!$D$13,$E2,0),""))</f>
        <v>#REF!</v>
      </c>
      <c r="I1" s="207" t="e">
        <f ca="1">IF($E2=0,OFFSET(ORÇAMENTO!R$15,$E1,0),IF($E2&lt;&gt;-1,OFFSET(QCI!$G$13,$E2,0),""))</f>
        <v>#REF!</v>
      </c>
      <c r="J1" s="207"/>
      <c r="K1" s="207"/>
      <c r="L1" s="208" t="e">
        <f ca="1">IF($E2=0,OFFSET(ORÇAMENTO!C$15,$E1,0),1)</f>
        <v>#REF!</v>
      </c>
      <c r="M1" s="209" t="e">
        <f ca="1">IF($E2=-1,0,IF(M$13&lt;=$L1,IF(ISERROR(MATCH(M$13,OFFSET($L1,1,0,ROW($L$164)-ROW($L1)-1),0)),ROW($L$164)-ROW($L1)-1,MATCH(M$13,OFFSET($L1,1,0,ROW($L$164)-ROW($L1)-1),0)-1),0))</f>
        <v>#REF!</v>
      </c>
      <c r="N1" s="209" t="e">
        <f ca="1">IF($E2=-1,0,IF(N$13&lt;=$L1,IF(ISERROR(MATCH(N$13,OFFSET($L1,1,0,ROW($L$164)-ROW($L1)-1),0)),ROW($L$164)-ROW($L1)-1,MATCH(N$13,OFFSET($L1,1,0,ROW($L$164)-ROW($L1)-1),0)-1),0))</f>
        <v>#REF!</v>
      </c>
      <c r="O1" s="209" t="e">
        <f ca="1">IF($E2=-1,0,IF(O$13&lt;=$L1,IF(ISERROR(MATCH(O$13,OFFSET($L1,1,0,ROW($L$164)-ROW($L1)-1),0)),ROW($L$164)-ROW($L1)-1,MATCH(O$13,OFFSET($L1,1,0,ROW($L$164)-ROW($L1)-1),0)-1),0))</f>
        <v>#REF!</v>
      </c>
      <c r="P1" s="209" t="e">
        <f ca="1">IF($E2=-1,0,IF(P$13&lt;=$L1,IF(ISERROR(MATCH(P$13,OFFSET($L1,1,0,ROW($L$164)-ROW($L1)-1),0)),ROW($L$164)-ROW($L1)-1,MATCH(P$13,OFFSET($L1,1,0,ROW($L$164)-ROW($L1)-1),0)-1),0))</f>
        <v>#REF!</v>
      </c>
      <c r="Q1" s="209" t="e">
        <f ca="1">MIN(OFFSET(L1,0,1,,L1))</f>
        <v>#REF!</v>
      </c>
      <c r="R1" s="210" t="e">
        <f ca="1">IF($E2=0,OFFSET(ORÇAMENTO!X$15,$E1,0),IF($E2&lt;&gt;-1,OFFSET(QCI!$O$13,$E2,0),""))</f>
        <v>#REF!</v>
      </c>
      <c r="S1" s="211" t="s">
        <v>270</v>
      </c>
      <c r="T1" s="212" t="e">
        <f t="shared" ref="T1:AE1" ca="1" si="0">IF(AND($Q1=2,ACOMPANHAMENTO="BM"),T2,T3/$R1)</f>
        <v>#REF!</v>
      </c>
      <c r="U1" s="204" t="e">
        <f t="shared" ca="1" si="0"/>
        <v>#REF!</v>
      </c>
      <c r="V1" s="204" t="e">
        <f t="shared" ca="1" si="0"/>
        <v>#REF!</v>
      </c>
      <c r="W1" s="204" t="e">
        <f t="shared" ca="1" si="0"/>
        <v>#REF!</v>
      </c>
      <c r="X1" s="204" t="e">
        <f t="shared" ca="1" si="0"/>
        <v>#REF!</v>
      </c>
      <c r="Y1" s="204" t="e">
        <f t="shared" ca="1" si="0"/>
        <v>#REF!</v>
      </c>
      <c r="Z1" s="204" t="e">
        <f t="shared" ca="1" si="0"/>
        <v>#REF!</v>
      </c>
      <c r="AA1" s="204" t="e">
        <f t="shared" ca="1" si="0"/>
        <v>#REF!</v>
      </c>
      <c r="AB1" s="204" t="e">
        <f t="shared" ca="1" si="0"/>
        <v>#REF!</v>
      </c>
      <c r="AC1" s="204" t="e">
        <f t="shared" ca="1" si="0"/>
        <v>#REF!</v>
      </c>
      <c r="AD1" s="204" t="e">
        <f t="shared" ca="1" si="0"/>
        <v>#REF!</v>
      </c>
      <c r="AE1" s="213" t="e">
        <f t="shared" ca="1" si="0"/>
        <v>#REF!</v>
      </c>
    </row>
    <row r="2" spans="1:32" ht="12.75" hidden="1" customHeight="1" x14ac:dyDescent="0.2">
      <c r="D2" s="566"/>
      <c r="E2" s="201" t="e">
        <f ca="1">IF(ISERROR(E1),IF(1+COUNTIF($L$13:OFFSET(L1,-1,0),1)&lt;=MAX(QCI!$D$13:$D$24),1+COUNTIF($L$13:OFFSET(L1,-1,0),1),-1),0)</f>
        <v>#REF!</v>
      </c>
      <c r="F2" s="201" t="e">
        <f ca="1">IF(AND($E2&lt;&gt;-1,$R1&gt;0),"F","")</f>
        <v>#REF!</v>
      </c>
      <c r="G2" s="214" t="e">
        <f ca="1">IF(OR(R1=0,R1=""),"vazia",IF(AND(OR(ACOMPANHAMENTO="PLE",$Q1&lt;&gt;2),$E2=0),"calculada","--&gt;"))</f>
        <v>#REF!</v>
      </c>
      <c r="H2" s="215"/>
      <c r="I2" s="216" t="e">
        <f ca="1">IF(AND(G1&lt;&gt;0,ISNUMBER(G1)),"PREENCHA ESTA LINHA --&gt;","")</f>
        <v>#REF!</v>
      </c>
      <c r="J2" s="216"/>
      <c r="K2" s="216"/>
      <c r="L2" s="217"/>
      <c r="M2" s="217"/>
      <c r="N2" s="217"/>
      <c r="O2" s="217"/>
      <c r="P2" s="217"/>
      <c r="Q2" s="217"/>
      <c r="R2" s="218"/>
      <c r="S2" s="219"/>
      <c r="T2" s="567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8"/>
      <c r="AF2" s="530"/>
    </row>
    <row r="3" spans="1:32" ht="0.2" hidden="1" customHeight="1" x14ac:dyDescent="0.2">
      <c r="D3" s="220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$120,"="&amp;CRONO!D$12,CÁLCULO!$AB$15:$AL$120)/(ORÇAMENTO!$X$15-CÁLCULO.TotalAdmLocal)*CRONO!$E3,0),D2*$R1),SUMIF(OFFSET($R3,1,0,$Q1-2),($L1+1)&amp;"$",OFFSET(D3,1,0,$Q1-2)))</f>
        <v>#REF!</v>
      </c>
      <c r="E3" s="201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21"/>
      <c r="R3" s="222" t="e">
        <f ca="1">L1&amp;"$"</f>
        <v>#REF!</v>
      </c>
      <c r="S3" s="223"/>
      <c r="T3" s="224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$120,"&lt;="&amp;CRONO!T$12,CÁLCULO!$AB$15:$AL$120)/(ORÇAMENTO!$X$15-CÁLCULO.TotalAdmLocal)*CRONO!$E3,0),T2*$R1),SUMIF(OFFSET($R3,1,0,$Q1-2),($L1+1)&amp;"$",OFFSET(T3,1,0,$Q1-2)))</f>
        <v>#REF!</v>
      </c>
      <c r="U3" s="220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$120,"="&amp;CRONO!U$12,CÁLCULO!$AB$15:$AL$120)/(ORÇAMENTO!$X$15-CÁLCULO.TotalAdmLocal)*CRONO!$E3,0),U2*$R1),SUMIF(OFFSET($R3,1,0,$Q1-2),($L1+1)&amp;"$",OFFSET(U3,1,0,$Q1-2)))</f>
        <v>#REF!</v>
      </c>
      <c r="V3" s="220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$120,"="&amp;CRONO!V$12,CÁLCULO!$AB$15:$AL$120)/(ORÇAMENTO!$X$15-CÁLCULO.TotalAdmLocal)*CRONO!$E3,0),V2*$R1),SUMIF(OFFSET($R3,1,0,$Q1-2),($L1+1)&amp;"$",OFFSET(V3,1,0,$Q1-2)))</f>
        <v>#REF!</v>
      </c>
      <c r="W3" s="220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$120,"="&amp;CRONO!W$12,CÁLCULO!$AB$15:$AL$120)/(ORÇAMENTO!$X$15-CÁLCULO.TotalAdmLocal)*CRONO!$E3,0),W2*$R1),SUMIF(OFFSET($R3,1,0,$Q1-2),($L1+1)&amp;"$",OFFSET(W3,1,0,$Q1-2)))</f>
        <v>#REF!</v>
      </c>
      <c r="X3" s="220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$120,"="&amp;CRONO!X$12,CÁLCULO!$AB$15:$AL$120)/(ORÇAMENTO!$X$15-CÁLCULO.TotalAdmLocal)*CRONO!$E3,0),X2*$R1),SUMIF(OFFSET($R3,1,0,$Q1-2),($L1+1)&amp;"$",OFFSET(X3,1,0,$Q1-2)))</f>
        <v>#REF!</v>
      </c>
      <c r="Y3" s="220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$120,"="&amp;CRONO!Y$12,CÁLCULO!$AB$15:$AL$120)/(ORÇAMENTO!$X$15-CÁLCULO.TotalAdmLocal)*CRONO!$E3,0),Y2*$R1),SUMIF(OFFSET($R3,1,0,$Q1-2),($L1+1)&amp;"$",OFFSET(Y3,1,0,$Q1-2)))</f>
        <v>#REF!</v>
      </c>
      <c r="Z3" s="220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$120,"="&amp;CRONO!Z$12,CÁLCULO!$AB$15:$AL$120)/(ORÇAMENTO!$X$15-CÁLCULO.TotalAdmLocal)*CRONO!$E3,0),Z2*$R1),SUMIF(OFFSET($R3,1,0,$Q1-2),($L1+1)&amp;"$",OFFSET(Z3,1,0,$Q1-2)))</f>
        <v>#REF!</v>
      </c>
      <c r="AA3" s="220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$120,"="&amp;CRONO!AA$12,CÁLCULO!$AB$15:$AL$120)/(ORÇAMENTO!$X$15-CÁLCULO.TotalAdmLocal)*CRONO!$E3,0),AA2*$R1),SUMIF(OFFSET($R3,1,0,$Q1-2),($L1+1)&amp;"$",OFFSET(AA3,1,0,$Q1-2)))</f>
        <v>#REF!</v>
      </c>
      <c r="AB3" s="220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$120,"="&amp;CRONO!AB$12,CÁLCULO!$AB$15:$AL$120)/(ORÇAMENTO!$X$15-CÁLCULO.TotalAdmLocal)*CRONO!$E3,0),AB2*$R1),SUMIF(OFFSET($R3,1,0,$Q1-2),($L1+1)&amp;"$",OFFSET(AB3,1,0,$Q1-2)))</f>
        <v>#REF!</v>
      </c>
      <c r="AC3" s="220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$120,"="&amp;CRONO!AC$12,CÁLCULO!$AB$15:$AL$120)/(ORÇAMENTO!$X$15-CÁLCULO.TotalAdmLocal)*CRONO!$E3,0),AC2*$R1),SUMIF(OFFSET($R3,1,0,$Q1-2),($L1+1)&amp;"$",OFFSET(AC3,1,0,$Q1-2)))</f>
        <v>#REF!</v>
      </c>
      <c r="AD3" s="220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$120,"="&amp;CRONO!AD$12,CÁLCULO!$AB$15:$AL$120)/(ORÇAMENTO!$X$15-CÁLCULO.TotalAdmLocal)*CRONO!$E3,0),AD2*$R1),SUMIF(OFFSET($R3,1,0,$Q1-2),($L1+1)&amp;"$",OFFSET(AD3,1,0,$Q1-2)))</f>
        <v>#REF!</v>
      </c>
      <c r="AE3" s="225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$120,"="&amp;CRONO!AE$12,CÁLCULO!$AB$15:$AL$120)/(ORÇAMENTO!$X$15-CÁLCULO.TotalAdmLocal)*CRONO!$E3,0),AE2*$R1),SUMIF(OFFSET($R3,1,0,$Q1-2),($L1+1)&amp;"$",OFFSET(AE3,1,0,$Q1-2)))</f>
        <v>#REF!</v>
      </c>
    </row>
    <row r="4" spans="1:32" ht="15" customHeight="1" x14ac:dyDescent="0.25">
      <c r="R4" s="226" t="str">
        <f>IF(TIPOORCAMENTO="licitado","CRONOGRAMA FÍSICO-FINANCEIRO LICITADO","CRONOGRAMA FÍSICO-FINANCEIRO")</f>
        <v>CRONOGRAMA FÍSICO-FINANCEIRO</v>
      </c>
      <c r="AD4" s="581" t="s">
        <v>140</v>
      </c>
      <c r="AE4" s="581"/>
    </row>
    <row r="5" spans="1:32" ht="15" x14ac:dyDescent="0.2">
      <c r="R5" s="81" t="str">
        <f>import.recurso</f>
        <v>(SELECIONAR)</v>
      </c>
      <c r="AD5" s="582" t="s">
        <v>143</v>
      </c>
      <c r="AE5" s="582"/>
    </row>
    <row r="6" spans="1:32" ht="12.75" customHeight="1" x14ac:dyDescent="0.2"/>
    <row r="7" spans="1:32" ht="12.75" customHeight="1" x14ac:dyDescent="0.2">
      <c r="E7" s="227"/>
      <c r="G7" s="633" t="s">
        <v>271</v>
      </c>
      <c r="H7" s="228" t="s">
        <v>146</v>
      </c>
      <c r="I7" s="229"/>
      <c r="J7" s="230" t="s">
        <v>447</v>
      </c>
      <c r="K7" s="231" t="s">
        <v>272</v>
      </c>
      <c r="L7" s="202"/>
      <c r="M7" s="202"/>
      <c r="N7" s="202"/>
      <c r="S7" s="232"/>
      <c r="T7" s="228" t="s">
        <v>273</v>
      </c>
      <c r="X7" s="229"/>
      <c r="Y7" s="228" t="str">
        <f>IF(TIPOORCAMENTO="Licitado","NOME DA EMPRESA","DESCRIÇÃO DO LOTE")</f>
        <v>DESCRIÇÃO DO LOTE</v>
      </c>
      <c r="AE7" s="233" t="str">
        <f>IF(TIPOORCAMENTO="Licitado","Nº CTEF","")</f>
        <v/>
      </c>
    </row>
    <row r="8" spans="1:32" x14ac:dyDescent="0.2">
      <c r="D8" s="201"/>
      <c r="E8" s="113"/>
      <c r="F8" s="609" t="s">
        <v>209</v>
      </c>
      <c r="G8" s="633"/>
      <c r="H8" s="632">
        <f>Import.CR</f>
        <v>0</v>
      </c>
      <c r="I8" s="632"/>
      <c r="J8" s="234">
        <f>Import.TransfereGOV</f>
        <v>0</v>
      </c>
      <c r="K8" s="642" t="str">
        <f>Import.Proponente</f>
        <v>PREFEITURA MUNICIPAL DE LAGES</v>
      </c>
      <c r="L8" s="642"/>
      <c r="M8" s="642"/>
      <c r="N8" s="642"/>
      <c r="O8" s="642"/>
      <c r="P8" s="642"/>
      <c r="Q8" s="642"/>
      <c r="R8" s="642"/>
      <c r="S8" s="642"/>
      <c r="T8" s="632" t="str">
        <f>Import.Apelido</f>
        <v>VESTIÁRIOS CAMPO SANTA HELENA</v>
      </c>
      <c r="U8" s="632"/>
      <c r="V8" s="632"/>
      <c r="W8" s="632"/>
      <c r="X8" s="632"/>
      <c r="Y8" s="639" t="str">
        <f>IF(TIPOORCAMENTO="Licitado",Import.empresa,Import.DescLote)</f>
        <v>IMPLANTAÇÃO DE VESTIÁRIOS</v>
      </c>
      <c r="Z8" s="639"/>
      <c r="AA8" s="639"/>
      <c r="AB8" s="639"/>
      <c r="AC8" s="639"/>
      <c r="AD8" s="639"/>
      <c r="AE8" s="221" t="str">
        <f>IF(TIPOORCAMENTO="Licitado",Import.CTEF,"")</f>
        <v/>
      </c>
    </row>
    <row r="9" spans="1:32" x14ac:dyDescent="0.2">
      <c r="E9" s="113"/>
      <c r="F9" s="609"/>
      <c r="G9" s="633"/>
    </row>
    <row r="10" spans="1:32" x14ac:dyDescent="0.2">
      <c r="E10" s="227"/>
      <c r="F10" s="609"/>
      <c r="G10" s="235">
        <v>2</v>
      </c>
      <c r="J10" s="643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643"/>
      <c r="L10" s="643"/>
      <c r="M10" s="643"/>
      <c r="N10" s="643"/>
      <c r="O10" s="643"/>
      <c r="P10" s="643"/>
      <c r="Q10" s="643"/>
      <c r="R10" s="643"/>
      <c r="S10" s="643"/>
    </row>
    <row r="11" spans="1:32" ht="12.75" customHeight="1" x14ac:dyDescent="0.2">
      <c r="F11" s="609"/>
      <c r="H11" s="236"/>
      <c r="I11" s="236"/>
      <c r="J11" s="643"/>
      <c r="K11" s="643"/>
      <c r="L11" s="643"/>
      <c r="M11" s="643"/>
      <c r="N11" s="643"/>
      <c r="O11" s="643"/>
      <c r="P11" s="643"/>
      <c r="Q11" s="643"/>
      <c r="R11" s="643"/>
      <c r="S11" s="643"/>
    </row>
    <row r="12" spans="1:32" ht="12.75" customHeight="1" x14ac:dyDescent="0.2">
      <c r="D12" s="237">
        <f ca="1">OFFSET(D12,0,-1)+1</f>
        <v>1</v>
      </c>
      <c r="F12" s="105" t="s">
        <v>217</v>
      </c>
      <c r="G12" s="635" t="s">
        <v>274</v>
      </c>
      <c r="H12" s="636" t="s">
        <v>231</v>
      </c>
      <c r="I12" s="637" t="s">
        <v>234</v>
      </c>
      <c r="J12" s="238"/>
      <c r="K12" s="238"/>
      <c r="L12" s="239"/>
      <c r="M12" s="239"/>
      <c r="N12" s="239"/>
      <c r="O12" s="239"/>
      <c r="P12" s="239"/>
      <c r="Q12" s="239"/>
      <c r="R12" s="640" t="s">
        <v>275</v>
      </c>
      <c r="S12" s="641" t="s">
        <v>276</v>
      </c>
      <c r="T12" s="240">
        <v>1</v>
      </c>
      <c r="U12" s="237">
        <f ca="1">OFFSET(U12,0,-1)+1</f>
        <v>2</v>
      </c>
      <c r="V12" s="237">
        <f t="shared" ref="V12:AE12" ca="1" si="1">OFFSET(V12,0,-1)+1</f>
        <v>3</v>
      </c>
      <c r="W12" s="237">
        <f t="shared" ca="1" si="1"/>
        <v>4</v>
      </c>
      <c r="X12" s="237">
        <f t="shared" ca="1" si="1"/>
        <v>5</v>
      </c>
      <c r="Y12" s="237">
        <f t="shared" ca="1" si="1"/>
        <v>6</v>
      </c>
      <c r="Z12" s="237">
        <f t="shared" ca="1" si="1"/>
        <v>7</v>
      </c>
      <c r="AA12" s="237">
        <f t="shared" ca="1" si="1"/>
        <v>8</v>
      </c>
      <c r="AB12" s="237">
        <f t="shared" ca="1" si="1"/>
        <v>9</v>
      </c>
      <c r="AC12" s="237">
        <f t="shared" ca="1" si="1"/>
        <v>10</v>
      </c>
      <c r="AD12" s="237">
        <f t="shared" ca="1" si="1"/>
        <v>11</v>
      </c>
      <c r="AE12" s="241">
        <f t="shared" ca="1" si="1"/>
        <v>12</v>
      </c>
    </row>
    <row r="13" spans="1:32" ht="24.95" customHeight="1" x14ac:dyDescent="0.2">
      <c r="A13" s="242" t="s">
        <v>277</v>
      </c>
      <c r="B13" s="242" t="s">
        <v>169</v>
      </c>
      <c r="C13" s="242" t="s">
        <v>278</v>
      </c>
      <c r="D13" s="243" t="e">
        <f ca="1">OFFSET(D13,0,-1)+41-DAY(OFFSET(D13,0,-1)+40)</f>
        <v>#VALUE!</v>
      </c>
      <c r="E13" s="242" t="s">
        <v>279</v>
      </c>
      <c r="G13" s="635"/>
      <c r="H13" s="636"/>
      <c r="I13" s="637"/>
      <c r="J13" s="244"/>
      <c r="K13" s="244"/>
      <c r="L13" s="245" t="s">
        <v>229</v>
      </c>
      <c r="M13" s="245">
        <v>1</v>
      </c>
      <c r="N13" s="245">
        <v>2</v>
      </c>
      <c r="O13" s="245">
        <v>3</v>
      </c>
      <c r="P13" s="245">
        <v>4</v>
      </c>
      <c r="Q13" s="246" t="s">
        <v>280</v>
      </c>
      <c r="R13" s="640"/>
      <c r="S13" s="641"/>
      <c r="T13" s="247">
        <v>45717</v>
      </c>
      <c r="U13" s="243">
        <f ca="1">OFFSET(U13,0,-1)+41-DAY(OFFSET(U13,0,-1)+40)</f>
        <v>45748</v>
      </c>
      <c r="V13" s="243">
        <f ca="1">OFFSET(V13,0,-1)+41-DAY(OFFSET(V13,0,-1)+40)</f>
        <v>45778</v>
      </c>
      <c r="W13" s="243">
        <f t="shared" ref="W13:AE13" ca="1" si="2">OFFSET(W13,0,-1)+41-DAY(OFFSET(W13,0,-1)+40)</f>
        <v>45809</v>
      </c>
      <c r="X13" s="243">
        <f t="shared" ca="1" si="2"/>
        <v>45839</v>
      </c>
      <c r="Y13" s="243">
        <f t="shared" ca="1" si="2"/>
        <v>45870</v>
      </c>
      <c r="Z13" s="243">
        <f t="shared" ca="1" si="2"/>
        <v>45901</v>
      </c>
      <c r="AA13" s="243">
        <f t="shared" ca="1" si="2"/>
        <v>45931</v>
      </c>
      <c r="AB13" s="243">
        <f t="shared" ca="1" si="2"/>
        <v>45962</v>
      </c>
      <c r="AC13" s="243">
        <f t="shared" ca="1" si="2"/>
        <v>45992</v>
      </c>
      <c r="AD13" s="243">
        <f t="shared" ca="1" si="2"/>
        <v>46023</v>
      </c>
      <c r="AE13" s="248">
        <f t="shared" ca="1" si="2"/>
        <v>46054</v>
      </c>
    </row>
    <row r="14" spans="1:32" x14ac:dyDescent="0.2">
      <c r="A14" s="201">
        <f t="shared" ref="A14" ca="1" si="3">OFFSET(A14,-3,0)+1</f>
        <v>1</v>
      </c>
      <c r="B14" s="201">
        <f ca="1">IF($Q14&lt;&gt;2,0,IF($R14=0,1,IF(E15&gt;0,OFFSET(QCI!$M$13,SUBSTITUTE(E15,".",""),0),OFFSET(ORÇAMENTO!$AA$15,CRONO!$E14,0))/$R14))</f>
        <v>0</v>
      </c>
      <c r="C14" s="201">
        <f ca="1">IF($Q14&lt;&gt;2,0,IF($R14=0,1,IF(E15&gt;0,OFFSET(QCI!$N$13,SUBSTITUTE(E15,".",""),0),OFFSET(ORÇAMENTO!$AB$15,CRONO!$E14,0))/$R14))</f>
        <v>0</v>
      </c>
      <c r="D14" s="204" t="e">
        <f ca="1">IF(AND($Q14=2,ACOMPANHAMENTO="BM"),D15,D16/$R14)</f>
        <v>#DIV/0!</v>
      </c>
      <c r="E14" s="201">
        <f ca="1">IF(A14&lt;=ORÇAMENTO.MáximoListaCrono,MATCH(A14,ORÇAMENTO.ListaCrono,0),NA())</f>
        <v>1</v>
      </c>
      <c r="F14" s="201" t="str">
        <f t="shared" ref="F14" ca="1" si="4">IF(AND($E15&lt;&gt;-1,$R14&gt;0),"F","")</f>
        <v/>
      </c>
      <c r="G14" s="205" t="str">
        <f ca="1">IF(OR(R14=0,R14=""),"Linha",IF(AND(OR(ACOMPANHAMENTO="PLE",$Q14&lt;&gt;2),$E15=0),"Linha",1-SUM(T14:AF14)))</f>
        <v>Linha</v>
      </c>
      <c r="H14" s="206" t="str">
        <f ca="1">IF($E15=0,OFFSET(ORÇAMENTO!O$15,$E14,0),IF($E15&lt;&gt;-1,OFFSET(QCI!$D$13,$E15,0),""))</f>
        <v>1.</v>
      </c>
      <c r="I14" s="207" t="str">
        <f ca="1">IF($E15=0,OFFSET(ORÇAMENTO!R$15,$E14,0),IF($E15&lt;&gt;-1,OFFSET(QCI!$G$13,$E15,0),""))</f>
        <v>IMPLANTAÇÃO DE VESTIÁRIOS CAMPO SANTA HELENA</v>
      </c>
      <c r="J14" s="207"/>
      <c r="K14" s="207"/>
      <c r="L14" s="208">
        <f ca="1">IF($E15=0,OFFSET(ORÇAMENTO!C$15,$E14,0),1)</f>
        <v>1</v>
      </c>
      <c r="M14" s="209">
        <f ca="1">IF($E15=-1,0,IF(M$13&lt;=$L14,IF(ISERROR(MATCH(M$13,OFFSET($L14,1,0,ROW($L$164)-ROW($L14)-1),0)),ROW($L$164)-ROW($L14)-1,MATCH(M$13,OFFSET($L14,1,0,ROW($L$164)-ROW($L14)-1),0)-1),0))</f>
        <v>44</v>
      </c>
      <c r="N14" s="209">
        <f ca="1">IF($E15=-1,0,IF(N$13&lt;=$L14,IF(ISERROR(MATCH(N$13,OFFSET($L14,1,0,ROW($L$164)-ROW($L14)-1),0)),ROW($L$164)-ROW($L14)-1,MATCH(N$13,OFFSET($L14,1,0,ROW($L$164)-ROW($L14)-1),0)-1),0))</f>
        <v>0</v>
      </c>
      <c r="O14" s="209">
        <f ca="1">IF($E15=-1,0,IF(O$13&lt;=$L14,IF(ISERROR(MATCH(O$13,OFFSET($L14,1,0,ROW($L$164)-ROW($L14)-1),0)),ROW($L$164)-ROW($L14)-1,MATCH(O$13,OFFSET($L14,1,0,ROW($L$164)-ROW($L14)-1),0)-1),0))</f>
        <v>0</v>
      </c>
      <c r="P14" s="209">
        <f ca="1">IF($E15=-1,0,IF(P$13&lt;=$L14,IF(ISERROR(MATCH(P$13,OFFSET($L14,1,0,ROW($L$164)-ROW($L14)-1),0)),ROW($L$164)-ROW($L14)-1,MATCH(P$13,OFFSET($L14,1,0,ROW($L$164)-ROW($L14)-1),0)-1),0))</f>
        <v>0</v>
      </c>
      <c r="Q14" s="209">
        <f t="shared" ref="Q14" ca="1" si="5">MIN(OFFSET(L14,0,1,,L14))</f>
        <v>44</v>
      </c>
      <c r="R14" s="210">
        <f ca="1">IF($E15=0,OFFSET(ORÇAMENTO!X$15,$E14,0),IF($E15&lt;&gt;-1,OFFSET(QCI!$O$13,$E15,0),""))</f>
        <v>0</v>
      </c>
      <c r="S14" s="211" t="s">
        <v>270</v>
      </c>
      <c r="T14" s="212" t="e">
        <f t="shared" ref="T14:AE14" ca="1" si="6">IF(AND($Q14=2,ACOMPANHAMENTO="BM"),T15,T16/$R14)</f>
        <v>#DIV/0!</v>
      </c>
      <c r="U14" s="204" t="e">
        <f t="shared" ca="1" si="6"/>
        <v>#DIV/0!</v>
      </c>
      <c r="V14" s="204" t="e">
        <f t="shared" ca="1" si="6"/>
        <v>#DIV/0!</v>
      </c>
      <c r="W14" s="204" t="e">
        <f t="shared" ca="1" si="6"/>
        <v>#DIV/0!</v>
      </c>
      <c r="X14" s="204" t="e">
        <f t="shared" ca="1" si="6"/>
        <v>#DIV/0!</v>
      </c>
      <c r="Y14" s="204" t="e">
        <f t="shared" ca="1" si="6"/>
        <v>#DIV/0!</v>
      </c>
      <c r="Z14" s="204" t="e">
        <f t="shared" ca="1" si="6"/>
        <v>#DIV/0!</v>
      </c>
      <c r="AA14" s="204" t="e">
        <f t="shared" ca="1" si="6"/>
        <v>#DIV/0!</v>
      </c>
      <c r="AB14" s="204" t="e">
        <f t="shared" ca="1" si="6"/>
        <v>#DIV/0!</v>
      </c>
      <c r="AC14" s="204" t="e">
        <f t="shared" ca="1" si="6"/>
        <v>#DIV/0!</v>
      </c>
      <c r="AD14" s="204" t="e">
        <f t="shared" ca="1" si="6"/>
        <v>#DIV/0!</v>
      </c>
      <c r="AE14" s="213" t="e">
        <f t="shared" ca="1" si="6"/>
        <v>#DIV/0!</v>
      </c>
    </row>
    <row r="15" spans="1:32" ht="12.75" customHeight="1" x14ac:dyDescent="0.2">
      <c r="D15" s="566"/>
      <c r="E15" s="201">
        <f ca="1">IF(ISERROR(E14),IF(1+COUNTIF($L$13:OFFSET(L14,-1,0),1)&lt;=MAX(QCI!$D$13:$D$24),1+COUNTIF($L$13:OFFSET(L14,-1,0),1),-1),0)</f>
        <v>0</v>
      </c>
      <c r="F15" s="201" t="str">
        <f t="shared" ref="F15" ca="1" si="7">IF(AND($E15&lt;&gt;-1,$R14&gt;0),"F","")</f>
        <v/>
      </c>
      <c r="G15" s="214" t="str">
        <f ca="1">IF(OR(R14=0,R14=""),"vazia",IF(AND(OR(ACOMPANHAMENTO="PLE",$Q14&lt;&gt;2),$E15=0),"calculada","--&gt;"))</f>
        <v>vazia</v>
      </c>
      <c r="H15" s="215"/>
      <c r="I15" s="216" t="str">
        <f t="shared" ref="I15" ca="1" si="8">IF(AND(G14&lt;&gt;0,ISNUMBER(G14)),"PREENCHA ESTA LINHA --&gt;","")</f>
        <v/>
      </c>
      <c r="J15" s="216"/>
      <c r="K15" s="216"/>
      <c r="L15" s="217"/>
      <c r="M15" s="217"/>
      <c r="N15" s="217"/>
      <c r="O15" s="217"/>
      <c r="P15" s="217"/>
      <c r="Q15" s="217"/>
      <c r="R15" s="218"/>
      <c r="S15" s="219"/>
      <c r="T15" s="567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8"/>
      <c r="AF15" s="530"/>
    </row>
    <row r="16" spans="1:32" ht="0.2" hidden="1" customHeight="1" x14ac:dyDescent="0.2">
      <c r="D16" s="220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$120,"="&amp;CRONO!D$12,CÁLCULO!$AB$15:$AL$120)/(ORÇAMENTO!$X$15-CÁLCULO.TotalAdmLocal)*CRONO!$E16,0),D15*$R14),SUMIF(OFFSET($R16,1,0,$Q14-2),($L14+1)&amp;"$",OFFSET(D16,1,0,$Q14-2)))</f>
        <v>0</v>
      </c>
      <c r="E16" s="201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21"/>
      <c r="R16" s="222" t="str">
        <f t="shared" ref="R16" ca="1" si="9">L14&amp;"$"</f>
        <v>1$</v>
      </c>
      <c r="S16" s="223"/>
      <c r="T16" s="224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$120,"&lt;="&amp;CRONO!T$12,CÁLCULO!$AB$15:$AL$120)/(ORÇAMENTO!$X$15-CÁLCULO.TotalAdmLocal)*CRONO!$E16,0),T15*$R14),SUMIF(OFFSET($R16,1,0,$Q14-2),($L14+1)&amp;"$",OFFSET(T16,1,0,$Q14-2)))</f>
        <v>0</v>
      </c>
      <c r="U16" s="220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$120,"="&amp;CRONO!U$12,CÁLCULO!$AB$15:$AL$120)/(ORÇAMENTO!$X$15-CÁLCULO.TotalAdmLocal)*CRONO!$E16,0),U15*$R14),SUMIF(OFFSET($R16,1,0,$Q14-2),($L14+1)&amp;"$",OFFSET(U16,1,0,$Q14-2)))</f>
        <v>0</v>
      </c>
      <c r="V16" s="220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$120,"="&amp;CRONO!V$12,CÁLCULO!$AB$15:$AL$120)/(ORÇAMENTO!$X$15-CÁLCULO.TotalAdmLocal)*CRONO!$E16,0),V15*$R14),SUMIF(OFFSET($R16,1,0,$Q14-2),($L14+1)&amp;"$",OFFSET(V16,1,0,$Q14-2)))</f>
        <v>0</v>
      </c>
      <c r="W16" s="220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$120,"="&amp;CRONO!W$12,CÁLCULO!$AB$15:$AL$120)/(ORÇAMENTO!$X$15-CÁLCULO.TotalAdmLocal)*CRONO!$E16,0),W15*$R14),SUMIF(OFFSET($R16,1,0,$Q14-2),($L14+1)&amp;"$",OFFSET(W16,1,0,$Q14-2)))</f>
        <v>0</v>
      </c>
      <c r="X16" s="220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$120,"="&amp;CRONO!X$12,CÁLCULO!$AB$15:$AL$120)/(ORÇAMENTO!$X$15-CÁLCULO.TotalAdmLocal)*CRONO!$E16,0),X15*$R14),SUMIF(OFFSET($R16,1,0,$Q14-2),($L14+1)&amp;"$",OFFSET(X16,1,0,$Q14-2)))</f>
        <v>0</v>
      </c>
      <c r="Y16" s="220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$120,"="&amp;CRONO!Y$12,CÁLCULO!$AB$15:$AL$120)/(ORÇAMENTO!$X$15-CÁLCULO.TotalAdmLocal)*CRONO!$E16,0),Y15*$R14),SUMIF(OFFSET($R16,1,0,$Q14-2),($L14+1)&amp;"$",OFFSET(Y16,1,0,$Q14-2)))</f>
        <v>0</v>
      </c>
      <c r="Z16" s="220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$120,"="&amp;CRONO!Z$12,CÁLCULO!$AB$15:$AL$120)/(ORÇAMENTO!$X$15-CÁLCULO.TotalAdmLocal)*CRONO!$E16,0),Z15*$R14),SUMIF(OFFSET($R16,1,0,$Q14-2),($L14+1)&amp;"$",OFFSET(Z16,1,0,$Q14-2)))</f>
        <v>0</v>
      </c>
      <c r="AA16" s="220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$120,"="&amp;CRONO!AA$12,CÁLCULO!$AB$15:$AL$120)/(ORÇAMENTO!$X$15-CÁLCULO.TotalAdmLocal)*CRONO!$E16,0),AA15*$R14),SUMIF(OFFSET($R16,1,0,$Q14-2),($L14+1)&amp;"$",OFFSET(AA16,1,0,$Q14-2)))</f>
        <v>0</v>
      </c>
      <c r="AB16" s="220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$120,"="&amp;CRONO!AB$12,CÁLCULO!$AB$15:$AL$120)/(ORÇAMENTO!$X$15-CÁLCULO.TotalAdmLocal)*CRONO!$E16,0),AB15*$R14),SUMIF(OFFSET($R16,1,0,$Q14-2),($L14+1)&amp;"$",OFFSET(AB16,1,0,$Q14-2)))</f>
        <v>0</v>
      </c>
      <c r="AC16" s="220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$120,"="&amp;CRONO!AC$12,CÁLCULO!$AB$15:$AL$120)/(ORÇAMENTO!$X$15-CÁLCULO.TotalAdmLocal)*CRONO!$E16,0),AC15*$R14),SUMIF(OFFSET($R16,1,0,$Q14-2),($L14+1)&amp;"$",OFFSET(AC16,1,0,$Q14-2)))</f>
        <v>0</v>
      </c>
      <c r="AD16" s="220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$120,"="&amp;CRONO!AD$12,CÁLCULO!$AB$15:$AL$120)/(ORÇAMENTO!$X$15-CÁLCULO.TotalAdmLocal)*CRONO!$E16,0),AD15*$R14),SUMIF(OFFSET($R16,1,0,$Q14-2),($L14+1)&amp;"$",OFFSET(AD16,1,0,$Q14-2)))</f>
        <v>0</v>
      </c>
      <c r="AE16" s="225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$120,"="&amp;CRONO!AE$12,CÁLCULO!$AB$15:$AL$120)/(ORÇAMENTO!$X$15-CÁLCULO.TotalAdmLocal)*CRONO!$E16,0),AE15*$R14),SUMIF(OFFSET($R16,1,0,$Q14-2),($L14+1)&amp;"$",OFFSET(AE16,1,0,$Q14-2)))</f>
        <v>0</v>
      </c>
    </row>
    <row r="17" spans="1:32" x14ac:dyDescent="0.2">
      <c r="A17" s="201">
        <f t="shared" ref="A17" ca="1" si="10">OFFSET(A17,-3,0)+1</f>
        <v>2</v>
      </c>
      <c r="B17" s="201">
        <f ca="1">IF($Q17&lt;&gt;2,0,IF($R17=0,1,IF(E18&gt;0,OFFSET(QCI!$M$13,SUBSTITUTE(E18,".",""),0),OFFSET(ORÇAMENTO!$AA$15,CRONO!$E17,0))/$R17))</f>
        <v>1</v>
      </c>
      <c r="C17" s="201">
        <f ca="1">IF($Q17&lt;&gt;2,0,IF($R17=0,1,IF(E18&gt;0,OFFSET(QCI!$N$13,SUBSTITUTE(E18,".",""),0),OFFSET(ORÇAMENTO!$AB$15,CRONO!$E17,0))/$R17))</f>
        <v>1</v>
      </c>
      <c r="D17" s="204">
        <f ca="1">IF(AND($Q17=2,ACOMPANHAMENTO="BM"),D18,D19/$R17)</f>
        <v>0</v>
      </c>
      <c r="E17" s="201">
        <f ca="1">IF(A17&lt;=ORÇAMENTO.MáximoListaCrono,MATCH(A17,ORÇAMENTO.ListaCrono,0),NA())</f>
        <v>2</v>
      </c>
      <c r="F17" s="201" t="str">
        <f t="shared" ref="F17" ca="1" si="11">IF(AND($E18&lt;&gt;-1,$R17&gt;0),"F","")</f>
        <v/>
      </c>
      <c r="G17" s="205" t="str">
        <f ca="1">IF(OR(R17=0,R17=""),"Linha",IF(AND(OR(ACOMPANHAMENTO="PLE",$Q17&lt;&gt;2),$E18=0),"Linha",1-SUM(T17:AF17)))</f>
        <v>Linha</v>
      </c>
      <c r="H17" s="206" t="str">
        <f ca="1">IF($E18=0,OFFSET(ORÇAMENTO!O$15,$E17,0),IF($E18&lt;&gt;-1,OFFSET(QCI!$D$13,$E18,0),""))</f>
        <v>1.1.</v>
      </c>
      <c r="I17" s="207" t="str">
        <f ca="1">IF($E18=0,OFFSET(ORÇAMENTO!R$15,$E17,0),IF($E18&lt;&gt;-1,OFFSET(QCI!$G$13,$E18,0),""))</f>
        <v>ADMINISTRAÇÃO E CANTEIRO DE OBRAS</v>
      </c>
      <c r="J17" s="207"/>
      <c r="K17" s="207"/>
      <c r="L17" s="208">
        <f ca="1">IF($E18=0,OFFSET(ORÇAMENTO!C$15,$E17,0),1)</f>
        <v>2</v>
      </c>
      <c r="M17" s="209">
        <f ca="1">IF($E18=-1,0,IF(M$13&lt;=$L17,IF(ISERROR(MATCH(M$13,OFFSET($L17,1,0,ROW($L$164)-ROW($L17)-1),0)),ROW($L$164)-ROW($L17)-1,MATCH(M$13,OFFSET($L17,1,0,ROW($L$164)-ROW($L17)-1),0)-1),0))</f>
        <v>41</v>
      </c>
      <c r="N17" s="209">
        <f ca="1">IF($E18=-1,0,IF(N$13&lt;=$L17,IF(ISERROR(MATCH(N$13,OFFSET($L17,1,0,ROW($L$164)-ROW($L17)-1),0)),ROW($L$164)-ROW($L17)-1,MATCH(N$13,OFFSET($L17,1,0,ROW($L$164)-ROW($L17)-1),0)-1),0))</f>
        <v>2</v>
      </c>
      <c r="O17" s="209">
        <f ca="1">IF($E18=-1,0,IF(O$13&lt;=$L17,IF(ISERROR(MATCH(O$13,OFFSET($L17,1,0,ROW($L$164)-ROW($L17)-1),0)),ROW($L$164)-ROW($L17)-1,MATCH(O$13,OFFSET($L17,1,0,ROW($L$164)-ROW($L17)-1),0)-1),0))</f>
        <v>0</v>
      </c>
      <c r="P17" s="209">
        <f ca="1">IF($E18=-1,0,IF(P$13&lt;=$L17,IF(ISERROR(MATCH(P$13,OFFSET($L17,1,0,ROW($L$164)-ROW($L17)-1),0)),ROW($L$164)-ROW($L17)-1,MATCH(P$13,OFFSET($L17,1,0,ROW($L$164)-ROW($L17)-1),0)-1),0))</f>
        <v>0</v>
      </c>
      <c r="Q17" s="209">
        <f t="shared" ref="Q17" ca="1" si="12">MIN(OFFSET(L17,0,1,,L17))</f>
        <v>2</v>
      </c>
      <c r="R17" s="210">
        <f ca="1">IF($E18=0,OFFSET(ORÇAMENTO!X$15,$E17,0),IF($E18&lt;&gt;-1,OFFSET(QCI!$O$13,$E18,0),""))</f>
        <v>0</v>
      </c>
      <c r="S17" s="211" t="s">
        <v>270</v>
      </c>
      <c r="T17" s="212">
        <f t="shared" ref="T17:AE17" ca="1" si="13">IF(AND($Q17=2,ACOMPANHAMENTO="BM"),T18,T19/$R17)</f>
        <v>0.33333333333333331</v>
      </c>
      <c r="U17" s="204">
        <f t="shared" ca="1" si="13"/>
        <v>0.33333333333333331</v>
      </c>
      <c r="V17" s="204">
        <f t="shared" ca="1" si="13"/>
        <v>0.33333333333333331</v>
      </c>
      <c r="W17" s="204">
        <f t="shared" ca="1" si="13"/>
        <v>0</v>
      </c>
      <c r="X17" s="204">
        <f t="shared" ca="1" si="13"/>
        <v>0</v>
      </c>
      <c r="Y17" s="204">
        <f t="shared" ca="1" si="13"/>
        <v>0</v>
      </c>
      <c r="Z17" s="204">
        <f t="shared" ca="1" si="13"/>
        <v>0</v>
      </c>
      <c r="AA17" s="204">
        <f t="shared" ca="1" si="13"/>
        <v>0</v>
      </c>
      <c r="AB17" s="204">
        <f t="shared" ca="1" si="13"/>
        <v>0</v>
      </c>
      <c r="AC17" s="204">
        <f t="shared" ca="1" si="13"/>
        <v>0</v>
      </c>
      <c r="AD17" s="204">
        <f t="shared" ca="1" si="13"/>
        <v>0</v>
      </c>
      <c r="AE17" s="213">
        <f t="shared" ca="1" si="13"/>
        <v>0</v>
      </c>
    </row>
    <row r="18" spans="1:32" ht="12.75" customHeight="1" x14ac:dyDescent="0.2">
      <c r="D18" s="566"/>
      <c r="E18" s="201">
        <f ca="1">IF(ISERROR(E17),IF(1+COUNTIF($L$13:OFFSET(L17,-1,0),1)&lt;=MAX(QCI!$D$13:$D$24),1+COUNTIF($L$13:OFFSET(L17,-1,0),1),-1),0)</f>
        <v>0</v>
      </c>
      <c r="F18" s="201" t="str">
        <f t="shared" ref="F18" ca="1" si="14">IF(AND($E18&lt;&gt;-1,$R17&gt;0),"F","")</f>
        <v/>
      </c>
      <c r="G18" s="214" t="str">
        <f ca="1">IF(OR(R17=0,R17=""),"vazia",IF(AND(OR(ACOMPANHAMENTO="PLE",$Q17&lt;&gt;2),$E18=0),"calculada","--&gt;"))</f>
        <v>vazia</v>
      </c>
      <c r="H18" s="215"/>
      <c r="I18" s="216" t="str">
        <f t="shared" ref="I18" ca="1" si="15">IF(AND(G17&lt;&gt;0,ISNUMBER(G17)),"PREENCHA ESTA LINHA --&gt;","")</f>
        <v/>
      </c>
      <c r="J18" s="216"/>
      <c r="K18" s="216"/>
      <c r="L18" s="217"/>
      <c r="M18" s="217"/>
      <c r="N18" s="217"/>
      <c r="O18" s="217"/>
      <c r="P18" s="217"/>
      <c r="Q18" s="217"/>
      <c r="R18" s="218"/>
      <c r="S18" s="219"/>
      <c r="T18" s="567">
        <f>1/3</f>
        <v>0.33333333333333331</v>
      </c>
      <c r="U18" s="566">
        <f>1/3</f>
        <v>0.33333333333333331</v>
      </c>
      <c r="V18" s="566">
        <f>1/3</f>
        <v>0.33333333333333331</v>
      </c>
      <c r="W18" s="566"/>
      <c r="X18" s="566"/>
      <c r="Y18" s="566"/>
      <c r="Z18" s="566"/>
      <c r="AA18" s="566"/>
      <c r="AB18" s="566"/>
      <c r="AC18" s="566"/>
      <c r="AD18" s="566"/>
      <c r="AE18" s="568"/>
      <c r="AF18" s="530"/>
    </row>
    <row r="19" spans="1:32" ht="0.2" hidden="1" customHeight="1" x14ac:dyDescent="0.2">
      <c r="D19" s="220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$120,"="&amp;CRONO!D$12,CÁLCULO!$AB$15:$AL$120)/(ORÇAMENTO!$X$15-CÁLCULO.TotalAdmLocal)*CRONO!$E19,0),D18*$R17),SUMIF(OFFSET($R19,1,0,$Q17-2),($L17+1)&amp;"$",OFFSET(D19,1,0,$Q17-2)))</f>
        <v>0</v>
      </c>
      <c r="E19" s="201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21"/>
      <c r="R19" s="222" t="str">
        <f t="shared" ref="R19" ca="1" si="16">L17&amp;"$"</f>
        <v>2$</v>
      </c>
      <c r="S19" s="223"/>
      <c r="T19" s="224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$120,"&lt;="&amp;CRONO!T$12,CÁLCULO!$AB$15:$AL$120)/(ORÇAMENTO!$X$15-CÁLCULO.TotalAdmLocal)*CRONO!$E19,0),T18*$R17),SUMIF(OFFSET($R19,1,0,$Q17-2),($L17+1)&amp;"$",OFFSET(T19,1,0,$Q17-2)))</f>
        <v>0</v>
      </c>
      <c r="U19" s="220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$120,"="&amp;CRONO!U$12,CÁLCULO!$AB$15:$AL$120)/(ORÇAMENTO!$X$15-CÁLCULO.TotalAdmLocal)*CRONO!$E19,0),U18*$R17),SUMIF(OFFSET($R19,1,0,$Q17-2),($L17+1)&amp;"$",OFFSET(U19,1,0,$Q17-2)))</f>
        <v>0</v>
      </c>
      <c r="V19" s="220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$120,"="&amp;CRONO!V$12,CÁLCULO!$AB$15:$AL$120)/(ORÇAMENTO!$X$15-CÁLCULO.TotalAdmLocal)*CRONO!$E19,0),V18*$R17),SUMIF(OFFSET($R19,1,0,$Q17-2),($L17+1)&amp;"$",OFFSET(V19,1,0,$Q17-2)))</f>
        <v>0</v>
      </c>
      <c r="W19" s="220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$120,"="&amp;CRONO!W$12,CÁLCULO!$AB$15:$AL$120)/(ORÇAMENTO!$X$15-CÁLCULO.TotalAdmLocal)*CRONO!$E19,0),W18*$R17),SUMIF(OFFSET($R19,1,0,$Q17-2),($L17+1)&amp;"$",OFFSET(W19,1,0,$Q17-2)))</f>
        <v>0</v>
      </c>
      <c r="X19" s="220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$120,"="&amp;CRONO!X$12,CÁLCULO!$AB$15:$AL$120)/(ORÇAMENTO!$X$15-CÁLCULO.TotalAdmLocal)*CRONO!$E19,0),X18*$R17),SUMIF(OFFSET($R19,1,0,$Q17-2),($L17+1)&amp;"$",OFFSET(X19,1,0,$Q17-2)))</f>
        <v>0</v>
      </c>
      <c r="Y19" s="220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$120,"="&amp;CRONO!Y$12,CÁLCULO!$AB$15:$AL$120)/(ORÇAMENTO!$X$15-CÁLCULO.TotalAdmLocal)*CRONO!$E19,0),Y18*$R17),SUMIF(OFFSET($R19,1,0,$Q17-2),($L17+1)&amp;"$",OFFSET(Y19,1,0,$Q17-2)))</f>
        <v>0</v>
      </c>
      <c r="Z19" s="220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$120,"="&amp;CRONO!Z$12,CÁLCULO!$AB$15:$AL$120)/(ORÇAMENTO!$X$15-CÁLCULO.TotalAdmLocal)*CRONO!$E19,0),Z18*$R17),SUMIF(OFFSET($R19,1,0,$Q17-2),($L17+1)&amp;"$",OFFSET(Z19,1,0,$Q17-2)))</f>
        <v>0</v>
      </c>
      <c r="AA19" s="220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$120,"="&amp;CRONO!AA$12,CÁLCULO!$AB$15:$AL$120)/(ORÇAMENTO!$X$15-CÁLCULO.TotalAdmLocal)*CRONO!$E19,0),AA18*$R17),SUMIF(OFFSET($R19,1,0,$Q17-2),($L17+1)&amp;"$",OFFSET(AA19,1,0,$Q17-2)))</f>
        <v>0</v>
      </c>
      <c r="AB19" s="220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$120,"="&amp;CRONO!AB$12,CÁLCULO!$AB$15:$AL$120)/(ORÇAMENTO!$X$15-CÁLCULO.TotalAdmLocal)*CRONO!$E19,0),AB18*$R17),SUMIF(OFFSET($R19,1,0,$Q17-2),($L17+1)&amp;"$",OFFSET(AB19,1,0,$Q17-2)))</f>
        <v>0</v>
      </c>
      <c r="AC19" s="220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$120,"="&amp;CRONO!AC$12,CÁLCULO!$AB$15:$AL$120)/(ORÇAMENTO!$X$15-CÁLCULO.TotalAdmLocal)*CRONO!$E19,0),AC18*$R17),SUMIF(OFFSET($R19,1,0,$Q17-2),($L17+1)&amp;"$",OFFSET(AC19,1,0,$Q17-2)))</f>
        <v>0</v>
      </c>
      <c r="AD19" s="220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$120,"="&amp;CRONO!AD$12,CÁLCULO!$AB$15:$AL$120)/(ORÇAMENTO!$X$15-CÁLCULO.TotalAdmLocal)*CRONO!$E19,0),AD18*$R17),SUMIF(OFFSET($R19,1,0,$Q17-2),($L17+1)&amp;"$",OFFSET(AD19,1,0,$Q17-2)))</f>
        <v>0</v>
      </c>
      <c r="AE19" s="225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$120,"="&amp;CRONO!AE$12,CÁLCULO!$AB$15:$AL$120)/(ORÇAMENTO!$X$15-CÁLCULO.TotalAdmLocal)*CRONO!$E19,0),AE18*$R17),SUMIF(OFFSET($R19,1,0,$Q17-2),($L17+1)&amp;"$",OFFSET(AE19,1,0,$Q17-2)))</f>
        <v>0</v>
      </c>
    </row>
    <row r="20" spans="1:32" x14ac:dyDescent="0.2">
      <c r="A20" s="201">
        <f t="shared" ref="A20" ca="1" si="17">OFFSET(A20,-3,0)+1</f>
        <v>3</v>
      </c>
      <c r="B20" s="201">
        <f ca="1">IF($Q20&lt;&gt;2,0,IF($R20=0,1,IF(E21&gt;0,OFFSET(QCI!$M$13,SUBSTITUTE(E21,".",""),0),OFFSET(ORÇAMENTO!$AA$15,CRONO!$E20,0))/$R20))</f>
        <v>1</v>
      </c>
      <c r="C20" s="201">
        <f ca="1">IF($Q20&lt;&gt;2,0,IF($R20=0,1,IF(E21&gt;0,OFFSET(QCI!$N$13,SUBSTITUTE(E21,".",""),0),OFFSET(ORÇAMENTO!$AB$15,CRONO!$E20,0))/$R20))</f>
        <v>1</v>
      </c>
      <c r="D20" s="204">
        <f ca="1">IF(AND($Q20=2,ACOMPANHAMENTO="BM"),D21,D22/$R20)</f>
        <v>0</v>
      </c>
      <c r="E20" s="201">
        <f ca="1">IF(A20&lt;=ORÇAMENTO.MáximoListaCrono,MATCH(A20,ORÇAMENTO.ListaCrono,0),NA())</f>
        <v>7</v>
      </c>
      <c r="F20" s="201" t="str">
        <f t="shared" ref="F20" ca="1" si="18">IF(AND($E21&lt;&gt;-1,$R20&gt;0),"F","")</f>
        <v/>
      </c>
      <c r="G20" s="205" t="str">
        <f ca="1">IF(OR(R20=0,R20=""),"Linha",IF(AND(OR(ACOMPANHAMENTO="PLE",$Q20&lt;&gt;2),$E21=0),"Linha",1-SUM(T20:AF20)))</f>
        <v>Linha</v>
      </c>
      <c r="H20" s="206" t="str">
        <f ca="1">IF($E21=0,OFFSET(ORÇAMENTO!O$15,$E20,0),IF($E21&lt;&gt;-1,OFFSET(QCI!$D$13,$E21,0),""))</f>
        <v>1.2.</v>
      </c>
      <c r="I20" s="207" t="str">
        <f ca="1">IF($E21=0,OFFSET(ORÇAMENTO!R$15,$E20,0),IF($E21&lt;&gt;-1,OFFSET(QCI!$G$13,$E21,0),""))</f>
        <v>SERVIÇOS PRELIMINARES</v>
      </c>
      <c r="J20" s="207"/>
      <c r="K20" s="207"/>
      <c r="L20" s="208">
        <f ca="1">IF($E21=0,OFFSET(ORÇAMENTO!C$15,$E20,0),1)</f>
        <v>2</v>
      </c>
      <c r="M20" s="209">
        <f ca="1">IF($E21=-1,0,IF(M$13&lt;=$L20,IF(ISERROR(MATCH(M$13,OFFSET($L20,1,0,ROW($L$164)-ROW($L20)-1),0)),ROW($L$164)-ROW($L20)-1,MATCH(M$13,OFFSET($L20,1,0,ROW($L$164)-ROW($L20)-1),0)-1),0))</f>
        <v>38</v>
      </c>
      <c r="N20" s="209">
        <f ca="1">IF($E21=-1,0,IF(N$13&lt;=$L20,IF(ISERROR(MATCH(N$13,OFFSET($L20,1,0,ROW($L$164)-ROW($L20)-1),0)),ROW($L$164)-ROW($L20)-1,MATCH(N$13,OFFSET($L20,1,0,ROW($L$164)-ROW($L20)-1),0)-1),0))</f>
        <v>2</v>
      </c>
      <c r="O20" s="209">
        <f ca="1">IF($E21=-1,0,IF(O$13&lt;=$L20,IF(ISERROR(MATCH(O$13,OFFSET($L20,1,0,ROW($L$164)-ROW($L20)-1),0)),ROW($L$164)-ROW($L20)-1,MATCH(O$13,OFFSET($L20,1,0,ROW($L$164)-ROW($L20)-1),0)-1),0))</f>
        <v>0</v>
      </c>
      <c r="P20" s="209">
        <f ca="1">IF($E21=-1,0,IF(P$13&lt;=$L20,IF(ISERROR(MATCH(P$13,OFFSET($L20,1,0,ROW($L$164)-ROW($L20)-1),0)),ROW($L$164)-ROW($L20)-1,MATCH(P$13,OFFSET($L20,1,0,ROW($L$164)-ROW($L20)-1),0)-1),0))</f>
        <v>0</v>
      </c>
      <c r="Q20" s="209">
        <f t="shared" ref="Q20" ca="1" si="19">MIN(OFFSET(L20,0,1,,L20))</f>
        <v>2</v>
      </c>
      <c r="R20" s="210">
        <f ca="1">IF($E21=0,OFFSET(ORÇAMENTO!X$15,$E20,0),IF($E21&lt;&gt;-1,OFFSET(QCI!$O$13,$E21,0),""))</f>
        <v>0</v>
      </c>
      <c r="S20" s="211" t="s">
        <v>270</v>
      </c>
      <c r="T20" s="212">
        <f t="shared" ref="T20:AE20" ca="1" si="20">IF(AND($Q20=2,ACOMPANHAMENTO="BM"),T21,T22/$R20)</f>
        <v>1</v>
      </c>
      <c r="U20" s="204">
        <f t="shared" ca="1" si="20"/>
        <v>0</v>
      </c>
      <c r="V20" s="204">
        <f t="shared" ca="1" si="20"/>
        <v>0</v>
      </c>
      <c r="W20" s="204">
        <f t="shared" ca="1" si="20"/>
        <v>0</v>
      </c>
      <c r="X20" s="204">
        <f t="shared" ca="1" si="20"/>
        <v>0</v>
      </c>
      <c r="Y20" s="204">
        <f t="shared" ca="1" si="20"/>
        <v>0</v>
      </c>
      <c r="Z20" s="204">
        <f t="shared" ca="1" si="20"/>
        <v>0</v>
      </c>
      <c r="AA20" s="204">
        <f t="shared" ca="1" si="20"/>
        <v>0</v>
      </c>
      <c r="AB20" s="204">
        <f t="shared" ca="1" si="20"/>
        <v>0</v>
      </c>
      <c r="AC20" s="204">
        <f t="shared" ca="1" si="20"/>
        <v>0</v>
      </c>
      <c r="AD20" s="204">
        <f t="shared" ca="1" si="20"/>
        <v>0</v>
      </c>
      <c r="AE20" s="213">
        <f t="shared" ca="1" si="20"/>
        <v>0</v>
      </c>
    </row>
    <row r="21" spans="1:32" ht="12.75" customHeight="1" x14ac:dyDescent="0.2">
      <c r="D21" s="566"/>
      <c r="E21" s="201">
        <f ca="1">IF(ISERROR(E20),IF(1+COUNTIF($L$13:OFFSET(L20,-1,0),1)&lt;=MAX(QCI!$D$13:$D$24),1+COUNTIF($L$13:OFFSET(L20,-1,0),1),-1),0)</f>
        <v>0</v>
      </c>
      <c r="F21" s="201" t="str">
        <f t="shared" ref="F21" ca="1" si="21">IF(AND($E21&lt;&gt;-1,$R20&gt;0),"F","")</f>
        <v/>
      </c>
      <c r="G21" s="214" t="str">
        <f ca="1">IF(OR(R20=0,R20=""),"vazia",IF(AND(OR(ACOMPANHAMENTO="PLE",$Q20&lt;&gt;2),$E21=0),"calculada","--&gt;"))</f>
        <v>vazia</v>
      </c>
      <c r="H21" s="215"/>
      <c r="I21" s="216" t="str">
        <f t="shared" ref="I21" ca="1" si="22">IF(AND(G20&lt;&gt;0,ISNUMBER(G20)),"PREENCHA ESTA LINHA --&gt;","")</f>
        <v/>
      </c>
      <c r="J21" s="216"/>
      <c r="K21" s="216"/>
      <c r="L21" s="217"/>
      <c r="M21" s="217"/>
      <c r="N21" s="217"/>
      <c r="O21" s="217"/>
      <c r="P21" s="217"/>
      <c r="Q21" s="217"/>
      <c r="R21" s="218"/>
      <c r="S21" s="219"/>
      <c r="T21" s="567">
        <v>1</v>
      </c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8"/>
      <c r="AF21" s="530"/>
    </row>
    <row r="22" spans="1:32" ht="0.2" hidden="1" customHeight="1" x14ac:dyDescent="0.2">
      <c r="D22" s="220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$120,"="&amp;CRONO!D$12,CÁLCULO!$AB$15:$AL$120)/(ORÇAMENTO!$X$15-CÁLCULO.TotalAdmLocal)*CRONO!$E22,0),D21*$R20),SUMIF(OFFSET($R22,1,0,$Q20-2),($L20+1)&amp;"$",OFFSET(D22,1,0,$Q20-2)))</f>
        <v>0</v>
      </c>
      <c r="E22" s="201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21"/>
      <c r="R22" s="222" t="str">
        <f t="shared" ref="R22" ca="1" si="23">L20&amp;"$"</f>
        <v>2$</v>
      </c>
      <c r="S22" s="223"/>
      <c r="T22" s="224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$120,"&lt;="&amp;CRONO!T$12,CÁLCULO!$AB$15:$AL$120)/(ORÇAMENTO!$X$15-CÁLCULO.TotalAdmLocal)*CRONO!$E22,0),T21*$R20),SUMIF(OFFSET($R22,1,0,$Q20-2),($L20+1)&amp;"$",OFFSET(T22,1,0,$Q20-2)))</f>
        <v>0</v>
      </c>
      <c r="U22" s="220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$120,"="&amp;CRONO!U$12,CÁLCULO!$AB$15:$AL$120)/(ORÇAMENTO!$X$15-CÁLCULO.TotalAdmLocal)*CRONO!$E22,0),U21*$R20),SUMIF(OFFSET($R22,1,0,$Q20-2),($L20+1)&amp;"$",OFFSET(U22,1,0,$Q20-2)))</f>
        <v>0</v>
      </c>
      <c r="V22" s="220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$120,"="&amp;CRONO!V$12,CÁLCULO!$AB$15:$AL$120)/(ORÇAMENTO!$X$15-CÁLCULO.TotalAdmLocal)*CRONO!$E22,0),V21*$R20),SUMIF(OFFSET($R22,1,0,$Q20-2),($L20+1)&amp;"$",OFFSET(V22,1,0,$Q20-2)))</f>
        <v>0</v>
      </c>
      <c r="W22" s="220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$120,"="&amp;CRONO!W$12,CÁLCULO!$AB$15:$AL$120)/(ORÇAMENTO!$X$15-CÁLCULO.TotalAdmLocal)*CRONO!$E22,0),W21*$R20),SUMIF(OFFSET($R22,1,0,$Q20-2),($L20+1)&amp;"$",OFFSET(W22,1,0,$Q20-2)))</f>
        <v>0</v>
      </c>
      <c r="X22" s="220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$120,"="&amp;CRONO!X$12,CÁLCULO!$AB$15:$AL$120)/(ORÇAMENTO!$X$15-CÁLCULO.TotalAdmLocal)*CRONO!$E22,0),X21*$R20),SUMIF(OFFSET($R22,1,0,$Q20-2),($L20+1)&amp;"$",OFFSET(X22,1,0,$Q20-2)))</f>
        <v>0</v>
      </c>
      <c r="Y22" s="220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$120,"="&amp;CRONO!Y$12,CÁLCULO!$AB$15:$AL$120)/(ORÇAMENTO!$X$15-CÁLCULO.TotalAdmLocal)*CRONO!$E22,0),Y21*$R20),SUMIF(OFFSET($R22,1,0,$Q20-2),($L20+1)&amp;"$",OFFSET(Y22,1,0,$Q20-2)))</f>
        <v>0</v>
      </c>
      <c r="Z22" s="220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$120,"="&amp;CRONO!Z$12,CÁLCULO!$AB$15:$AL$120)/(ORÇAMENTO!$X$15-CÁLCULO.TotalAdmLocal)*CRONO!$E22,0),Z21*$R20),SUMIF(OFFSET($R22,1,0,$Q20-2),($L20+1)&amp;"$",OFFSET(Z22,1,0,$Q20-2)))</f>
        <v>0</v>
      </c>
      <c r="AA22" s="220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$120,"="&amp;CRONO!AA$12,CÁLCULO!$AB$15:$AL$120)/(ORÇAMENTO!$X$15-CÁLCULO.TotalAdmLocal)*CRONO!$E22,0),AA21*$R20),SUMIF(OFFSET($R22,1,0,$Q20-2),($L20+1)&amp;"$",OFFSET(AA22,1,0,$Q20-2)))</f>
        <v>0</v>
      </c>
      <c r="AB22" s="220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$120,"="&amp;CRONO!AB$12,CÁLCULO!$AB$15:$AL$120)/(ORÇAMENTO!$X$15-CÁLCULO.TotalAdmLocal)*CRONO!$E22,0),AB21*$R20),SUMIF(OFFSET($R22,1,0,$Q20-2),($L20+1)&amp;"$",OFFSET(AB22,1,0,$Q20-2)))</f>
        <v>0</v>
      </c>
      <c r="AC22" s="220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$120,"="&amp;CRONO!AC$12,CÁLCULO!$AB$15:$AL$120)/(ORÇAMENTO!$X$15-CÁLCULO.TotalAdmLocal)*CRONO!$E22,0),AC21*$R20),SUMIF(OFFSET($R22,1,0,$Q20-2),($L20+1)&amp;"$",OFFSET(AC22,1,0,$Q20-2)))</f>
        <v>0</v>
      </c>
      <c r="AD22" s="220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$120,"="&amp;CRONO!AD$12,CÁLCULO!$AB$15:$AL$120)/(ORÇAMENTO!$X$15-CÁLCULO.TotalAdmLocal)*CRONO!$E22,0),AD21*$R20),SUMIF(OFFSET($R22,1,0,$Q20-2),($L20+1)&amp;"$",OFFSET(AD22,1,0,$Q20-2)))</f>
        <v>0</v>
      </c>
      <c r="AE22" s="225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$120,"="&amp;CRONO!AE$12,CÁLCULO!$AB$15:$AL$120)/(ORÇAMENTO!$X$15-CÁLCULO.TotalAdmLocal)*CRONO!$E22,0),AE21*$R20),SUMIF(OFFSET($R22,1,0,$Q20-2),($L20+1)&amp;"$",OFFSET(AE22,1,0,$Q20-2)))</f>
        <v>0</v>
      </c>
    </row>
    <row r="23" spans="1:32" x14ac:dyDescent="0.2">
      <c r="A23" s="201">
        <f t="shared" ref="A23" ca="1" si="24">OFFSET(A23,-3,0)+1</f>
        <v>4</v>
      </c>
      <c r="B23" s="201">
        <f ca="1">IF($Q23&lt;&gt;2,0,IF($R23=0,1,IF(E24&gt;0,OFFSET(QCI!$M$13,SUBSTITUTE(E24,".",""),0),OFFSET(ORÇAMENTO!$AA$15,CRONO!$E23,0))/$R23))</f>
        <v>1</v>
      </c>
      <c r="C23" s="201">
        <f ca="1">IF($Q23&lt;&gt;2,0,IF($R23=0,1,IF(E24&gt;0,OFFSET(QCI!$N$13,SUBSTITUTE(E24,".",""),0),OFFSET(ORÇAMENTO!$AB$15,CRONO!$E23,0))/$R23))</f>
        <v>1</v>
      </c>
      <c r="D23" s="204">
        <f ca="1">IF(AND($Q23=2,ACOMPANHAMENTO="BM"),D24,D25/$R23)</f>
        <v>0</v>
      </c>
      <c r="E23" s="201">
        <f ca="1">IF(A23&lt;=ORÇAMENTO.MáximoListaCrono,MATCH(A23,ORÇAMENTO.ListaCrono,0),NA())</f>
        <v>13</v>
      </c>
      <c r="F23" s="201" t="str">
        <f t="shared" ref="F23" ca="1" si="25">IF(AND($E24&lt;&gt;-1,$R23&gt;0),"F","")</f>
        <v/>
      </c>
      <c r="G23" s="205" t="str">
        <f ca="1">IF(OR(R23=0,R23=""),"Linha",IF(AND(OR(ACOMPANHAMENTO="PLE",$Q23&lt;&gt;2),$E24=0),"Linha",1-SUM(T23:AF23)))</f>
        <v>Linha</v>
      </c>
      <c r="H23" s="206" t="str">
        <f ca="1">IF($E24=0,OFFSET(ORÇAMENTO!O$15,$E23,0),IF($E24&lt;&gt;-1,OFFSET(QCI!$D$13,$E24,0),""))</f>
        <v>1.3.</v>
      </c>
      <c r="I23" s="207" t="str">
        <f ca="1">IF($E24=0,OFFSET(ORÇAMENTO!R$15,$E23,0),IF($E24&lt;&gt;-1,OFFSET(QCI!$G$13,$E24,0),""))</f>
        <v>FUNDAÇÕES</v>
      </c>
      <c r="J23" s="207"/>
      <c r="K23" s="207"/>
      <c r="L23" s="208">
        <f ca="1">IF($E24=0,OFFSET(ORÇAMENTO!C$15,$E23,0),1)</f>
        <v>2</v>
      </c>
      <c r="M23" s="209">
        <f ca="1">IF($E24=-1,0,IF(M$13&lt;=$L23,IF(ISERROR(MATCH(M$13,OFFSET($L23,1,0,ROW($L$164)-ROW($L23)-1),0)),ROW($L$164)-ROW($L23)-1,MATCH(M$13,OFFSET($L23,1,0,ROW($L$164)-ROW($L23)-1),0)-1),0))</f>
        <v>35</v>
      </c>
      <c r="N23" s="209">
        <f ca="1">IF($E24=-1,0,IF(N$13&lt;=$L23,IF(ISERROR(MATCH(N$13,OFFSET($L23,1,0,ROW($L$164)-ROW($L23)-1),0)),ROW($L$164)-ROW($L23)-1,MATCH(N$13,OFFSET($L23,1,0,ROW($L$164)-ROW($L23)-1),0)-1),0))</f>
        <v>2</v>
      </c>
      <c r="O23" s="209">
        <f ca="1">IF($E24=-1,0,IF(O$13&lt;=$L23,IF(ISERROR(MATCH(O$13,OFFSET($L23,1,0,ROW($L$164)-ROW($L23)-1),0)),ROW($L$164)-ROW($L23)-1,MATCH(O$13,OFFSET($L23,1,0,ROW($L$164)-ROW($L23)-1),0)-1),0))</f>
        <v>0</v>
      </c>
      <c r="P23" s="209">
        <f ca="1">IF($E24=-1,0,IF(P$13&lt;=$L23,IF(ISERROR(MATCH(P$13,OFFSET($L23,1,0,ROW($L$164)-ROW($L23)-1),0)),ROW($L$164)-ROW($L23)-1,MATCH(P$13,OFFSET($L23,1,0,ROW($L$164)-ROW($L23)-1),0)-1),0))</f>
        <v>0</v>
      </c>
      <c r="Q23" s="209">
        <f t="shared" ref="Q23" ca="1" si="26">MIN(OFFSET(L23,0,1,,L23))</f>
        <v>2</v>
      </c>
      <c r="R23" s="210">
        <f ca="1">IF($E24=0,OFFSET(ORÇAMENTO!X$15,$E23,0),IF($E24&lt;&gt;-1,OFFSET(QCI!$O$13,$E24,0),""))</f>
        <v>0</v>
      </c>
      <c r="S23" s="211" t="s">
        <v>270</v>
      </c>
      <c r="T23" s="212">
        <f t="shared" ref="T23:AE23" ca="1" si="27">IF(AND($Q23=2,ACOMPANHAMENTO="BM"),T24,T25/$R23)</f>
        <v>1</v>
      </c>
      <c r="U23" s="204">
        <f t="shared" ca="1" si="27"/>
        <v>0</v>
      </c>
      <c r="V23" s="204">
        <f t="shared" ca="1" si="27"/>
        <v>0</v>
      </c>
      <c r="W23" s="204">
        <f t="shared" ca="1" si="27"/>
        <v>0</v>
      </c>
      <c r="X23" s="204">
        <f t="shared" ca="1" si="27"/>
        <v>0</v>
      </c>
      <c r="Y23" s="204">
        <f t="shared" ca="1" si="27"/>
        <v>0</v>
      </c>
      <c r="Z23" s="204">
        <f t="shared" ca="1" si="27"/>
        <v>0</v>
      </c>
      <c r="AA23" s="204">
        <f t="shared" ca="1" si="27"/>
        <v>0</v>
      </c>
      <c r="AB23" s="204">
        <f t="shared" ca="1" si="27"/>
        <v>0</v>
      </c>
      <c r="AC23" s="204">
        <f t="shared" ca="1" si="27"/>
        <v>0</v>
      </c>
      <c r="AD23" s="204">
        <f t="shared" ca="1" si="27"/>
        <v>0</v>
      </c>
      <c r="AE23" s="213">
        <f t="shared" ca="1" si="27"/>
        <v>0</v>
      </c>
    </row>
    <row r="24" spans="1:32" ht="12.75" customHeight="1" x14ac:dyDescent="0.2">
      <c r="D24" s="566"/>
      <c r="E24" s="201">
        <f ca="1">IF(ISERROR(E23),IF(1+COUNTIF($L$13:OFFSET(L23,-1,0),1)&lt;=MAX(QCI!$D$13:$D$24),1+COUNTIF($L$13:OFFSET(L23,-1,0),1),-1),0)</f>
        <v>0</v>
      </c>
      <c r="F24" s="201" t="str">
        <f t="shared" ref="F24" ca="1" si="28">IF(AND($E24&lt;&gt;-1,$R23&gt;0),"F","")</f>
        <v/>
      </c>
      <c r="G24" s="214" t="str">
        <f ca="1">IF(OR(R23=0,R23=""),"vazia",IF(AND(OR(ACOMPANHAMENTO="PLE",$Q23&lt;&gt;2),$E24=0),"calculada","--&gt;"))</f>
        <v>vazia</v>
      </c>
      <c r="H24" s="215"/>
      <c r="I24" s="216" t="str">
        <f t="shared" ref="I24" ca="1" si="29">IF(AND(G23&lt;&gt;0,ISNUMBER(G23)),"PREENCHA ESTA LINHA --&gt;","")</f>
        <v/>
      </c>
      <c r="J24" s="216"/>
      <c r="K24" s="216"/>
      <c r="L24" s="217"/>
      <c r="M24" s="217"/>
      <c r="N24" s="217"/>
      <c r="O24" s="217"/>
      <c r="P24" s="217"/>
      <c r="Q24" s="217"/>
      <c r="R24" s="218"/>
      <c r="S24" s="219"/>
      <c r="T24" s="567">
        <v>1</v>
      </c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8"/>
      <c r="AF24" s="530"/>
    </row>
    <row r="25" spans="1:32" ht="0.2" hidden="1" customHeight="1" x14ac:dyDescent="0.2">
      <c r="D25" s="220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$120,"="&amp;CRONO!D$12,CÁLCULO!$AB$15:$AL$120)/(ORÇAMENTO!$X$15-CÁLCULO.TotalAdmLocal)*CRONO!$E25,0),D24*$R23),SUMIF(OFFSET($R25,1,0,$Q23-2),($L23+1)&amp;"$",OFFSET(D25,1,0,$Q23-2)))</f>
        <v>0</v>
      </c>
      <c r="E25" s="201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21"/>
      <c r="R25" s="222" t="str">
        <f t="shared" ref="R25" ca="1" si="30">L23&amp;"$"</f>
        <v>2$</v>
      </c>
      <c r="S25" s="223"/>
      <c r="T25" s="224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$120,"&lt;="&amp;CRONO!T$12,CÁLCULO!$AB$15:$AL$120)/(ORÇAMENTO!$X$15-CÁLCULO.TotalAdmLocal)*CRONO!$E25,0),T24*$R23),SUMIF(OFFSET($R25,1,0,$Q23-2),($L23+1)&amp;"$",OFFSET(T25,1,0,$Q23-2)))</f>
        <v>0</v>
      </c>
      <c r="U25" s="220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$120,"="&amp;CRONO!U$12,CÁLCULO!$AB$15:$AL$120)/(ORÇAMENTO!$X$15-CÁLCULO.TotalAdmLocal)*CRONO!$E25,0),U24*$R23),SUMIF(OFFSET($R25,1,0,$Q23-2),($L23+1)&amp;"$",OFFSET(U25,1,0,$Q23-2)))</f>
        <v>0</v>
      </c>
      <c r="V25" s="220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$120,"="&amp;CRONO!V$12,CÁLCULO!$AB$15:$AL$120)/(ORÇAMENTO!$X$15-CÁLCULO.TotalAdmLocal)*CRONO!$E25,0),V24*$R23),SUMIF(OFFSET($R25,1,0,$Q23-2),($L23+1)&amp;"$",OFFSET(V25,1,0,$Q23-2)))</f>
        <v>0</v>
      </c>
      <c r="W25" s="220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$120,"="&amp;CRONO!W$12,CÁLCULO!$AB$15:$AL$120)/(ORÇAMENTO!$X$15-CÁLCULO.TotalAdmLocal)*CRONO!$E25,0),W24*$R23),SUMIF(OFFSET($R25,1,0,$Q23-2),($L23+1)&amp;"$",OFFSET(W25,1,0,$Q23-2)))</f>
        <v>0</v>
      </c>
      <c r="X25" s="220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$120,"="&amp;CRONO!X$12,CÁLCULO!$AB$15:$AL$120)/(ORÇAMENTO!$X$15-CÁLCULO.TotalAdmLocal)*CRONO!$E25,0),X24*$R23),SUMIF(OFFSET($R25,1,0,$Q23-2),($L23+1)&amp;"$",OFFSET(X25,1,0,$Q23-2)))</f>
        <v>0</v>
      </c>
      <c r="Y25" s="220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$120,"="&amp;CRONO!Y$12,CÁLCULO!$AB$15:$AL$120)/(ORÇAMENTO!$X$15-CÁLCULO.TotalAdmLocal)*CRONO!$E25,0),Y24*$R23),SUMIF(OFFSET($R25,1,0,$Q23-2),($L23+1)&amp;"$",OFFSET(Y25,1,0,$Q23-2)))</f>
        <v>0</v>
      </c>
      <c r="Z25" s="220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$120,"="&amp;CRONO!Z$12,CÁLCULO!$AB$15:$AL$120)/(ORÇAMENTO!$X$15-CÁLCULO.TotalAdmLocal)*CRONO!$E25,0),Z24*$R23),SUMIF(OFFSET($R25,1,0,$Q23-2),($L23+1)&amp;"$",OFFSET(Z25,1,0,$Q23-2)))</f>
        <v>0</v>
      </c>
      <c r="AA25" s="220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$120,"="&amp;CRONO!AA$12,CÁLCULO!$AB$15:$AL$120)/(ORÇAMENTO!$X$15-CÁLCULO.TotalAdmLocal)*CRONO!$E25,0),AA24*$R23),SUMIF(OFFSET($R25,1,0,$Q23-2),($L23+1)&amp;"$",OFFSET(AA25,1,0,$Q23-2)))</f>
        <v>0</v>
      </c>
      <c r="AB25" s="220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$120,"="&amp;CRONO!AB$12,CÁLCULO!$AB$15:$AL$120)/(ORÇAMENTO!$X$15-CÁLCULO.TotalAdmLocal)*CRONO!$E25,0),AB24*$R23),SUMIF(OFFSET($R25,1,0,$Q23-2),($L23+1)&amp;"$",OFFSET(AB25,1,0,$Q23-2)))</f>
        <v>0</v>
      </c>
      <c r="AC25" s="220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$120,"="&amp;CRONO!AC$12,CÁLCULO!$AB$15:$AL$120)/(ORÇAMENTO!$X$15-CÁLCULO.TotalAdmLocal)*CRONO!$E25,0),AC24*$R23),SUMIF(OFFSET($R25,1,0,$Q23-2),($L23+1)&amp;"$",OFFSET(AC25,1,0,$Q23-2)))</f>
        <v>0</v>
      </c>
      <c r="AD25" s="220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$120,"="&amp;CRONO!AD$12,CÁLCULO!$AB$15:$AL$120)/(ORÇAMENTO!$X$15-CÁLCULO.TotalAdmLocal)*CRONO!$E25,0),AD24*$R23),SUMIF(OFFSET($R25,1,0,$Q23-2),($L23+1)&amp;"$",OFFSET(AD25,1,0,$Q23-2)))</f>
        <v>0</v>
      </c>
      <c r="AE25" s="225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$120,"="&amp;CRONO!AE$12,CÁLCULO!$AB$15:$AL$120)/(ORÇAMENTO!$X$15-CÁLCULO.TotalAdmLocal)*CRONO!$E25,0),AE24*$R23),SUMIF(OFFSET($R25,1,0,$Q23-2),($L23+1)&amp;"$",OFFSET(AE25,1,0,$Q23-2)))</f>
        <v>0</v>
      </c>
    </row>
    <row r="26" spans="1:32" x14ac:dyDescent="0.2">
      <c r="A26" s="201">
        <f t="shared" ref="A26" ca="1" si="31">OFFSET(A26,-3,0)+1</f>
        <v>5</v>
      </c>
      <c r="B26" s="201">
        <f ca="1">IF($Q26&lt;&gt;2,0,IF($R26=0,1,IF(E27&gt;0,OFFSET(QCI!$M$13,SUBSTITUTE(E27,".",""),0),OFFSET(ORÇAMENTO!$AA$15,CRONO!$E26,0))/$R26))</f>
        <v>1</v>
      </c>
      <c r="C26" s="201">
        <f ca="1">IF($Q26&lt;&gt;2,0,IF($R26=0,1,IF(E27&gt;0,OFFSET(QCI!$N$13,SUBSTITUTE(E27,".",""),0),OFFSET(ORÇAMENTO!$AB$15,CRONO!$E26,0))/$R26))</f>
        <v>1</v>
      </c>
      <c r="D26" s="204">
        <f ca="1">IF(AND($Q26=2,ACOMPANHAMENTO="BM"),D27,D28/$R26)</f>
        <v>0</v>
      </c>
      <c r="E26" s="201">
        <f ca="1">IF(A26&lt;=ORÇAMENTO.MáximoListaCrono,MATCH(A26,ORÇAMENTO.ListaCrono,0),NA())</f>
        <v>27</v>
      </c>
      <c r="F26" s="201" t="str">
        <f t="shared" ref="F26" ca="1" si="32">IF(AND($E27&lt;&gt;-1,$R26&gt;0),"F","")</f>
        <v/>
      </c>
      <c r="G26" s="205" t="str">
        <f ca="1">IF(OR(R26=0,R26=""),"Linha",IF(AND(OR(ACOMPANHAMENTO="PLE",$Q26&lt;&gt;2),$E27=0),"Linha",1-SUM(T26:AF26)))</f>
        <v>Linha</v>
      </c>
      <c r="H26" s="206" t="str">
        <f ca="1">IF($E27=0,OFFSET(ORÇAMENTO!O$15,$E26,0),IF($E27&lt;&gt;-1,OFFSET(QCI!$D$13,$E27,0),""))</f>
        <v>1.4.</v>
      </c>
      <c r="I26" s="207" t="str">
        <f ca="1">IF($E27=0,OFFSET(ORÇAMENTO!R$15,$E26,0),IF($E27&lt;&gt;-1,OFFSET(QCI!$G$13,$E27,0),""))</f>
        <v>ESTRUTURA DE CONCRETO</v>
      </c>
      <c r="J26" s="207"/>
      <c r="K26" s="207"/>
      <c r="L26" s="208">
        <f ca="1">IF($E27=0,OFFSET(ORÇAMENTO!C$15,$E26,0),1)</f>
        <v>2</v>
      </c>
      <c r="M26" s="209">
        <f ca="1">IF($E27=-1,0,IF(M$13&lt;=$L26,IF(ISERROR(MATCH(M$13,OFFSET($L26,1,0,ROW($L$164)-ROW($L26)-1),0)),ROW($L$164)-ROW($L26)-1,MATCH(M$13,OFFSET($L26,1,0,ROW($L$164)-ROW($L26)-1),0)-1),0))</f>
        <v>32</v>
      </c>
      <c r="N26" s="209">
        <f ca="1">IF($E27=-1,0,IF(N$13&lt;=$L26,IF(ISERROR(MATCH(N$13,OFFSET($L26,1,0,ROW($L$164)-ROW($L26)-1),0)),ROW($L$164)-ROW($L26)-1,MATCH(N$13,OFFSET($L26,1,0,ROW($L$164)-ROW($L26)-1),0)-1),0))</f>
        <v>2</v>
      </c>
      <c r="O26" s="209">
        <f ca="1">IF($E27=-1,0,IF(O$13&lt;=$L26,IF(ISERROR(MATCH(O$13,OFFSET($L26,1,0,ROW($L$164)-ROW($L26)-1),0)),ROW($L$164)-ROW($L26)-1,MATCH(O$13,OFFSET($L26,1,0,ROW($L$164)-ROW($L26)-1),0)-1),0))</f>
        <v>0</v>
      </c>
      <c r="P26" s="209">
        <f ca="1">IF($E27=-1,0,IF(P$13&lt;=$L26,IF(ISERROR(MATCH(P$13,OFFSET($L26,1,0,ROW($L$164)-ROW($L26)-1),0)),ROW($L$164)-ROW($L26)-1,MATCH(P$13,OFFSET($L26,1,0,ROW($L$164)-ROW($L26)-1),0)-1),0))</f>
        <v>0</v>
      </c>
      <c r="Q26" s="209">
        <f t="shared" ref="Q26" ca="1" si="33">MIN(OFFSET(L26,0,1,,L26))</f>
        <v>2</v>
      </c>
      <c r="R26" s="210">
        <f ca="1">IF($E27=0,OFFSET(ORÇAMENTO!X$15,$E26,0),IF($E27&lt;&gt;-1,OFFSET(QCI!$O$13,$E27,0),""))</f>
        <v>0</v>
      </c>
      <c r="S26" s="211" t="s">
        <v>270</v>
      </c>
      <c r="T26" s="212">
        <f t="shared" ref="T26:AE26" ca="1" si="34">IF(AND($Q26=2,ACOMPANHAMENTO="BM"),T27,T28/$R26)</f>
        <v>0.5</v>
      </c>
      <c r="U26" s="204">
        <f t="shared" ca="1" si="34"/>
        <v>0.5</v>
      </c>
      <c r="V26" s="204">
        <f t="shared" ca="1" si="34"/>
        <v>0</v>
      </c>
      <c r="W26" s="204">
        <f t="shared" ca="1" si="34"/>
        <v>0</v>
      </c>
      <c r="X26" s="204">
        <f t="shared" ca="1" si="34"/>
        <v>0</v>
      </c>
      <c r="Y26" s="204">
        <f t="shared" ca="1" si="34"/>
        <v>0</v>
      </c>
      <c r="Z26" s="204">
        <f t="shared" ca="1" si="34"/>
        <v>0</v>
      </c>
      <c r="AA26" s="204">
        <f t="shared" ca="1" si="34"/>
        <v>0</v>
      </c>
      <c r="AB26" s="204">
        <f t="shared" ca="1" si="34"/>
        <v>0</v>
      </c>
      <c r="AC26" s="204">
        <f t="shared" ca="1" si="34"/>
        <v>0</v>
      </c>
      <c r="AD26" s="204">
        <f t="shared" ca="1" si="34"/>
        <v>0</v>
      </c>
      <c r="AE26" s="213">
        <f t="shared" ca="1" si="34"/>
        <v>0</v>
      </c>
    </row>
    <row r="27" spans="1:32" ht="12.75" customHeight="1" x14ac:dyDescent="0.2">
      <c r="D27" s="566"/>
      <c r="E27" s="201">
        <f ca="1">IF(ISERROR(E26),IF(1+COUNTIF($L$13:OFFSET(L26,-1,0),1)&lt;=MAX(QCI!$D$13:$D$24),1+COUNTIF($L$13:OFFSET(L26,-1,0),1),-1),0)</f>
        <v>0</v>
      </c>
      <c r="F27" s="201" t="str">
        <f t="shared" ref="F27" ca="1" si="35">IF(AND($E27&lt;&gt;-1,$R26&gt;0),"F","")</f>
        <v/>
      </c>
      <c r="G27" s="214" t="str">
        <f ca="1">IF(OR(R26=0,R26=""),"vazia",IF(AND(OR(ACOMPANHAMENTO="PLE",$Q26&lt;&gt;2),$E27=0),"calculada","--&gt;"))</f>
        <v>vazia</v>
      </c>
      <c r="H27" s="215"/>
      <c r="I27" s="216" t="str">
        <f t="shared" ref="I27" ca="1" si="36">IF(AND(G26&lt;&gt;0,ISNUMBER(G26)),"PREENCHA ESTA LINHA --&gt;","")</f>
        <v/>
      </c>
      <c r="J27" s="216"/>
      <c r="K27" s="216"/>
      <c r="L27" s="217"/>
      <c r="M27" s="217"/>
      <c r="N27" s="217"/>
      <c r="O27" s="217"/>
      <c r="P27" s="217"/>
      <c r="Q27" s="217"/>
      <c r="R27" s="218"/>
      <c r="S27" s="219"/>
      <c r="T27" s="567">
        <v>0.5</v>
      </c>
      <c r="U27" s="566">
        <v>0.5</v>
      </c>
      <c r="V27" s="566"/>
      <c r="W27" s="566"/>
      <c r="X27" s="566"/>
      <c r="Y27" s="566"/>
      <c r="Z27" s="566"/>
      <c r="AA27" s="566"/>
      <c r="AB27" s="566"/>
      <c r="AC27" s="566"/>
      <c r="AD27" s="566"/>
      <c r="AE27" s="568"/>
      <c r="AF27" s="530"/>
    </row>
    <row r="28" spans="1:32" ht="0.2" hidden="1" customHeight="1" x14ac:dyDescent="0.2">
      <c r="D28" s="220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$120,"="&amp;CRONO!D$12,CÁLCULO!$AB$15:$AL$120)/(ORÇAMENTO!$X$15-CÁLCULO.TotalAdmLocal)*CRONO!$E28,0),D27*$R26),SUMIF(OFFSET($R28,1,0,$Q26-2),($L26+1)&amp;"$",OFFSET(D28,1,0,$Q26-2)))</f>
        <v>0</v>
      </c>
      <c r="E28" s="201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21"/>
      <c r="R28" s="222" t="str">
        <f t="shared" ref="R28" ca="1" si="37">L26&amp;"$"</f>
        <v>2$</v>
      </c>
      <c r="S28" s="223"/>
      <c r="T28" s="224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$120,"&lt;="&amp;CRONO!T$12,CÁLCULO!$AB$15:$AL$120)/(ORÇAMENTO!$X$15-CÁLCULO.TotalAdmLocal)*CRONO!$E28,0),T27*$R26),SUMIF(OFFSET($R28,1,0,$Q26-2),($L26+1)&amp;"$",OFFSET(T28,1,0,$Q26-2)))</f>
        <v>0</v>
      </c>
      <c r="U28" s="220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$120,"="&amp;CRONO!U$12,CÁLCULO!$AB$15:$AL$120)/(ORÇAMENTO!$X$15-CÁLCULO.TotalAdmLocal)*CRONO!$E28,0),U27*$R26),SUMIF(OFFSET($R28,1,0,$Q26-2),($L26+1)&amp;"$",OFFSET(U28,1,0,$Q26-2)))</f>
        <v>0</v>
      </c>
      <c r="V28" s="220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$120,"="&amp;CRONO!V$12,CÁLCULO!$AB$15:$AL$120)/(ORÇAMENTO!$X$15-CÁLCULO.TotalAdmLocal)*CRONO!$E28,0),V27*$R26),SUMIF(OFFSET($R28,1,0,$Q26-2),($L26+1)&amp;"$",OFFSET(V28,1,0,$Q26-2)))</f>
        <v>0</v>
      </c>
      <c r="W28" s="220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$120,"="&amp;CRONO!W$12,CÁLCULO!$AB$15:$AL$120)/(ORÇAMENTO!$X$15-CÁLCULO.TotalAdmLocal)*CRONO!$E28,0),W27*$R26),SUMIF(OFFSET($R28,1,0,$Q26-2),($L26+1)&amp;"$",OFFSET(W28,1,0,$Q26-2)))</f>
        <v>0</v>
      </c>
      <c r="X28" s="220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$120,"="&amp;CRONO!X$12,CÁLCULO!$AB$15:$AL$120)/(ORÇAMENTO!$X$15-CÁLCULO.TotalAdmLocal)*CRONO!$E28,0),X27*$R26),SUMIF(OFFSET($R28,1,0,$Q26-2),($L26+1)&amp;"$",OFFSET(X28,1,0,$Q26-2)))</f>
        <v>0</v>
      </c>
      <c r="Y28" s="220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$120,"="&amp;CRONO!Y$12,CÁLCULO!$AB$15:$AL$120)/(ORÇAMENTO!$X$15-CÁLCULO.TotalAdmLocal)*CRONO!$E28,0),Y27*$R26),SUMIF(OFFSET($R28,1,0,$Q26-2),($L26+1)&amp;"$",OFFSET(Y28,1,0,$Q26-2)))</f>
        <v>0</v>
      </c>
      <c r="Z28" s="220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$120,"="&amp;CRONO!Z$12,CÁLCULO!$AB$15:$AL$120)/(ORÇAMENTO!$X$15-CÁLCULO.TotalAdmLocal)*CRONO!$E28,0),Z27*$R26),SUMIF(OFFSET($R28,1,0,$Q26-2),($L26+1)&amp;"$",OFFSET(Z28,1,0,$Q26-2)))</f>
        <v>0</v>
      </c>
      <c r="AA28" s="220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$120,"="&amp;CRONO!AA$12,CÁLCULO!$AB$15:$AL$120)/(ORÇAMENTO!$X$15-CÁLCULO.TotalAdmLocal)*CRONO!$E28,0),AA27*$R26),SUMIF(OFFSET($R28,1,0,$Q26-2),($L26+1)&amp;"$",OFFSET(AA28,1,0,$Q26-2)))</f>
        <v>0</v>
      </c>
      <c r="AB28" s="220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$120,"="&amp;CRONO!AB$12,CÁLCULO!$AB$15:$AL$120)/(ORÇAMENTO!$X$15-CÁLCULO.TotalAdmLocal)*CRONO!$E28,0),AB27*$R26),SUMIF(OFFSET($R28,1,0,$Q26-2),($L26+1)&amp;"$",OFFSET(AB28,1,0,$Q26-2)))</f>
        <v>0</v>
      </c>
      <c r="AC28" s="220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$120,"="&amp;CRONO!AC$12,CÁLCULO!$AB$15:$AL$120)/(ORÇAMENTO!$X$15-CÁLCULO.TotalAdmLocal)*CRONO!$E28,0),AC27*$R26),SUMIF(OFFSET($R28,1,0,$Q26-2),($L26+1)&amp;"$",OFFSET(AC28,1,0,$Q26-2)))</f>
        <v>0</v>
      </c>
      <c r="AD28" s="220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$120,"="&amp;CRONO!AD$12,CÁLCULO!$AB$15:$AL$120)/(ORÇAMENTO!$X$15-CÁLCULO.TotalAdmLocal)*CRONO!$E28,0),AD27*$R26),SUMIF(OFFSET($R28,1,0,$Q26-2),($L26+1)&amp;"$",OFFSET(AD28,1,0,$Q26-2)))</f>
        <v>0</v>
      </c>
      <c r="AE28" s="225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$120,"="&amp;CRONO!AE$12,CÁLCULO!$AB$15:$AL$120)/(ORÇAMENTO!$X$15-CÁLCULO.TotalAdmLocal)*CRONO!$E28,0),AE27*$R26),SUMIF(OFFSET($R28,1,0,$Q26-2),($L26+1)&amp;"$",OFFSET(AE28,1,0,$Q26-2)))</f>
        <v>0</v>
      </c>
    </row>
    <row r="29" spans="1:32" x14ac:dyDescent="0.2">
      <c r="A29" s="201">
        <f t="shared" ref="A29" ca="1" si="38">OFFSET(A29,-3,0)+1</f>
        <v>6</v>
      </c>
      <c r="B29" s="201">
        <f ca="1">IF($Q29&lt;&gt;2,0,IF($R29=0,1,IF(E30&gt;0,OFFSET(QCI!$M$13,SUBSTITUTE(E30,".",""),0),OFFSET(ORÇAMENTO!$AA$15,CRONO!$E29,0))/$R29))</f>
        <v>1</v>
      </c>
      <c r="C29" s="201">
        <f ca="1">IF($Q29&lt;&gt;2,0,IF($R29=0,1,IF(E30&gt;0,OFFSET(QCI!$N$13,SUBSTITUTE(E30,".",""),0),OFFSET(ORÇAMENTO!$AB$15,CRONO!$E29,0))/$R29))</f>
        <v>1</v>
      </c>
      <c r="D29" s="204">
        <f ca="1">IF(AND($Q29=2,ACOMPANHAMENTO="BM"),D30,D31/$R29)</f>
        <v>0</v>
      </c>
      <c r="E29" s="201">
        <f ca="1">IF(A29&lt;=ORÇAMENTO.MáximoListaCrono,MATCH(A29,ORÇAMENTO.ListaCrono,0),NA())</f>
        <v>35</v>
      </c>
      <c r="F29" s="201" t="str">
        <f t="shared" ref="F29" ca="1" si="39">IF(AND($E30&lt;&gt;-1,$R29&gt;0),"F","")</f>
        <v/>
      </c>
      <c r="G29" s="205" t="str">
        <f ca="1">IF(OR(R29=0,R29=""),"Linha",IF(AND(OR(ACOMPANHAMENTO="PLE",$Q29&lt;&gt;2),$E30=0),"Linha",1-SUM(T29:AF29)))</f>
        <v>Linha</v>
      </c>
      <c r="H29" s="206" t="str">
        <f ca="1">IF($E30=0,OFFSET(ORÇAMENTO!O$15,$E29,0),IF($E30&lt;&gt;-1,OFFSET(QCI!$D$13,$E30,0),""))</f>
        <v>1.5.</v>
      </c>
      <c r="I29" s="207" t="str">
        <f ca="1">IF($E30=0,OFFSET(ORÇAMENTO!R$15,$E29,0),IF($E30&lt;&gt;-1,OFFSET(QCI!$G$13,$E30,0),""))</f>
        <v>PAREDES E DIVISÓRIAS</v>
      </c>
      <c r="J29" s="207"/>
      <c r="K29" s="207"/>
      <c r="L29" s="208">
        <f ca="1">IF($E30=0,OFFSET(ORÇAMENTO!C$15,$E29,0),1)</f>
        <v>2</v>
      </c>
      <c r="M29" s="209">
        <f ca="1">IF($E30=-1,0,IF(M$13&lt;=$L29,IF(ISERROR(MATCH(M$13,OFFSET($L29,1,0,ROW($L$164)-ROW($L29)-1),0)),ROW($L$164)-ROW($L29)-1,MATCH(M$13,OFFSET($L29,1,0,ROW($L$164)-ROW($L29)-1),0)-1),0))</f>
        <v>29</v>
      </c>
      <c r="N29" s="209">
        <f ca="1">IF($E30=-1,0,IF(N$13&lt;=$L29,IF(ISERROR(MATCH(N$13,OFFSET($L29,1,0,ROW($L$164)-ROW($L29)-1),0)),ROW($L$164)-ROW($L29)-1,MATCH(N$13,OFFSET($L29,1,0,ROW($L$164)-ROW($L29)-1),0)-1),0))</f>
        <v>2</v>
      </c>
      <c r="O29" s="209">
        <f ca="1">IF($E30=-1,0,IF(O$13&lt;=$L29,IF(ISERROR(MATCH(O$13,OFFSET($L29,1,0,ROW($L$164)-ROW($L29)-1),0)),ROW($L$164)-ROW($L29)-1,MATCH(O$13,OFFSET($L29,1,0,ROW($L$164)-ROW($L29)-1),0)-1),0))</f>
        <v>0</v>
      </c>
      <c r="P29" s="209">
        <f ca="1">IF($E30=-1,0,IF(P$13&lt;=$L29,IF(ISERROR(MATCH(P$13,OFFSET($L29,1,0,ROW($L$164)-ROW($L29)-1),0)),ROW($L$164)-ROW($L29)-1,MATCH(P$13,OFFSET($L29,1,0,ROW($L$164)-ROW($L29)-1),0)-1),0))</f>
        <v>0</v>
      </c>
      <c r="Q29" s="209">
        <f t="shared" ref="Q29" ca="1" si="40">MIN(OFFSET(L29,0,1,,L29))</f>
        <v>2</v>
      </c>
      <c r="R29" s="210">
        <f ca="1">IF($E30=0,OFFSET(ORÇAMENTO!X$15,$E29,0),IF($E30&lt;&gt;-1,OFFSET(QCI!$O$13,$E30,0),""))</f>
        <v>0</v>
      </c>
      <c r="S29" s="211" t="s">
        <v>270</v>
      </c>
      <c r="T29" s="212">
        <f t="shared" ref="T29:AE29" ca="1" si="41">IF(AND($Q29=2,ACOMPANHAMENTO="BM"),T30,T31/$R29)</f>
        <v>0</v>
      </c>
      <c r="U29" s="204">
        <f t="shared" ca="1" si="41"/>
        <v>0.5</v>
      </c>
      <c r="V29" s="204">
        <f t="shared" ca="1" si="41"/>
        <v>0.5</v>
      </c>
      <c r="W29" s="204">
        <f t="shared" ca="1" si="41"/>
        <v>0</v>
      </c>
      <c r="X29" s="204">
        <f t="shared" ca="1" si="41"/>
        <v>0</v>
      </c>
      <c r="Y29" s="204">
        <f t="shared" ca="1" si="41"/>
        <v>0</v>
      </c>
      <c r="Z29" s="204">
        <f t="shared" ca="1" si="41"/>
        <v>0</v>
      </c>
      <c r="AA29" s="204">
        <f t="shared" ca="1" si="41"/>
        <v>0</v>
      </c>
      <c r="AB29" s="204">
        <f t="shared" ca="1" si="41"/>
        <v>0</v>
      </c>
      <c r="AC29" s="204">
        <f t="shared" ca="1" si="41"/>
        <v>0</v>
      </c>
      <c r="AD29" s="204">
        <f t="shared" ca="1" si="41"/>
        <v>0</v>
      </c>
      <c r="AE29" s="213">
        <f t="shared" ca="1" si="41"/>
        <v>0</v>
      </c>
    </row>
    <row r="30" spans="1:32" ht="12.75" customHeight="1" x14ac:dyDescent="0.2">
      <c r="D30" s="566"/>
      <c r="E30" s="201">
        <f ca="1">IF(ISERROR(E29),IF(1+COUNTIF($L$13:OFFSET(L29,-1,0),1)&lt;=MAX(QCI!$D$13:$D$24),1+COUNTIF($L$13:OFFSET(L29,-1,0),1),-1),0)</f>
        <v>0</v>
      </c>
      <c r="F30" s="201" t="str">
        <f t="shared" ref="F30" ca="1" si="42">IF(AND($E30&lt;&gt;-1,$R29&gt;0),"F","")</f>
        <v/>
      </c>
      <c r="G30" s="214" t="str">
        <f ca="1">IF(OR(R29=0,R29=""),"vazia",IF(AND(OR(ACOMPANHAMENTO="PLE",$Q29&lt;&gt;2),$E30=0),"calculada","--&gt;"))</f>
        <v>vazia</v>
      </c>
      <c r="H30" s="215"/>
      <c r="I30" s="216" t="str">
        <f t="shared" ref="I30" ca="1" si="43">IF(AND(G29&lt;&gt;0,ISNUMBER(G29)),"PREENCHA ESTA LINHA --&gt;","")</f>
        <v/>
      </c>
      <c r="J30" s="216"/>
      <c r="K30" s="216"/>
      <c r="L30" s="217"/>
      <c r="M30" s="217"/>
      <c r="N30" s="217"/>
      <c r="O30" s="217"/>
      <c r="P30" s="217"/>
      <c r="Q30" s="217"/>
      <c r="R30" s="218"/>
      <c r="S30" s="219"/>
      <c r="T30" s="567"/>
      <c r="U30" s="566">
        <v>0.5</v>
      </c>
      <c r="V30" s="566">
        <v>0.5</v>
      </c>
      <c r="W30" s="566"/>
      <c r="X30" s="566"/>
      <c r="Y30" s="566"/>
      <c r="Z30" s="566"/>
      <c r="AA30" s="566"/>
      <c r="AB30" s="566"/>
      <c r="AC30" s="566"/>
      <c r="AD30" s="566"/>
      <c r="AE30" s="568"/>
      <c r="AF30" s="530"/>
    </row>
    <row r="31" spans="1:32" ht="0.2" hidden="1" customHeight="1" x14ac:dyDescent="0.2">
      <c r="D31" s="220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$120,"="&amp;CRONO!D$12,CÁLCULO!$AB$15:$AL$120)/(ORÇAMENTO!$X$15-CÁLCULO.TotalAdmLocal)*CRONO!$E31,0),D30*$R29),SUMIF(OFFSET($R31,1,0,$Q29-2),($L29+1)&amp;"$",OFFSET(D31,1,0,$Q29-2)))</f>
        <v>0</v>
      </c>
      <c r="E31" s="201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21"/>
      <c r="R31" s="222" t="str">
        <f t="shared" ref="R31" ca="1" si="44">L29&amp;"$"</f>
        <v>2$</v>
      </c>
      <c r="S31" s="223"/>
      <c r="T31" s="224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$120,"&lt;="&amp;CRONO!T$12,CÁLCULO!$AB$15:$AL$120)/(ORÇAMENTO!$X$15-CÁLCULO.TotalAdmLocal)*CRONO!$E31,0),T30*$R29),SUMIF(OFFSET($R31,1,0,$Q29-2),($L29+1)&amp;"$",OFFSET(T31,1,0,$Q29-2)))</f>
        <v>0</v>
      </c>
      <c r="U31" s="220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$120,"="&amp;CRONO!U$12,CÁLCULO!$AB$15:$AL$120)/(ORÇAMENTO!$X$15-CÁLCULO.TotalAdmLocal)*CRONO!$E31,0),U30*$R29),SUMIF(OFFSET($R31,1,0,$Q29-2),($L29+1)&amp;"$",OFFSET(U31,1,0,$Q29-2)))</f>
        <v>0</v>
      </c>
      <c r="V31" s="220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$120,"="&amp;CRONO!V$12,CÁLCULO!$AB$15:$AL$120)/(ORÇAMENTO!$X$15-CÁLCULO.TotalAdmLocal)*CRONO!$E31,0),V30*$R29),SUMIF(OFFSET($R31,1,0,$Q29-2),($L29+1)&amp;"$",OFFSET(V31,1,0,$Q29-2)))</f>
        <v>0</v>
      </c>
      <c r="W31" s="220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$120,"="&amp;CRONO!W$12,CÁLCULO!$AB$15:$AL$120)/(ORÇAMENTO!$X$15-CÁLCULO.TotalAdmLocal)*CRONO!$E31,0),W30*$R29),SUMIF(OFFSET($R31,1,0,$Q29-2),($L29+1)&amp;"$",OFFSET(W31,1,0,$Q29-2)))</f>
        <v>0</v>
      </c>
      <c r="X31" s="220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$120,"="&amp;CRONO!X$12,CÁLCULO!$AB$15:$AL$120)/(ORÇAMENTO!$X$15-CÁLCULO.TotalAdmLocal)*CRONO!$E31,0),X30*$R29),SUMIF(OFFSET($R31,1,0,$Q29-2),($L29+1)&amp;"$",OFFSET(X31,1,0,$Q29-2)))</f>
        <v>0</v>
      </c>
      <c r="Y31" s="220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$120,"="&amp;CRONO!Y$12,CÁLCULO!$AB$15:$AL$120)/(ORÇAMENTO!$X$15-CÁLCULO.TotalAdmLocal)*CRONO!$E31,0),Y30*$R29),SUMIF(OFFSET($R31,1,0,$Q29-2),($L29+1)&amp;"$",OFFSET(Y31,1,0,$Q29-2)))</f>
        <v>0</v>
      </c>
      <c r="Z31" s="220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$120,"="&amp;CRONO!Z$12,CÁLCULO!$AB$15:$AL$120)/(ORÇAMENTO!$X$15-CÁLCULO.TotalAdmLocal)*CRONO!$E31,0),Z30*$R29),SUMIF(OFFSET($R31,1,0,$Q29-2),($L29+1)&amp;"$",OFFSET(Z31,1,0,$Q29-2)))</f>
        <v>0</v>
      </c>
      <c r="AA31" s="220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$120,"="&amp;CRONO!AA$12,CÁLCULO!$AB$15:$AL$120)/(ORÇAMENTO!$X$15-CÁLCULO.TotalAdmLocal)*CRONO!$E31,0),AA30*$R29),SUMIF(OFFSET($R31,1,0,$Q29-2),($L29+1)&amp;"$",OFFSET(AA31,1,0,$Q29-2)))</f>
        <v>0</v>
      </c>
      <c r="AB31" s="220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$120,"="&amp;CRONO!AB$12,CÁLCULO!$AB$15:$AL$120)/(ORÇAMENTO!$X$15-CÁLCULO.TotalAdmLocal)*CRONO!$E31,0),AB30*$R29),SUMIF(OFFSET($R31,1,0,$Q29-2),($L29+1)&amp;"$",OFFSET(AB31,1,0,$Q29-2)))</f>
        <v>0</v>
      </c>
      <c r="AC31" s="220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$120,"="&amp;CRONO!AC$12,CÁLCULO!$AB$15:$AL$120)/(ORÇAMENTO!$X$15-CÁLCULO.TotalAdmLocal)*CRONO!$E31,0),AC30*$R29),SUMIF(OFFSET($R31,1,0,$Q29-2),($L29+1)&amp;"$",OFFSET(AC31,1,0,$Q29-2)))</f>
        <v>0</v>
      </c>
      <c r="AD31" s="220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$120,"="&amp;CRONO!AD$12,CÁLCULO!$AB$15:$AL$120)/(ORÇAMENTO!$X$15-CÁLCULO.TotalAdmLocal)*CRONO!$E31,0),AD30*$R29),SUMIF(OFFSET($R31,1,0,$Q29-2),($L29+1)&amp;"$",OFFSET(AD31,1,0,$Q29-2)))</f>
        <v>0</v>
      </c>
      <c r="AE31" s="225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$120,"="&amp;CRONO!AE$12,CÁLCULO!$AB$15:$AL$120)/(ORÇAMENTO!$X$15-CÁLCULO.TotalAdmLocal)*CRONO!$E31,0),AE30*$R29),SUMIF(OFFSET($R31,1,0,$Q29-2),($L29+1)&amp;"$",OFFSET(AE31,1,0,$Q29-2)))</f>
        <v>0</v>
      </c>
    </row>
    <row r="32" spans="1:32" x14ac:dyDescent="0.2">
      <c r="A32" s="201">
        <f t="shared" ref="A32" ca="1" si="45">OFFSET(A32,-3,0)+1</f>
        <v>7</v>
      </c>
      <c r="B32" s="201">
        <f ca="1">IF($Q32&lt;&gt;2,0,IF($R32=0,1,IF(E33&gt;0,OFFSET(QCI!$M$13,SUBSTITUTE(E33,".",""),0),OFFSET(ORÇAMENTO!$AA$15,CRONO!$E32,0))/$R32))</f>
        <v>1</v>
      </c>
      <c r="C32" s="201">
        <f ca="1">IF($Q32&lt;&gt;2,0,IF($R32=0,1,IF(E33&gt;0,OFFSET(QCI!$N$13,SUBSTITUTE(E33,".",""),0),OFFSET(ORÇAMENTO!$AB$15,CRONO!$E32,0))/$R32))</f>
        <v>1</v>
      </c>
      <c r="D32" s="204">
        <f ca="1">IF(AND($Q32=2,ACOMPANHAMENTO="BM"),D33,D34/$R32)</f>
        <v>0</v>
      </c>
      <c r="E32" s="201">
        <f ca="1">IF(A32&lt;=ORÇAMENTO.MáximoListaCrono,MATCH(A32,ORÇAMENTO.ListaCrono,0),NA())</f>
        <v>38</v>
      </c>
      <c r="F32" s="201" t="str">
        <f t="shared" ref="F32" ca="1" si="46">IF(AND($E33&lt;&gt;-1,$R32&gt;0),"F","")</f>
        <v/>
      </c>
      <c r="G32" s="205" t="str">
        <f ca="1">IF(OR(R32=0,R32=""),"Linha",IF(AND(OR(ACOMPANHAMENTO="PLE",$Q32&lt;&gt;2),$E33=0),"Linha",1-SUM(T32:AF32)))</f>
        <v>Linha</v>
      </c>
      <c r="H32" s="206" t="str">
        <f ca="1">IF($E33=0,OFFSET(ORÇAMENTO!O$15,$E32,0),IF($E33&lt;&gt;-1,OFFSET(QCI!$D$13,$E33,0),""))</f>
        <v>1.6.</v>
      </c>
      <c r="I32" s="207" t="str">
        <f ca="1">IF($E33=0,OFFSET(ORÇAMENTO!R$15,$E32,0),IF($E33&lt;&gt;-1,OFFSET(QCI!$G$13,$E33,0),""))</f>
        <v>COBERTURA</v>
      </c>
      <c r="J32" s="207"/>
      <c r="K32" s="207"/>
      <c r="L32" s="208">
        <f ca="1">IF($E33=0,OFFSET(ORÇAMENTO!C$15,$E32,0),1)</f>
        <v>2</v>
      </c>
      <c r="M32" s="209">
        <f ca="1">IF($E33=-1,0,IF(M$13&lt;=$L32,IF(ISERROR(MATCH(M$13,OFFSET($L32,1,0,ROW($L$164)-ROW($L32)-1),0)),ROW($L$164)-ROW($L32)-1,MATCH(M$13,OFFSET($L32,1,0,ROW($L$164)-ROW($L32)-1),0)-1),0))</f>
        <v>26</v>
      </c>
      <c r="N32" s="209">
        <f ca="1">IF($E33=-1,0,IF(N$13&lt;=$L32,IF(ISERROR(MATCH(N$13,OFFSET($L32,1,0,ROW($L$164)-ROW($L32)-1),0)),ROW($L$164)-ROW($L32)-1,MATCH(N$13,OFFSET($L32,1,0,ROW($L$164)-ROW($L32)-1),0)-1),0))</f>
        <v>2</v>
      </c>
      <c r="O32" s="209">
        <f ca="1">IF($E33=-1,0,IF(O$13&lt;=$L32,IF(ISERROR(MATCH(O$13,OFFSET($L32,1,0,ROW($L$164)-ROW($L32)-1),0)),ROW($L$164)-ROW($L32)-1,MATCH(O$13,OFFSET($L32,1,0,ROW($L$164)-ROW($L32)-1),0)-1),0))</f>
        <v>0</v>
      </c>
      <c r="P32" s="209">
        <f ca="1">IF($E33=-1,0,IF(P$13&lt;=$L32,IF(ISERROR(MATCH(P$13,OFFSET($L32,1,0,ROW($L$164)-ROW($L32)-1),0)),ROW($L$164)-ROW($L32)-1,MATCH(P$13,OFFSET($L32,1,0,ROW($L$164)-ROW($L32)-1),0)-1),0))</f>
        <v>0</v>
      </c>
      <c r="Q32" s="209">
        <f t="shared" ref="Q32" ca="1" si="47">MIN(OFFSET(L32,0,1,,L32))</f>
        <v>2</v>
      </c>
      <c r="R32" s="210">
        <f ca="1">IF($E33=0,OFFSET(ORÇAMENTO!X$15,$E32,0),IF($E33&lt;&gt;-1,OFFSET(QCI!$O$13,$E33,0),""))</f>
        <v>0</v>
      </c>
      <c r="S32" s="211" t="s">
        <v>270</v>
      </c>
      <c r="T32" s="212">
        <f t="shared" ref="T32:AE32" ca="1" si="48">IF(AND($Q32=2,ACOMPANHAMENTO="BM"),T33,T34/$R32)</f>
        <v>0</v>
      </c>
      <c r="U32" s="204">
        <f t="shared" ca="1" si="48"/>
        <v>0.5</v>
      </c>
      <c r="V32" s="204">
        <f t="shared" ca="1" si="48"/>
        <v>0.5</v>
      </c>
      <c r="W32" s="204">
        <f t="shared" ca="1" si="48"/>
        <v>0</v>
      </c>
      <c r="X32" s="204">
        <f t="shared" ca="1" si="48"/>
        <v>0</v>
      </c>
      <c r="Y32" s="204">
        <f t="shared" ca="1" si="48"/>
        <v>0</v>
      </c>
      <c r="Z32" s="204">
        <f t="shared" ca="1" si="48"/>
        <v>0</v>
      </c>
      <c r="AA32" s="204">
        <f t="shared" ca="1" si="48"/>
        <v>0</v>
      </c>
      <c r="AB32" s="204">
        <f t="shared" ca="1" si="48"/>
        <v>0</v>
      </c>
      <c r="AC32" s="204">
        <f t="shared" ca="1" si="48"/>
        <v>0</v>
      </c>
      <c r="AD32" s="204">
        <f t="shared" ca="1" si="48"/>
        <v>0</v>
      </c>
      <c r="AE32" s="213">
        <f t="shared" ca="1" si="48"/>
        <v>0</v>
      </c>
    </row>
    <row r="33" spans="1:32" ht="12.75" customHeight="1" x14ac:dyDescent="0.2">
      <c r="D33" s="566"/>
      <c r="E33" s="201">
        <f ca="1">IF(ISERROR(E32),IF(1+COUNTIF($L$13:OFFSET(L32,-1,0),1)&lt;=MAX(QCI!$D$13:$D$24),1+COUNTIF($L$13:OFFSET(L32,-1,0),1),-1),0)</f>
        <v>0</v>
      </c>
      <c r="F33" s="201" t="str">
        <f t="shared" ref="F33" ca="1" si="49">IF(AND($E33&lt;&gt;-1,$R32&gt;0),"F","")</f>
        <v/>
      </c>
      <c r="G33" s="214" t="str">
        <f ca="1">IF(OR(R32=0,R32=""),"vazia",IF(AND(OR(ACOMPANHAMENTO="PLE",$Q32&lt;&gt;2),$E33=0),"calculada","--&gt;"))</f>
        <v>vazia</v>
      </c>
      <c r="H33" s="215"/>
      <c r="I33" s="216" t="str">
        <f t="shared" ref="I33" ca="1" si="50">IF(AND(G32&lt;&gt;0,ISNUMBER(G32)),"PREENCHA ESTA LINHA --&gt;","")</f>
        <v/>
      </c>
      <c r="J33" s="216"/>
      <c r="K33" s="216"/>
      <c r="L33" s="217"/>
      <c r="M33" s="217"/>
      <c r="N33" s="217"/>
      <c r="O33" s="217"/>
      <c r="P33" s="217"/>
      <c r="Q33" s="217"/>
      <c r="R33" s="218"/>
      <c r="S33" s="219"/>
      <c r="T33" s="567"/>
      <c r="U33" s="566">
        <v>0.5</v>
      </c>
      <c r="V33" s="566">
        <v>0.5</v>
      </c>
      <c r="W33" s="566"/>
      <c r="X33" s="566"/>
      <c r="Y33" s="566"/>
      <c r="Z33" s="566"/>
      <c r="AA33" s="566"/>
      <c r="AB33" s="566"/>
      <c r="AC33" s="566"/>
      <c r="AD33" s="566"/>
      <c r="AE33" s="568"/>
      <c r="AF33" s="530"/>
    </row>
    <row r="34" spans="1:32" ht="0.2" hidden="1" customHeight="1" x14ac:dyDescent="0.2">
      <c r="D34" s="220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$120,"="&amp;CRONO!D$12,CÁLCULO!$AB$15:$AL$120)/(ORÇAMENTO!$X$15-CÁLCULO.TotalAdmLocal)*CRONO!$E34,0),D33*$R32),SUMIF(OFFSET($R34,1,0,$Q32-2),($L32+1)&amp;"$",OFFSET(D34,1,0,$Q32-2)))</f>
        <v>0</v>
      </c>
      <c r="E34" s="201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21"/>
      <c r="R34" s="222" t="str">
        <f t="shared" ref="R34" ca="1" si="51">L32&amp;"$"</f>
        <v>2$</v>
      </c>
      <c r="S34" s="223"/>
      <c r="T34" s="224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$120,"&lt;="&amp;CRONO!T$12,CÁLCULO!$AB$15:$AL$120)/(ORÇAMENTO!$X$15-CÁLCULO.TotalAdmLocal)*CRONO!$E34,0),T33*$R32),SUMIF(OFFSET($R34,1,0,$Q32-2),($L32+1)&amp;"$",OFFSET(T34,1,0,$Q32-2)))</f>
        <v>0</v>
      </c>
      <c r="U34" s="220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$120,"="&amp;CRONO!U$12,CÁLCULO!$AB$15:$AL$120)/(ORÇAMENTO!$X$15-CÁLCULO.TotalAdmLocal)*CRONO!$E34,0),U33*$R32),SUMIF(OFFSET($R34,1,0,$Q32-2),($L32+1)&amp;"$",OFFSET(U34,1,0,$Q32-2)))</f>
        <v>0</v>
      </c>
      <c r="V34" s="220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$120,"="&amp;CRONO!V$12,CÁLCULO!$AB$15:$AL$120)/(ORÇAMENTO!$X$15-CÁLCULO.TotalAdmLocal)*CRONO!$E34,0),V33*$R32),SUMIF(OFFSET($R34,1,0,$Q32-2),($L32+1)&amp;"$",OFFSET(V34,1,0,$Q32-2)))</f>
        <v>0</v>
      </c>
      <c r="W34" s="220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$120,"="&amp;CRONO!W$12,CÁLCULO!$AB$15:$AL$120)/(ORÇAMENTO!$X$15-CÁLCULO.TotalAdmLocal)*CRONO!$E34,0),W33*$R32),SUMIF(OFFSET($R34,1,0,$Q32-2),($L32+1)&amp;"$",OFFSET(W34,1,0,$Q32-2)))</f>
        <v>0</v>
      </c>
      <c r="X34" s="220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$120,"="&amp;CRONO!X$12,CÁLCULO!$AB$15:$AL$120)/(ORÇAMENTO!$X$15-CÁLCULO.TotalAdmLocal)*CRONO!$E34,0),X33*$R32),SUMIF(OFFSET($R34,1,0,$Q32-2),($L32+1)&amp;"$",OFFSET(X34,1,0,$Q32-2)))</f>
        <v>0</v>
      </c>
      <c r="Y34" s="220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$120,"="&amp;CRONO!Y$12,CÁLCULO!$AB$15:$AL$120)/(ORÇAMENTO!$X$15-CÁLCULO.TotalAdmLocal)*CRONO!$E34,0),Y33*$R32),SUMIF(OFFSET($R34,1,0,$Q32-2),($L32+1)&amp;"$",OFFSET(Y34,1,0,$Q32-2)))</f>
        <v>0</v>
      </c>
      <c r="Z34" s="220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$120,"="&amp;CRONO!Z$12,CÁLCULO!$AB$15:$AL$120)/(ORÇAMENTO!$X$15-CÁLCULO.TotalAdmLocal)*CRONO!$E34,0),Z33*$R32),SUMIF(OFFSET($R34,1,0,$Q32-2),($L32+1)&amp;"$",OFFSET(Z34,1,0,$Q32-2)))</f>
        <v>0</v>
      </c>
      <c r="AA34" s="220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$120,"="&amp;CRONO!AA$12,CÁLCULO!$AB$15:$AL$120)/(ORÇAMENTO!$X$15-CÁLCULO.TotalAdmLocal)*CRONO!$E34,0),AA33*$R32),SUMIF(OFFSET($R34,1,0,$Q32-2),($L32+1)&amp;"$",OFFSET(AA34,1,0,$Q32-2)))</f>
        <v>0</v>
      </c>
      <c r="AB34" s="220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$120,"="&amp;CRONO!AB$12,CÁLCULO!$AB$15:$AL$120)/(ORÇAMENTO!$X$15-CÁLCULO.TotalAdmLocal)*CRONO!$E34,0),AB33*$R32),SUMIF(OFFSET($R34,1,0,$Q32-2),($L32+1)&amp;"$",OFFSET(AB34,1,0,$Q32-2)))</f>
        <v>0</v>
      </c>
      <c r="AC34" s="220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$120,"="&amp;CRONO!AC$12,CÁLCULO!$AB$15:$AL$120)/(ORÇAMENTO!$X$15-CÁLCULO.TotalAdmLocal)*CRONO!$E34,0),AC33*$R32),SUMIF(OFFSET($R34,1,0,$Q32-2),($L32+1)&amp;"$",OFFSET(AC34,1,0,$Q32-2)))</f>
        <v>0</v>
      </c>
      <c r="AD34" s="220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$120,"="&amp;CRONO!AD$12,CÁLCULO!$AB$15:$AL$120)/(ORÇAMENTO!$X$15-CÁLCULO.TotalAdmLocal)*CRONO!$E34,0),AD33*$R32),SUMIF(OFFSET($R34,1,0,$Q32-2),($L32+1)&amp;"$",OFFSET(AD34,1,0,$Q32-2)))</f>
        <v>0</v>
      </c>
      <c r="AE34" s="225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$120,"="&amp;CRONO!AE$12,CÁLCULO!$AB$15:$AL$120)/(ORÇAMENTO!$X$15-CÁLCULO.TotalAdmLocal)*CRONO!$E34,0),AE33*$R32),SUMIF(OFFSET($R34,1,0,$Q32-2),($L32+1)&amp;"$",OFFSET(AE34,1,0,$Q32-2)))</f>
        <v>0</v>
      </c>
    </row>
    <row r="35" spans="1:32" x14ac:dyDescent="0.2">
      <c r="A35" s="201">
        <f t="shared" ref="A35" ca="1" si="52">OFFSET(A35,-3,0)+1</f>
        <v>8</v>
      </c>
      <c r="B35" s="201">
        <f ca="1">IF($Q35&lt;&gt;2,0,IF($R35=0,1,IF(E36&gt;0,OFFSET(QCI!$M$13,SUBSTITUTE(E36,".",""),0),OFFSET(ORÇAMENTO!$AA$15,CRONO!$E35,0))/$R35))</f>
        <v>1</v>
      </c>
      <c r="C35" s="201">
        <f ca="1">IF($Q35&lt;&gt;2,0,IF($R35=0,1,IF(E36&gt;0,OFFSET(QCI!$N$13,SUBSTITUTE(E36,".",""),0),OFFSET(ORÇAMENTO!$AB$15,CRONO!$E35,0))/$R35))</f>
        <v>1</v>
      </c>
      <c r="D35" s="204">
        <f ca="1">IF(AND($Q35=2,ACOMPANHAMENTO="BM"),D36,D37/$R35)</f>
        <v>0</v>
      </c>
      <c r="E35" s="201">
        <f ca="1">IF(A35&lt;=ORÇAMENTO.MáximoListaCrono,MATCH(A35,ORÇAMENTO.ListaCrono,0),NA())</f>
        <v>42</v>
      </c>
      <c r="F35" s="201" t="str">
        <f t="shared" ref="F35" ca="1" si="53">IF(AND($E36&lt;&gt;-1,$R35&gt;0),"F","")</f>
        <v/>
      </c>
      <c r="G35" s="205" t="str">
        <f ca="1">IF(OR(R35=0,R35=""),"Linha",IF(AND(OR(ACOMPANHAMENTO="PLE",$Q35&lt;&gt;2),$E36=0),"Linha",1-SUM(T35:AF35)))</f>
        <v>Linha</v>
      </c>
      <c r="H35" s="206" t="str">
        <f ca="1">IF($E36=0,OFFSET(ORÇAMENTO!O$15,$E35,0),IF($E36&lt;&gt;-1,OFFSET(QCI!$D$13,$E36,0),""))</f>
        <v>1.7.</v>
      </c>
      <c r="I35" s="207" t="str">
        <f ca="1">IF($E36=0,OFFSET(ORÇAMENTO!R$15,$E35,0),IF($E36&lt;&gt;-1,OFFSET(QCI!$G$13,$E36,0),""))</f>
        <v>REVESTIMENTOS DE FACHADA</v>
      </c>
      <c r="J35" s="207"/>
      <c r="K35" s="207"/>
      <c r="L35" s="208">
        <f ca="1">IF($E36=0,OFFSET(ORÇAMENTO!C$15,$E35,0),1)</f>
        <v>2</v>
      </c>
      <c r="M35" s="209">
        <f ca="1">IF($E36=-1,0,IF(M$13&lt;=$L35,IF(ISERROR(MATCH(M$13,OFFSET($L35,1,0,ROW($L$164)-ROW($L35)-1),0)),ROW($L$164)-ROW($L35)-1,MATCH(M$13,OFFSET($L35,1,0,ROW($L$164)-ROW($L35)-1),0)-1),0))</f>
        <v>23</v>
      </c>
      <c r="N35" s="209">
        <f ca="1">IF($E36=-1,0,IF(N$13&lt;=$L35,IF(ISERROR(MATCH(N$13,OFFSET($L35,1,0,ROW($L$164)-ROW($L35)-1),0)),ROW($L$164)-ROW($L35)-1,MATCH(N$13,OFFSET($L35,1,0,ROW($L$164)-ROW($L35)-1),0)-1),0))</f>
        <v>2</v>
      </c>
      <c r="O35" s="209">
        <f ca="1">IF($E36=-1,0,IF(O$13&lt;=$L35,IF(ISERROR(MATCH(O$13,OFFSET($L35,1,0,ROW($L$164)-ROW($L35)-1),0)),ROW($L$164)-ROW($L35)-1,MATCH(O$13,OFFSET($L35,1,0,ROW($L$164)-ROW($L35)-1),0)-1),0))</f>
        <v>0</v>
      </c>
      <c r="P35" s="209">
        <f ca="1">IF($E36=-1,0,IF(P$13&lt;=$L35,IF(ISERROR(MATCH(P$13,OFFSET($L35,1,0,ROW($L$164)-ROW($L35)-1),0)),ROW($L$164)-ROW($L35)-1,MATCH(P$13,OFFSET($L35,1,0,ROW($L$164)-ROW($L35)-1),0)-1),0))</f>
        <v>0</v>
      </c>
      <c r="Q35" s="209">
        <f t="shared" ref="Q35" ca="1" si="54">MIN(OFFSET(L35,0,1,,L35))</f>
        <v>2</v>
      </c>
      <c r="R35" s="210">
        <f ca="1">IF($E36=0,OFFSET(ORÇAMENTO!X$15,$E35,0),IF($E36&lt;&gt;-1,OFFSET(QCI!$O$13,$E36,0),""))</f>
        <v>0</v>
      </c>
      <c r="S35" s="211" t="s">
        <v>270</v>
      </c>
      <c r="T35" s="212">
        <f t="shared" ref="T35:AE35" ca="1" si="55">IF(AND($Q35=2,ACOMPANHAMENTO="BM"),T36,T37/$R35)</f>
        <v>0</v>
      </c>
      <c r="U35" s="204">
        <f t="shared" ca="1" si="55"/>
        <v>0</v>
      </c>
      <c r="V35" s="204">
        <f t="shared" ca="1" si="55"/>
        <v>1</v>
      </c>
      <c r="W35" s="204">
        <f t="shared" ca="1" si="55"/>
        <v>0</v>
      </c>
      <c r="X35" s="204">
        <f t="shared" ca="1" si="55"/>
        <v>0</v>
      </c>
      <c r="Y35" s="204">
        <f t="shared" ca="1" si="55"/>
        <v>0</v>
      </c>
      <c r="Z35" s="204">
        <f t="shared" ca="1" si="55"/>
        <v>0</v>
      </c>
      <c r="AA35" s="204">
        <f t="shared" ca="1" si="55"/>
        <v>0</v>
      </c>
      <c r="AB35" s="204">
        <f t="shared" ca="1" si="55"/>
        <v>0</v>
      </c>
      <c r="AC35" s="204">
        <f t="shared" ca="1" si="55"/>
        <v>0</v>
      </c>
      <c r="AD35" s="204">
        <f t="shared" ca="1" si="55"/>
        <v>0</v>
      </c>
      <c r="AE35" s="213">
        <f t="shared" ca="1" si="55"/>
        <v>0</v>
      </c>
    </row>
    <row r="36" spans="1:32" ht="12.75" customHeight="1" x14ac:dyDescent="0.2">
      <c r="D36" s="566"/>
      <c r="E36" s="201">
        <f ca="1">IF(ISERROR(E35),IF(1+COUNTIF($L$13:OFFSET(L35,-1,0),1)&lt;=MAX(QCI!$D$13:$D$24),1+COUNTIF($L$13:OFFSET(L35,-1,0),1),-1),0)</f>
        <v>0</v>
      </c>
      <c r="F36" s="201" t="str">
        <f t="shared" ref="F36" ca="1" si="56">IF(AND($E36&lt;&gt;-1,$R35&gt;0),"F","")</f>
        <v/>
      </c>
      <c r="G36" s="214" t="str">
        <f ca="1">IF(OR(R35=0,R35=""),"vazia",IF(AND(OR(ACOMPANHAMENTO="PLE",$Q35&lt;&gt;2),$E36=0),"calculada","--&gt;"))</f>
        <v>vazia</v>
      </c>
      <c r="H36" s="215"/>
      <c r="I36" s="216" t="str">
        <f t="shared" ref="I36" ca="1" si="57">IF(AND(G35&lt;&gt;0,ISNUMBER(G35)),"PREENCHA ESTA LINHA --&gt;","")</f>
        <v/>
      </c>
      <c r="J36" s="216"/>
      <c r="K36" s="216"/>
      <c r="L36" s="217"/>
      <c r="M36" s="217"/>
      <c r="N36" s="217"/>
      <c r="O36" s="217"/>
      <c r="P36" s="217"/>
      <c r="Q36" s="217"/>
      <c r="R36" s="218"/>
      <c r="S36" s="219"/>
      <c r="T36" s="567"/>
      <c r="U36" s="566"/>
      <c r="V36" s="566">
        <v>1</v>
      </c>
      <c r="W36" s="566"/>
      <c r="X36" s="566"/>
      <c r="Y36" s="566"/>
      <c r="Z36" s="566"/>
      <c r="AA36" s="566"/>
      <c r="AB36" s="566"/>
      <c r="AC36" s="566"/>
      <c r="AD36" s="566"/>
      <c r="AE36" s="568"/>
      <c r="AF36" s="530"/>
    </row>
    <row r="37" spans="1:32" ht="0.2" hidden="1" customHeight="1" x14ac:dyDescent="0.2">
      <c r="D37" s="220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$120,"="&amp;CRONO!D$12,CÁLCULO!$AB$15:$AL$120)/(ORÇAMENTO!$X$15-CÁLCULO.TotalAdmLocal)*CRONO!$E37,0),D36*$R35),SUMIF(OFFSET($R37,1,0,$Q35-2),($L35+1)&amp;"$",OFFSET(D37,1,0,$Q35-2)))</f>
        <v>0</v>
      </c>
      <c r="E37" s="201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21"/>
      <c r="R37" s="222" t="str">
        <f t="shared" ref="R37" ca="1" si="58">L35&amp;"$"</f>
        <v>2$</v>
      </c>
      <c r="S37" s="223"/>
      <c r="T37" s="224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$120,"&lt;="&amp;CRONO!T$12,CÁLCULO!$AB$15:$AL$120)/(ORÇAMENTO!$X$15-CÁLCULO.TotalAdmLocal)*CRONO!$E37,0),T36*$R35),SUMIF(OFFSET($R37,1,0,$Q35-2),($L35+1)&amp;"$",OFFSET(T37,1,0,$Q35-2)))</f>
        <v>0</v>
      </c>
      <c r="U37" s="220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$120,"="&amp;CRONO!U$12,CÁLCULO!$AB$15:$AL$120)/(ORÇAMENTO!$X$15-CÁLCULO.TotalAdmLocal)*CRONO!$E37,0),U36*$R35),SUMIF(OFFSET($R37,1,0,$Q35-2),($L35+1)&amp;"$",OFFSET(U37,1,0,$Q35-2)))</f>
        <v>0</v>
      </c>
      <c r="V37" s="220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$120,"="&amp;CRONO!V$12,CÁLCULO!$AB$15:$AL$120)/(ORÇAMENTO!$X$15-CÁLCULO.TotalAdmLocal)*CRONO!$E37,0),V36*$R35),SUMIF(OFFSET($R37,1,0,$Q35-2),($L35+1)&amp;"$",OFFSET(V37,1,0,$Q35-2)))</f>
        <v>0</v>
      </c>
      <c r="W37" s="220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$120,"="&amp;CRONO!W$12,CÁLCULO!$AB$15:$AL$120)/(ORÇAMENTO!$X$15-CÁLCULO.TotalAdmLocal)*CRONO!$E37,0),W36*$R35),SUMIF(OFFSET($R37,1,0,$Q35-2),($L35+1)&amp;"$",OFFSET(W37,1,0,$Q35-2)))</f>
        <v>0</v>
      </c>
      <c r="X37" s="220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$120,"="&amp;CRONO!X$12,CÁLCULO!$AB$15:$AL$120)/(ORÇAMENTO!$X$15-CÁLCULO.TotalAdmLocal)*CRONO!$E37,0),X36*$R35),SUMIF(OFFSET($R37,1,0,$Q35-2),($L35+1)&amp;"$",OFFSET(X37,1,0,$Q35-2)))</f>
        <v>0</v>
      </c>
      <c r="Y37" s="220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$120,"="&amp;CRONO!Y$12,CÁLCULO!$AB$15:$AL$120)/(ORÇAMENTO!$X$15-CÁLCULO.TotalAdmLocal)*CRONO!$E37,0),Y36*$R35),SUMIF(OFFSET($R37,1,0,$Q35-2),($L35+1)&amp;"$",OFFSET(Y37,1,0,$Q35-2)))</f>
        <v>0</v>
      </c>
      <c r="Z37" s="220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$120,"="&amp;CRONO!Z$12,CÁLCULO!$AB$15:$AL$120)/(ORÇAMENTO!$X$15-CÁLCULO.TotalAdmLocal)*CRONO!$E37,0),Z36*$R35),SUMIF(OFFSET($R37,1,0,$Q35-2),($L35+1)&amp;"$",OFFSET(Z37,1,0,$Q35-2)))</f>
        <v>0</v>
      </c>
      <c r="AA37" s="220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$120,"="&amp;CRONO!AA$12,CÁLCULO!$AB$15:$AL$120)/(ORÇAMENTO!$X$15-CÁLCULO.TotalAdmLocal)*CRONO!$E37,0),AA36*$R35),SUMIF(OFFSET($R37,1,0,$Q35-2),($L35+1)&amp;"$",OFFSET(AA37,1,0,$Q35-2)))</f>
        <v>0</v>
      </c>
      <c r="AB37" s="220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$120,"="&amp;CRONO!AB$12,CÁLCULO!$AB$15:$AL$120)/(ORÇAMENTO!$X$15-CÁLCULO.TotalAdmLocal)*CRONO!$E37,0),AB36*$R35),SUMIF(OFFSET($R37,1,0,$Q35-2),($L35+1)&amp;"$",OFFSET(AB37,1,0,$Q35-2)))</f>
        <v>0</v>
      </c>
      <c r="AC37" s="220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$120,"="&amp;CRONO!AC$12,CÁLCULO!$AB$15:$AL$120)/(ORÇAMENTO!$X$15-CÁLCULO.TotalAdmLocal)*CRONO!$E37,0),AC36*$R35),SUMIF(OFFSET($R37,1,0,$Q35-2),($L35+1)&amp;"$",OFFSET(AC37,1,0,$Q35-2)))</f>
        <v>0</v>
      </c>
      <c r="AD37" s="220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$120,"="&amp;CRONO!AD$12,CÁLCULO!$AB$15:$AL$120)/(ORÇAMENTO!$X$15-CÁLCULO.TotalAdmLocal)*CRONO!$E37,0),AD36*$R35),SUMIF(OFFSET($R37,1,0,$Q35-2),($L35+1)&amp;"$",OFFSET(AD37,1,0,$Q35-2)))</f>
        <v>0</v>
      </c>
      <c r="AE37" s="225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$120,"="&amp;CRONO!AE$12,CÁLCULO!$AB$15:$AL$120)/(ORÇAMENTO!$X$15-CÁLCULO.TotalAdmLocal)*CRONO!$E37,0),AE36*$R35),SUMIF(OFFSET($R37,1,0,$Q35-2),($L35+1)&amp;"$",OFFSET(AE37,1,0,$Q35-2)))</f>
        <v>0</v>
      </c>
    </row>
    <row r="38" spans="1:32" x14ac:dyDescent="0.2">
      <c r="A38" s="201">
        <f t="shared" ref="A38" ca="1" si="59">OFFSET(A38,-3,0)+1</f>
        <v>9</v>
      </c>
      <c r="B38" s="201">
        <f ca="1">IF($Q38&lt;&gt;2,0,IF($R38=0,1,IF(E39&gt;0,OFFSET(QCI!$M$13,SUBSTITUTE(E39,".",""),0),OFFSET(ORÇAMENTO!$AA$15,CRONO!$E38,0))/$R38))</f>
        <v>1</v>
      </c>
      <c r="C38" s="201">
        <f ca="1">IF($Q38&lt;&gt;2,0,IF($R38=0,1,IF(E39&gt;0,OFFSET(QCI!$N$13,SUBSTITUTE(E39,".",""),0),OFFSET(ORÇAMENTO!$AB$15,CRONO!$E38,0))/$R38))</f>
        <v>1</v>
      </c>
      <c r="D38" s="204">
        <f ca="1">IF(AND($Q38=2,ACOMPANHAMENTO="BM"),D39,D40/$R38)</f>
        <v>0</v>
      </c>
      <c r="E38" s="201">
        <f ca="1">IF(A38&lt;=ORÇAMENTO.MáximoListaCrono,MATCH(A38,ORÇAMENTO.ListaCrono,0),NA())</f>
        <v>46</v>
      </c>
      <c r="F38" s="201" t="str">
        <f t="shared" ref="F38" ca="1" si="60">IF(AND($E39&lt;&gt;-1,$R38&gt;0),"F","")</f>
        <v/>
      </c>
      <c r="G38" s="205" t="str">
        <f ca="1">IF(OR(R38=0,R38=""),"Linha",IF(AND(OR(ACOMPANHAMENTO="PLE",$Q38&lt;&gt;2),$E39=0),"Linha",1-SUM(T38:AF38)))</f>
        <v>Linha</v>
      </c>
      <c r="H38" s="206" t="str">
        <f ca="1">IF($E39=0,OFFSET(ORÇAMENTO!O$15,$E38,0),IF($E39&lt;&gt;-1,OFFSET(QCI!$D$13,$E39,0),""))</f>
        <v>1.8.</v>
      </c>
      <c r="I38" s="207" t="str">
        <f ca="1">IF($E39=0,OFFSET(ORÇAMENTO!R$15,$E38,0),IF($E39&lt;&gt;-1,OFFSET(QCI!$G$13,$E39,0),""))</f>
        <v>REVESTIMENTOS DE PAREDES INTERNAS</v>
      </c>
      <c r="J38" s="207"/>
      <c r="K38" s="207"/>
      <c r="L38" s="208">
        <f ca="1">IF($E39=0,OFFSET(ORÇAMENTO!C$15,$E38,0),1)</f>
        <v>2</v>
      </c>
      <c r="M38" s="209">
        <f ca="1">IF($E39=-1,0,IF(M$13&lt;=$L38,IF(ISERROR(MATCH(M$13,OFFSET($L38,1,0,ROW($L$164)-ROW($L38)-1),0)),ROW($L$164)-ROW($L38)-1,MATCH(M$13,OFFSET($L38,1,0,ROW($L$164)-ROW($L38)-1),0)-1),0))</f>
        <v>20</v>
      </c>
      <c r="N38" s="209">
        <f ca="1">IF($E39=-1,0,IF(N$13&lt;=$L38,IF(ISERROR(MATCH(N$13,OFFSET($L38,1,0,ROW($L$164)-ROW($L38)-1),0)),ROW($L$164)-ROW($L38)-1,MATCH(N$13,OFFSET($L38,1,0,ROW($L$164)-ROW($L38)-1),0)-1),0))</f>
        <v>2</v>
      </c>
      <c r="O38" s="209">
        <f ca="1">IF($E39=-1,0,IF(O$13&lt;=$L38,IF(ISERROR(MATCH(O$13,OFFSET($L38,1,0,ROW($L$164)-ROW($L38)-1),0)),ROW($L$164)-ROW($L38)-1,MATCH(O$13,OFFSET($L38,1,0,ROW($L$164)-ROW($L38)-1),0)-1),0))</f>
        <v>0</v>
      </c>
      <c r="P38" s="209">
        <f ca="1">IF($E39=-1,0,IF(P$13&lt;=$L38,IF(ISERROR(MATCH(P$13,OFFSET($L38,1,0,ROW($L$164)-ROW($L38)-1),0)),ROW($L$164)-ROW($L38)-1,MATCH(P$13,OFFSET($L38,1,0,ROW($L$164)-ROW($L38)-1),0)-1),0))</f>
        <v>0</v>
      </c>
      <c r="Q38" s="209">
        <f t="shared" ref="Q38" ca="1" si="61">MIN(OFFSET(L38,0,1,,L38))</f>
        <v>2</v>
      </c>
      <c r="R38" s="210">
        <f ca="1">IF($E39=0,OFFSET(ORÇAMENTO!X$15,$E38,0),IF($E39&lt;&gt;-1,OFFSET(QCI!$O$13,$E39,0),""))</f>
        <v>0</v>
      </c>
      <c r="S38" s="211" t="s">
        <v>270</v>
      </c>
      <c r="T38" s="212">
        <f t="shared" ref="T38:AE38" ca="1" si="62">IF(AND($Q38=2,ACOMPANHAMENTO="BM"),T39,T40/$R38)</f>
        <v>0</v>
      </c>
      <c r="U38" s="204">
        <f t="shared" ca="1" si="62"/>
        <v>0.5</v>
      </c>
      <c r="V38" s="204">
        <f t="shared" ca="1" si="62"/>
        <v>0.5</v>
      </c>
      <c r="W38" s="204">
        <f t="shared" ca="1" si="62"/>
        <v>0</v>
      </c>
      <c r="X38" s="204">
        <f t="shared" ca="1" si="62"/>
        <v>0</v>
      </c>
      <c r="Y38" s="204">
        <f t="shared" ca="1" si="62"/>
        <v>0</v>
      </c>
      <c r="Z38" s="204">
        <f t="shared" ca="1" si="62"/>
        <v>0</v>
      </c>
      <c r="AA38" s="204">
        <f t="shared" ca="1" si="62"/>
        <v>0</v>
      </c>
      <c r="AB38" s="204">
        <f t="shared" ca="1" si="62"/>
        <v>0</v>
      </c>
      <c r="AC38" s="204">
        <f t="shared" ca="1" si="62"/>
        <v>0</v>
      </c>
      <c r="AD38" s="204">
        <f t="shared" ca="1" si="62"/>
        <v>0</v>
      </c>
      <c r="AE38" s="213">
        <f t="shared" ca="1" si="62"/>
        <v>0</v>
      </c>
    </row>
    <row r="39" spans="1:32" ht="12.75" customHeight="1" x14ac:dyDescent="0.2">
      <c r="D39" s="566"/>
      <c r="E39" s="201">
        <f ca="1">IF(ISERROR(E38),IF(1+COUNTIF($L$13:OFFSET(L38,-1,0),1)&lt;=MAX(QCI!$D$13:$D$24),1+COUNTIF($L$13:OFFSET(L38,-1,0),1),-1),0)</f>
        <v>0</v>
      </c>
      <c r="F39" s="201" t="str">
        <f t="shared" ref="F39" ca="1" si="63">IF(AND($E39&lt;&gt;-1,$R38&gt;0),"F","")</f>
        <v/>
      </c>
      <c r="G39" s="214" t="str">
        <f ca="1">IF(OR(R38=0,R38=""),"vazia",IF(AND(OR(ACOMPANHAMENTO="PLE",$Q38&lt;&gt;2),$E39=0),"calculada","--&gt;"))</f>
        <v>vazia</v>
      </c>
      <c r="H39" s="215"/>
      <c r="I39" s="216" t="str">
        <f t="shared" ref="I39" ca="1" si="64">IF(AND(G38&lt;&gt;0,ISNUMBER(G38)),"PREENCHA ESTA LINHA --&gt;","")</f>
        <v/>
      </c>
      <c r="J39" s="216"/>
      <c r="K39" s="216"/>
      <c r="L39" s="217"/>
      <c r="M39" s="217"/>
      <c r="N39" s="217"/>
      <c r="O39" s="217"/>
      <c r="P39" s="217"/>
      <c r="Q39" s="217"/>
      <c r="R39" s="218"/>
      <c r="S39" s="219"/>
      <c r="T39" s="567"/>
      <c r="U39" s="566">
        <v>0.5</v>
      </c>
      <c r="V39" s="566">
        <v>0.5</v>
      </c>
      <c r="W39" s="566"/>
      <c r="X39" s="566"/>
      <c r="Y39" s="566"/>
      <c r="Z39" s="566"/>
      <c r="AA39" s="566"/>
      <c r="AB39" s="566"/>
      <c r="AC39" s="566"/>
      <c r="AD39" s="566"/>
      <c r="AE39" s="568"/>
      <c r="AF39" s="530"/>
    </row>
    <row r="40" spans="1:32" ht="0.2" hidden="1" customHeight="1" x14ac:dyDescent="0.2">
      <c r="D40" s="220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$120,"="&amp;CRONO!D$12,CÁLCULO!$AB$15:$AL$120)/(ORÇAMENTO!$X$15-CÁLCULO.TotalAdmLocal)*CRONO!$E40,0),D39*$R38),SUMIF(OFFSET($R40,1,0,$Q38-2),($L38+1)&amp;"$",OFFSET(D40,1,0,$Q38-2)))</f>
        <v>0</v>
      </c>
      <c r="E40" s="201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21"/>
      <c r="R40" s="222" t="str">
        <f t="shared" ref="R40" ca="1" si="65">L38&amp;"$"</f>
        <v>2$</v>
      </c>
      <c r="S40" s="223"/>
      <c r="T40" s="224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$120,"&lt;="&amp;CRONO!T$12,CÁLCULO!$AB$15:$AL$120)/(ORÇAMENTO!$X$15-CÁLCULO.TotalAdmLocal)*CRONO!$E40,0),T39*$R38),SUMIF(OFFSET($R40,1,0,$Q38-2),($L38+1)&amp;"$",OFFSET(T40,1,0,$Q38-2)))</f>
        <v>0</v>
      </c>
      <c r="U40" s="220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$120,"="&amp;CRONO!U$12,CÁLCULO!$AB$15:$AL$120)/(ORÇAMENTO!$X$15-CÁLCULO.TotalAdmLocal)*CRONO!$E40,0),U39*$R38),SUMIF(OFFSET($R40,1,0,$Q38-2),($L38+1)&amp;"$",OFFSET(U40,1,0,$Q38-2)))</f>
        <v>0</v>
      </c>
      <c r="V40" s="220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$120,"="&amp;CRONO!V$12,CÁLCULO!$AB$15:$AL$120)/(ORÇAMENTO!$X$15-CÁLCULO.TotalAdmLocal)*CRONO!$E40,0),V39*$R38),SUMIF(OFFSET($R40,1,0,$Q38-2),($L38+1)&amp;"$",OFFSET(V40,1,0,$Q38-2)))</f>
        <v>0</v>
      </c>
      <c r="W40" s="220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$120,"="&amp;CRONO!W$12,CÁLCULO!$AB$15:$AL$120)/(ORÇAMENTO!$X$15-CÁLCULO.TotalAdmLocal)*CRONO!$E40,0),W39*$R38),SUMIF(OFFSET($R40,1,0,$Q38-2),($L38+1)&amp;"$",OFFSET(W40,1,0,$Q38-2)))</f>
        <v>0</v>
      </c>
      <c r="X40" s="220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$120,"="&amp;CRONO!X$12,CÁLCULO!$AB$15:$AL$120)/(ORÇAMENTO!$X$15-CÁLCULO.TotalAdmLocal)*CRONO!$E40,0),X39*$R38),SUMIF(OFFSET($R40,1,0,$Q38-2),($L38+1)&amp;"$",OFFSET(X40,1,0,$Q38-2)))</f>
        <v>0</v>
      </c>
      <c r="Y40" s="220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$120,"="&amp;CRONO!Y$12,CÁLCULO!$AB$15:$AL$120)/(ORÇAMENTO!$X$15-CÁLCULO.TotalAdmLocal)*CRONO!$E40,0),Y39*$R38),SUMIF(OFFSET($R40,1,0,$Q38-2),($L38+1)&amp;"$",OFFSET(Y40,1,0,$Q38-2)))</f>
        <v>0</v>
      </c>
      <c r="Z40" s="220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$120,"="&amp;CRONO!Z$12,CÁLCULO!$AB$15:$AL$120)/(ORÇAMENTO!$X$15-CÁLCULO.TotalAdmLocal)*CRONO!$E40,0),Z39*$R38),SUMIF(OFFSET($R40,1,0,$Q38-2),($L38+1)&amp;"$",OFFSET(Z40,1,0,$Q38-2)))</f>
        <v>0</v>
      </c>
      <c r="AA40" s="220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$120,"="&amp;CRONO!AA$12,CÁLCULO!$AB$15:$AL$120)/(ORÇAMENTO!$X$15-CÁLCULO.TotalAdmLocal)*CRONO!$E40,0),AA39*$R38),SUMIF(OFFSET($R40,1,0,$Q38-2),($L38+1)&amp;"$",OFFSET(AA40,1,0,$Q38-2)))</f>
        <v>0</v>
      </c>
      <c r="AB40" s="220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$120,"="&amp;CRONO!AB$12,CÁLCULO!$AB$15:$AL$120)/(ORÇAMENTO!$X$15-CÁLCULO.TotalAdmLocal)*CRONO!$E40,0),AB39*$R38),SUMIF(OFFSET($R40,1,0,$Q38-2),($L38+1)&amp;"$",OFFSET(AB40,1,0,$Q38-2)))</f>
        <v>0</v>
      </c>
      <c r="AC40" s="220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$120,"="&amp;CRONO!AC$12,CÁLCULO!$AB$15:$AL$120)/(ORÇAMENTO!$X$15-CÁLCULO.TotalAdmLocal)*CRONO!$E40,0),AC39*$R38),SUMIF(OFFSET($R40,1,0,$Q38-2),($L38+1)&amp;"$",OFFSET(AC40,1,0,$Q38-2)))</f>
        <v>0</v>
      </c>
      <c r="AD40" s="220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$120,"="&amp;CRONO!AD$12,CÁLCULO!$AB$15:$AL$120)/(ORÇAMENTO!$X$15-CÁLCULO.TotalAdmLocal)*CRONO!$E40,0),AD39*$R38),SUMIF(OFFSET($R40,1,0,$Q38-2),($L38+1)&amp;"$",OFFSET(AD40,1,0,$Q38-2)))</f>
        <v>0</v>
      </c>
      <c r="AE40" s="225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$120,"="&amp;CRONO!AE$12,CÁLCULO!$AB$15:$AL$120)/(ORÇAMENTO!$X$15-CÁLCULO.TotalAdmLocal)*CRONO!$E40,0),AE39*$R38),SUMIF(OFFSET($R40,1,0,$Q38-2),($L38+1)&amp;"$",OFFSET(AE40,1,0,$Q38-2)))</f>
        <v>0</v>
      </c>
    </row>
    <row r="41" spans="1:32" x14ac:dyDescent="0.2">
      <c r="A41" s="201">
        <f t="shared" ref="A41" ca="1" si="66">OFFSET(A41,-3,0)+1</f>
        <v>10</v>
      </c>
      <c r="B41" s="201">
        <f ca="1">IF($Q41&lt;&gt;2,0,IF($R41=0,1,IF(E42&gt;0,OFFSET(QCI!$M$13,SUBSTITUTE(E42,".",""),0),OFFSET(ORÇAMENTO!$AA$15,CRONO!$E41,0))/$R41))</f>
        <v>1</v>
      </c>
      <c r="C41" s="201">
        <f ca="1">IF($Q41&lt;&gt;2,0,IF($R41=0,1,IF(E42&gt;0,OFFSET(QCI!$N$13,SUBSTITUTE(E42,".",""),0),OFFSET(ORÇAMENTO!$AB$15,CRONO!$E41,0))/$R41))</f>
        <v>1</v>
      </c>
      <c r="D41" s="204">
        <f ca="1">IF(AND($Q41=2,ACOMPANHAMENTO="BM"),D42,D43/$R41)</f>
        <v>0</v>
      </c>
      <c r="E41" s="201">
        <f ca="1">IF(A41&lt;=ORÇAMENTO.MáximoListaCrono,MATCH(A41,ORÇAMENTO.ListaCrono,0),NA())</f>
        <v>51</v>
      </c>
      <c r="F41" s="201" t="str">
        <f t="shared" ref="F41" ca="1" si="67">IF(AND($E42&lt;&gt;-1,$R41&gt;0),"F","")</f>
        <v/>
      </c>
      <c r="G41" s="205" t="str">
        <f ca="1">IF(OR(R41=0,R41=""),"Linha",IF(AND(OR(ACOMPANHAMENTO="PLE",$Q41&lt;&gt;2),$E42=0),"Linha",1-SUM(T41:AF41)))</f>
        <v>Linha</v>
      </c>
      <c r="H41" s="206" t="str">
        <f ca="1">IF($E42=0,OFFSET(ORÇAMENTO!O$15,$E41,0),IF($E42&lt;&gt;-1,OFFSET(QCI!$D$13,$E42,0),""))</f>
        <v>1.9.</v>
      </c>
      <c r="I41" s="207" t="str">
        <f ca="1">IF($E42=0,OFFSET(ORÇAMENTO!R$15,$E41,0),IF($E42&lt;&gt;-1,OFFSET(QCI!$G$13,$E42,0),""))</f>
        <v>IMPERMEABILIZAÇÃO</v>
      </c>
      <c r="J41" s="207"/>
      <c r="K41" s="207"/>
      <c r="L41" s="208">
        <f ca="1">IF($E42=0,OFFSET(ORÇAMENTO!C$15,$E41,0),1)</f>
        <v>2</v>
      </c>
      <c r="M41" s="209">
        <f ca="1">IF($E42=-1,0,IF(M$13&lt;=$L41,IF(ISERROR(MATCH(M$13,OFFSET($L41,1,0,ROW($L$164)-ROW($L41)-1),0)),ROW($L$164)-ROW($L41)-1,MATCH(M$13,OFFSET($L41,1,0,ROW($L$164)-ROW($L41)-1),0)-1),0))</f>
        <v>17</v>
      </c>
      <c r="N41" s="209">
        <f ca="1">IF($E42=-1,0,IF(N$13&lt;=$L41,IF(ISERROR(MATCH(N$13,OFFSET($L41,1,0,ROW($L$164)-ROW($L41)-1),0)),ROW($L$164)-ROW($L41)-1,MATCH(N$13,OFFSET($L41,1,0,ROW($L$164)-ROW($L41)-1),0)-1),0))</f>
        <v>2</v>
      </c>
      <c r="O41" s="209">
        <f ca="1">IF($E42=-1,0,IF(O$13&lt;=$L41,IF(ISERROR(MATCH(O$13,OFFSET($L41,1,0,ROW($L$164)-ROW($L41)-1),0)),ROW($L$164)-ROW($L41)-1,MATCH(O$13,OFFSET($L41,1,0,ROW($L$164)-ROW($L41)-1),0)-1),0))</f>
        <v>0</v>
      </c>
      <c r="P41" s="209">
        <f ca="1">IF($E42=-1,0,IF(P$13&lt;=$L41,IF(ISERROR(MATCH(P$13,OFFSET($L41,1,0,ROW($L$164)-ROW($L41)-1),0)),ROW($L$164)-ROW($L41)-1,MATCH(P$13,OFFSET($L41,1,0,ROW($L$164)-ROW($L41)-1),0)-1),0))</f>
        <v>0</v>
      </c>
      <c r="Q41" s="209">
        <f t="shared" ref="Q41" ca="1" si="68">MIN(OFFSET(L41,0,1,,L41))</f>
        <v>2</v>
      </c>
      <c r="R41" s="210">
        <f ca="1">IF($E42=0,OFFSET(ORÇAMENTO!X$15,$E41,0),IF($E42&lt;&gt;-1,OFFSET(QCI!$O$13,$E42,0),""))</f>
        <v>0</v>
      </c>
      <c r="S41" s="211" t="s">
        <v>270</v>
      </c>
      <c r="T41" s="212">
        <f t="shared" ref="T41:AE41" ca="1" si="69">IF(AND($Q41=2,ACOMPANHAMENTO="BM"),T42,T43/$R41)</f>
        <v>0.5</v>
      </c>
      <c r="U41" s="204">
        <f t="shared" ca="1" si="69"/>
        <v>0.5</v>
      </c>
      <c r="V41" s="204">
        <f t="shared" ca="1" si="69"/>
        <v>0</v>
      </c>
      <c r="W41" s="204">
        <f t="shared" ca="1" si="69"/>
        <v>0</v>
      </c>
      <c r="X41" s="204">
        <f t="shared" ca="1" si="69"/>
        <v>0</v>
      </c>
      <c r="Y41" s="204">
        <f t="shared" ca="1" si="69"/>
        <v>0</v>
      </c>
      <c r="Z41" s="204">
        <f t="shared" ca="1" si="69"/>
        <v>0</v>
      </c>
      <c r="AA41" s="204">
        <f t="shared" ca="1" si="69"/>
        <v>0</v>
      </c>
      <c r="AB41" s="204">
        <f t="shared" ca="1" si="69"/>
        <v>0</v>
      </c>
      <c r="AC41" s="204">
        <f t="shared" ca="1" si="69"/>
        <v>0</v>
      </c>
      <c r="AD41" s="204">
        <f t="shared" ca="1" si="69"/>
        <v>0</v>
      </c>
      <c r="AE41" s="213">
        <f t="shared" ca="1" si="69"/>
        <v>0</v>
      </c>
    </row>
    <row r="42" spans="1:32" ht="12.75" customHeight="1" x14ac:dyDescent="0.2">
      <c r="D42" s="566"/>
      <c r="E42" s="201">
        <f ca="1">IF(ISERROR(E41),IF(1+COUNTIF($L$13:OFFSET(L41,-1,0),1)&lt;=MAX(QCI!$D$13:$D$24),1+COUNTIF($L$13:OFFSET(L41,-1,0),1),-1),0)</f>
        <v>0</v>
      </c>
      <c r="F42" s="201" t="str">
        <f t="shared" ref="F42" ca="1" si="70">IF(AND($E42&lt;&gt;-1,$R41&gt;0),"F","")</f>
        <v/>
      </c>
      <c r="G42" s="214" t="str">
        <f ca="1">IF(OR(R41=0,R41=""),"vazia",IF(AND(OR(ACOMPANHAMENTO="PLE",$Q41&lt;&gt;2),$E42=0),"calculada","--&gt;"))</f>
        <v>vazia</v>
      </c>
      <c r="H42" s="215"/>
      <c r="I42" s="216" t="str">
        <f t="shared" ref="I42" ca="1" si="71">IF(AND(G41&lt;&gt;0,ISNUMBER(G41)),"PREENCHA ESTA LINHA --&gt;","")</f>
        <v/>
      </c>
      <c r="J42" s="216"/>
      <c r="K42" s="216"/>
      <c r="L42" s="217"/>
      <c r="M42" s="217"/>
      <c r="N42" s="217"/>
      <c r="O42" s="217"/>
      <c r="P42" s="217"/>
      <c r="Q42" s="217"/>
      <c r="R42" s="218"/>
      <c r="S42" s="219"/>
      <c r="T42" s="567">
        <v>0.5</v>
      </c>
      <c r="U42" s="566">
        <v>0.5</v>
      </c>
      <c r="V42" s="566"/>
      <c r="W42" s="566"/>
      <c r="X42" s="566"/>
      <c r="Y42" s="566"/>
      <c r="Z42" s="566"/>
      <c r="AA42" s="566"/>
      <c r="AB42" s="566"/>
      <c r="AC42" s="566"/>
      <c r="AD42" s="566"/>
      <c r="AE42" s="568"/>
      <c r="AF42" s="530"/>
    </row>
    <row r="43" spans="1:32" ht="0.2" hidden="1" customHeight="1" x14ac:dyDescent="0.2">
      <c r="D43" s="220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$120,"="&amp;CRONO!D$12,CÁLCULO!$AB$15:$AL$120)/(ORÇAMENTO!$X$15-CÁLCULO.TotalAdmLocal)*CRONO!$E43,0),D42*$R41),SUMIF(OFFSET($R43,1,0,$Q41-2),($L41+1)&amp;"$",OFFSET(D43,1,0,$Q41-2)))</f>
        <v>0</v>
      </c>
      <c r="E43" s="201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21"/>
      <c r="R43" s="222" t="str">
        <f t="shared" ref="R43" ca="1" si="72">L41&amp;"$"</f>
        <v>2$</v>
      </c>
      <c r="S43" s="223"/>
      <c r="T43" s="224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$120,"&lt;="&amp;CRONO!T$12,CÁLCULO!$AB$15:$AL$120)/(ORÇAMENTO!$X$15-CÁLCULO.TotalAdmLocal)*CRONO!$E43,0),T42*$R41),SUMIF(OFFSET($R43,1,0,$Q41-2),($L41+1)&amp;"$",OFFSET(T43,1,0,$Q41-2)))</f>
        <v>0</v>
      </c>
      <c r="U43" s="220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$120,"="&amp;CRONO!U$12,CÁLCULO!$AB$15:$AL$120)/(ORÇAMENTO!$X$15-CÁLCULO.TotalAdmLocal)*CRONO!$E43,0),U42*$R41),SUMIF(OFFSET($R43,1,0,$Q41-2),($L41+1)&amp;"$",OFFSET(U43,1,0,$Q41-2)))</f>
        <v>0</v>
      </c>
      <c r="V43" s="220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$120,"="&amp;CRONO!V$12,CÁLCULO!$AB$15:$AL$120)/(ORÇAMENTO!$X$15-CÁLCULO.TotalAdmLocal)*CRONO!$E43,0),V42*$R41),SUMIF(OFFSET($R43,1,0,$Q41-2),($L41+1)&amp;"$",OFFSET(V43,1,0,$Q41-2)))</f>
        <v>0</v>
      </c>
      <c r="W43" s="220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$120,"="&amp;CRONO!W$12,CÁLCULO!$AB$15:$AL$120)/(ORÇAMENTO!$X$15-CÁLCULO.TotalAdmLocal)*CRONO!$E43,0),W42*$R41),SUMIF(OFFSET($R43,1,0,$Q41-2),($L41+1)&amp;"$",OFFSET(W43,1,0,$Q41-2)))</f>
        <v>0</v>
      </c>
      <c r="X43" s="220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$120,"="&amp;CRONO!X$12,CÁLCULO!$AB$15:$AL$120)/(ORÇAMENTO!$X$15-CÁLCULO.TotalAdmLocal)*CRONO!$E43,0),X42*$R41),SUMIF(OFFSET($R43,1,0,$Q41-2),($L41+1)&amp;"$",OFFSET(X43,1,0,$Q41-2)))</f>
        <v>0</v>
      </c>
      <c r="Y43" s="220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$120,"="&amp;CRONO!Y$12,CÁLCULO!$AB$15:$AL$120)/(ORÇAMENTO!$X$15-CÁLCULO.TotalAdmLocal)*CRONO!$E43,0),Y42*$R41),SUMIF(OFFSET($R43,1,0,$Q41-2),($L41+1)&amp;"$",OFFSET(Y43,1,0,$Q41-2)))</f>
        <v>0</v>
      </c>
      <c r="Z43" s="220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$120,"="&amp;CRONO!Z$12,CÁLCULO!$AB$15:$AL$120)/(ORÇAMENTO!$X$15-CÁLCULO.TotalAdmLocal)*CRONO!$E43,0),Z42*$R41),SUMIF(OFFSET($R43,1,0,$Q41-2),($L41+1)&amp;"$",OFFSET(Z43,1,0,$Q41-2)))</f>
        <v>0</v>
      </c>
      <c r="AA43" s="220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$120,"="&amp;CRONO!AA$12,CÁLCULO!$AB$15:$AL$120)/(ORÇAMENTO!$X$15-CÁLCULO.TotalAdmLocal)*CRONO!$E43,0),AA42*$R41),SUMIF(OFFSET($R43,1,0,$Q41-2),($L41+1)&amp;"$",OFFSET(AA43,1,0,$Q41-2)))</f>
        <v>0</v>
      </c>
      <c r="AB43" s="220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$120,"="&amp;CRONO!AB$12,CÁLCULO!$AB$15:$AL$120)/(ORÇAMENTO!$X$15-CÁLCULO.TotalAdmLocal)*CRONO!$E43,0),AB42*$R41),SUMIF(OFFSET($R43,1,0,$Q41-2),($L41+1)&amp;"$",OFFSET(AB43,1,0,$Q41-2)))</f>
        <v>0</v>
      </c>
      <c r="AC43" s="220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$120,"="&amp;CRONO!AC$12,CÁLCULO!$AB$15:$AL$120)/(ORÇAMENTO!$X$15-CÁLCULO.TotalAdmLocal)*CRONO!$E43,0),AC42*$R41),SUMIF(OFFSET($R43,1,0,$Q41-2),($L41+1)&amp;"$",OFFSET(AC43,1,0,$Q41-2)))</f>
        <v>0</v>
      </c>
      <c r="AD43" s="220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$120,"="&amp;CRONO!AD$12,CÁLCULO!$AB$15:$AL$120)/(ORÇAMENTO!$X$15-CÁLCULO.TotalAdmLocal)*CRONO!$E43,0),AD42*$R41),SUMIF(OFFSET($R43,1,0,$Q41-2),($L41+1)&amp;"$",OFFSET(AD43,1,0,$Q41-2)))</f>
        <v>0</v>
      </c>
      <c r="AE43" s="225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$120,"="&amp;CRONO!AE$12,CÁLCULO!$AB$15:$AL$120)/(ORÇAMENTO!$X$15-CÁLCULO.TotalAdmLocal)*CRONO!$E43,0),AE42*$R41),SUMIF(OFFSET($R43,1,0,$Q41-2),($L41+1)&amp;"$",OFFSET(AE43,1,0,$Q41-2)))</f>
        <v>0</v>
      </c>
    </row>
    <row r="44" spans="1:32" x14ac:dyDescent="0.2">
      <c r="A44" s="201">
        <f t="shared" ref="A44" ca="1" si="73">OFFSET(A44,-3,0)+1</f>
        <v>11</v>
      </c>
      <c r="B44" s="201">
        <f ca="1">IF($Q44&lt;&gt;2,0,IF($R44=0,1,IF(E45&gt;0,OFFSET(QCI!$M$13,SUBSTITUTE(E45,".",""),0),OFFSET(ORÇAMENTO!$AA$15,CRONO!$E44,0))/$R44))</f>
        <v>1</v>
      </c>
      <c r="C44" s="201">
        <f ca="1">IF($Q44&lt;&gt;2,0,IF($R44=0,1,IF(E45&gt;0,OFFSET(QCI!$N$13,SUBSTITUTE(E45,".",""),0),OFFSET(ORÇAMENTO!$AB$15,CRONO!$E44,0))/$R44))</f>
        <v>1</v>
      </c>
      <c r="D44" s="204">
        <f ca="1">IF(AND($Q44=2,ACOMPANHAMENTO="BM"),D45,D46/$R44)</f>
        <v>0</v>
      </c>
      <c r="E44" s="201">
        <f ca="1">IF(A44&lt;=ORÇAMENTO.MáximoListaCrono,MATCH(A44,ORÇAMENTO.ListaCrono,0),NA())</f>
        <v>53</v>
      </c>
      <c r="F44" s="201" t="str">
        <f t="shared" ref="F44" ca="1" si="74">IF(AND($E45&lt;&gt;-1,$R44&gt;0),"F","")</f>
        <v/>
      </c>
      <c r="G44" s="205" t="str">
        <f ca="1">IF(OR(R44=0,R44=""),"Linha",IF(AND(OR(ACOMPANHAMENTO="PLE",$Q44&lt;&gt;2),$E45=0),"Linha",1-SUM(T44:AF44)))</f>
        <v>Linha</v>
      </c>
      <c r="H44" s="206" t="str">
        <f ca="1">IF($E45=0,OFFSET(ORÇAMENTO!O$15,$E44,0),IF($E45&lt;&gt;-1,OFFSET(QCI!$D$13,$E45,0),""))</f>
        <v>1.10.</v>
      </c>
      <c r="I44" s="207" t="str">
        <f ca="1">IF($E45=0,OFFSET(ORÇAMENTO!R$15,$E44,0),IF($E45&lt;&gt;-1,OFFSET(QCI!$G$13,$E45,0),""))</f>
        <v>REVESTIMENTO DE PISO</v>
      </c>
      <c r="J44" s="207"/>
      <c r="K44" s="207"/>
      <c r="L44" s="208">
        <f ca="1">IF($E45=0,OFFSET(ORÇAMENTO!C$15,$E44,0),1)</f>
        <v>2</v>
      </c>
      <c r="M44" s="209">
        <f ca="1">IF($E45=-1,0,IF(M$13&lt;=$L44,IF(ISERROR(MATCH(M$13,OFFSET($L44,1,0,ROW($L$164)-ROW($L44)-1),0)),ROW($L$164)-ROW($L44)-1,MATCH(M$13,OFFSET($L44,1,0,ROW($L$164)-ROW($L44)-1),0)-1),0))</f>
        <v>14</v>
      </c>
      <c r="N44" s="209">
        <f ca="1">IF($E45=-1,0,IF(N$13&lt;=$L44,IF(ISERROR(MATCH(N$13,OFFSET($L44,1,0,ROW($L$164)-ROW($L44)-1),0)),ROW($L$164)-ROW($L44)-1,MATCH(N$13,OFFSET($L44,1,0,ROW($L$164)-ROW($L44)-1),0)-1),0))</f>
        <v>2</v>
      </c>
      <c r="O44" s="209">
        <f ca="1">IF($E45=-1,0,IF(O$13&lt;=$L44,IF(ISERROR(MATCH(O$13,OFFSET($L44,1,0,ROW($L$164)-ROW($L44)-1),0)),ROW($L$164)-ROW($L44)-1,MATCH(O$13,OFFSET($L44,1,0,ROW($L$164)-ROW($L44)-1),0)-1),0))</f>
        <v>0</v>
      </c>
      <c r="P44" s="209">
        <f ca="1">IF($E45=-1,0,IF(P$13&lt;=$L44,IF(ISERROR(MATCH(P$13,OFFSET($L44,1,0,ROW($L$164)-ROW($L44)-1),0)),ROW($L$164)-ROW($L44)-1,MATCH(P$13,OFFSET($L44,1,0,ROW($L$164)-ROW($L44)-1),0)-1),0))</f>
        <v>0</v>
      </c>
      <c r="Q44" s="209">
        <f t="shared" ref="Q44" ca="1" si="75">MIN(OFFSET(L44,0,1,,L44))</f>
        <v>2</v>
      </c>
      <c r="R44" s="210">
        <f ca="1">IF($E45=0,OFFSET(ORÇAMENTO!X$15,$E44,0),IF($E45&lt;&gt;-1,OFFSET(QCI!$O$13,$E45,0),""))</f>
        <v>0</v>
      </c>
      <c r="S44" s="211" t="s">
        <v>270</v>
      </c>
      <c r="T44" s="212">
        <f t="shared" ref="T44:AE44" ca="1" si="76">IF(AND($Q44=2,ACOMPANHAMENTO="BM"),T45,T46/$R44)</f>
        <v>0</v>
      </c>
      <c r="U44" s="204">
        <f t="shared" ca="1" si="76"/>
        <v>0.5</v>
      </c>
      <c r="V44" s="204">
        <f t="shared" ca="1" si="76"/>
        <v>0.5</v>
      </c>
      <c r="W44" s="204">
        <f t="shared" ca="1" si="76"/>
        <v>0</v>
      </c>
      <c r="X44" s="204">
        <f t="shared" ca="1" si="76"/>
        <v>0</v>
      </c>
      <c r="Y44" s="204">
        <f t="shared" ca="1" si="76"/>
        <v>0</v>
      </c>
      <c r="Z44" s="204">
        <f t="shared" ca="1" si="76"/>
        <v>0</v>
      </c>
      <c r="AA44" s="204">
        <f t="shared" ca="1" si="76"/>
        <v>0</v>
      </c>
      <c r="AB44" s="204">
        <f t="shared" ca="1" si="76"/>
        <v>0</v>
      </c>
      <c r="AC44" s="204">
        <f t="shared" ca="1" si="76"/>
        <v>0</v>
      </c>
      <c r="AD44" s="204">
        <f t="shared" ca="1" si="76"/>
        <v>0</v>
      </c>
      <c r="AE44" s="213">
        <f t="shared" ca="1" si="76"/>
        <v>0</v>
      </c>
    </row>
    <row r="45" spans="1:32" ht="12.75" customHeight="1" x14ac:dyDescent="0.2">
      <c r="D45" s="566"/>
      <c r="E45" s="201">
        <f ca="1">IF(ISERROR(E44),IF(1+COUNTIF($L$13:OFFSET(L44,-1,0),1)&lt;=MAX(QCI!$D$13:$D$24),1+COUNTIF($L$13:OFFSET(L44,-1,0),1),-1),0)</f>
        <v>0</v>
      </c>
      <c r="F45" s="201" t="str">
        <f t="shared" ref="F45" ca="1" si="77">IF(AND($E45&lt;&gt;-1,$R44&gt;0),"F","")</f>
        <v/>
      </c>
      <c r="G45" s="214" t="str">
        <f ca="1">IF(OR(R44=0,R44=""),"vazia",IF(AND(OR(ACOMPANHAMENTO="PLE",$Q44&lt;&gt;2),$E45=0),"calculada","--&gt;"))</f>
        <v>vazia</v>
      </c>
      <c r="H45" s="215"/>
      <c r="I45" s="216" t="str">
        <f t="shared" ref="I45" ca="1" si="78">IF(AND(G44&lt;&gt;0,ISNUMBER(G44)),"PREENCHA ESTA LINHA --&gt;","")</f>
        <v/>
      </c>
      <c r="J45" s="216"/>
      <c r="K45" s="216"/>
      <c r="L45" s="217"/>
      <c r="M45" s="217"/>
      <c r="N45" s="217"/>
      <c r="O45" s="217"/>
      <c r="P45" s="217"/>
      <c r="Q45" s="217"/>
      <c r="R45" s="218"/>
      <c r="S45" s="219"/>
      <c r="T45" s="567"/>
      <c r="U45" s="566">
        <v>0.5</v>
      </c>
      <c r="V45" s="566">
        <v>0.5</v>
      </c>
      <c r="W45" s="566"/>
      <c r="X45" s="566"/>
      <c r="Y45" s="566"/>
      <c r="Z45" s="566"/>
      <c r="AA45" s="566"/>
      <c r="AB45" s="566"/>
      <c r="AC45" s="566"/>
      <c r="AD45" s="566"/>
      <c r="AE45" s="568"/>
      <c r="AF45" s="530"/>
    </row>
    <row r="46" spans="1:32" ht="0.2" hidden="1" customHeight="1" x14ac:dyDescent="0.2">
      <c r="D46" s="220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$120,"="&amp;CRONO!D$12,CÁLCULO!$AB$15:$AL$120)/(ORÇAMENTO!$X$15-CÁLCULO.TotalAdmLocal)*CRONO!$E46,0),D45*$R44),SUMIF(OFFSET($R46,1,0,$Q44-2),($L44+1)&amp;"$",OFFSET(D46,1,0,$Q44-2)))</f>
        <v>0</v>
      </c>
      <c r="E46" s="201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21"/>
      <c r="R46" s="222" t="str">
        <f t="shared" ref="R46" ca="1" si="79">L44&amp;"$"</f>
        <v>2$</v>
      </c>
      <c r="S46" s="223"/>
      <c r="T46" s="224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$120,"&lt;="&amp;CRONO!T$12,CÁLCULO!$AB$15:$AL$120)/(ORÇAMENTO!$X$15-CÁLCULO.TotalAdmLocal)*CRONO!$E46,0),T45*$R44),SUMIF(OFFSET($R46,1,0,$Q44-2),($L44+1)&amp;"$",OFFSET(T46,1,0,$Q44-2)))</f>
        <v>0</v>
      </c>
      <c r="U46" s="220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$120,"="&amp;CRONO!U$12,CÁLCULO!$AB$15:$AL$120)/(ORÇAMENTO!$X$15-CÁLCULO.TotalAdmLocal)*CRONO!$E46,0),U45*$R44),SUMIF(OFFSET($R46,1,0,$Q44-2),($L44+1)&amp;"$",OFFSET(U46,1,0,$Q44-2)))</f>
        <v>0</v>
      </c>
      <c r="V46" s="220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$120,"="&amp;CRONO!V$12,CÁLCULO!$AB$15:$AL$120)/(ORÇAMENTO!$X$15-CÁLCULO.TotalAdmLocal)*CRONO!$E46,0),V45*$R44),SUMIF(OFFSET($R46,1,0,$Q44-2),($L44+1)&amp;"$",OFFSET(V46,1,0,$Q44-2)))</f>
        <v>0</v>
      </c>
      <c r="W46" s="220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$120,"="&amp;CRONO!W$12,CÁLCULO!$AB$15:$AL$120)/(ORÇAMENTO!$X$15-CÁLCULO.TotalAdmLocal)*CRONO!$E46,0),W45*$R44),SUMIF(OFFSET($R46,1,0,$Q44-2),($L44+1)&amp;"$",OFFSET(W46,1,0,$Q44-2)))</f>
        <v>0</v>
      </c>
      <c r="X46" s="220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$120,"="&amp;CRONO!X$12,CÁLCULO!$AB$15:$AL$120)/(ORÇAMENTO!$X$15-CÁLCULO.TotalAdmLocal)*CRONO!$E46,0),X45*$R44),SUMIF(OFFSET($R46,1,0,$Q44-2),($L44+1)&amp;"$",OFFSET(X46,1,0,$Q44-2)))</f>
        <v>0</v>
      </c>
      <c r="Y46" s="220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$120,"="&amp;CRONO!Y$12,CÁLCULO!$AB$15:$AL$120)/(ORÇAMENTO!$X$15-CÁLCULO.TotalAdmLocal)*CRONO!$E46,0),Y45*$R44),SUMIF(OFFSET($R46,1,0,$Q44-2),($L44+1)&amp;"$",OFFSET(Y46,1,0,$Q44-2)))</f>
        <v>0</v>
      </c>
      <c r="Z46" s="220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$120,"="&amp;CRONO!Z$12,CÁLCULO!$AB$15:$AL$120)/(ORÇAMENTO!$X$15-CÁLCULO.TotalAdmLocal)*CRONO!$E46,0),Z45*$R44),SUMIF(OFFSET($R46,1,0,$Q44-2),($L44+1)&amp;"$",OFFSET(Z46,1,0,$Q44-2)))</f>
        <v>0</v>
      </c>
      <c r="AA46" s="220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$120,"="&amp;CRONO!AA$12,CÁLCULO!$AB$15:$AL$120)/(ORÇAMENTO!$X$15-CÁLCULO.TotalAdmLocal)*CRONO!$E46,0),AA45*$R44),SUMIF(OFFSET($R46,1,0,$Q44-2),($L44+1)&amp;"$",OFFSET(AA46,1,0,$Q44-2)))</f>
        <v>0</v>
      </c>
      <c r="AB46" s="220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$120,"="&amp;CRONO!AB$12,CÁLCULO!$AB$15:$AL$120)/(ORÇAMENTO!$X$15-CÁLCULO.TotalAdmLocal)*CRONO!$E46,0),AB45*$R44),SUMIF(OFFSET($R46,1,0,$Q44-2),($L44+1)&amp;"$",OFFSET(AB46,1,0,$Q44-2)))</f>
        <v>0</v>
      </c>
      <c r="AC46" s="220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$120,"="&amp;CRONO!AC$12,CÁLCULO!$AB$15:$AL$120)/(ORÇAMENTO!$X$15-CÁLCULO.TotalAdmLocal)*CRONO!$E46,0),AC45*$R44),SUMIF(OFFSET($R46,1,0,$Q44-2),($L44+1)&amp;"$",OFFSET(AC46,1,0,$Q44-2)))</f>
        <v>0</v>
      </c>
      <c r="AD46" s="220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$120,"="&amp;CRONO!AD$12,CÁLCULO!$AB$15:$AL$120)/(ORÇAMENTO!$X$15-CÁLCULO.TotalAdmLocal)*CRONO!$E46,0),AD45*$R44),SUMIF(OFFSET($R46,1,0,$Q44-2),($L44+1)&amp;"$",OFFSET(AD46,1,0,$Q44-2)))</f>
        <v>0</v>
      </c>
      <c r="AE46" s="225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$120,"="&amp;CRONO!AE$12,CÁLCULO!$AB$15:$AL$120)/(ORÇAMENTO!$X$15-CÁLCULO.TotalAdmLocal)*CRONO!$E46,0),AE45*$R44),SUMIF(OFFSET($R46,1,0,$Q44-2),($L44+1)&amp;"$",OFFSET(AE46,1,0,$Q44-2)))</f>
        <v>0</v>
      </c>
    </row>
    <row r="47" spans="1:32" x14ac:dyDescent="0.2">
      <c r="A47" s="201">
        <f t="shared" ref="A47" ca="1" si="80">OFFSET(A47,-3,0)+1</f>
        <v>12</v>
      </c>
      <c r="B47" s="201">
        <f ca="1">IF($Q47&lt;&gt;2,0,IF($R47=0,1,IF(E48&gt;0,OFFSET(QCI!$M$13,SUBSTITUTE(E48,".",""),0),OFFSET(ORÇAMENTO!$AA$15,CRONO!$E47,0))/$R47))</f>
        <v>1</v>
      </c>
      <c r="C47" s="201">
        <f ca="1">IF($Q47&lt;&gt;2,0,IF($R47=0,1,IF(E48&gt;0,OFFSET(QCI!$N$13,SUBSTITUTE(E48,".",""),0),OFFSET(ORÇAMENTO!$AB$15,CRONO!$E47,0))/$R47))</f>
        <v>1</v>
      </c>
      <c r="D47" s="204">
        <f ca="1">IF(AND($Q47=2,ACOMPANHAMENTO="BM"),D48,D49/$R47)</f>
        <v>0</v>
      </c>
      <c r="E47" s="201">
        <f ca="1">IF(A47&lt;=ORÇAMENTO.MáximoListaCrono,MATCH(A47,ORÇAMENTO.ListaCrono,0),NA())</f>
        <v>57</v>
      </c>
      <c r="F47" s="201" t="str">
        <f t="shared" ref="F47" ca="1" si="81">IF(AND($E48&lt;&gt;-1,$R47&gt;0),"F","")</f>
        <v/>
      </c>
      <c r="G47" s="205" t="str">
        <f ca="1">IF(OR(R47=0,R47=""),"Linha",IF(AND(OR(ACOMPANHAMENTO="PLE",$Q47&lt;&gt;2),$E48=0),"Linha",1-SUM(T47:AF47)))</f>
        <v>Linha</v>
      </c>
      <c r="H47" s="206" t="str">
        <f ca="1">IF($E48=0,OFFSET(ORÇAMENTO!O$15,$E47,0),IF($E48&lt;&gt;-1,OFFSET(QCI!$D$13,$E48,0),""))</f>
        <v>1.11.</v>
      </c>
      <c r="I47" s="207" t="str">
        <f ca="1">IF($E48=0,OFFSET(ORÇAMENTO!R$15,$E47,0),IF($E48&lt;&gt;-1,OFFSET(QCI!$G$13,$E48,0),""))</f>
        <v>ESQUADRIAS</v>
      </c>
      <c r="J47" s="207"/>
      <c r="K47" s="207"/>
      <c r="L47" s="208">
        <f ca="1">IF($E48=0,OFFSET(ORÇAMENTO!C$15,$E47,0),1)</f>
        <v>2</v>
      </c>
      <c r="M47" s="209">
        <f ca="1">IF($E48=-1,0,IF(M$13&lt;=$L47,IF(ISERROR(MATCH(M$13,OFFSET($L47,1,0,ROW($L$164)-ROW($L47)-1),0)),ROW($L$164)-ROW($L47)-1,MATCH(M$13,OFFSET($L47,1,0,ROW($L$164)-ROW($L47)-1),0)-1),0))</f>
        <v>11</v>
      </c>
      <c r="N47" s="209">
        <f ca="1">IF($E48=-1,0,IF(N$13&lt;=$L47,IF(ISERROR(MATCH(N$13,OFFSET($L47,1,0,ROW($L$164)-ROW($L47)-1),0)),ROW($L$164)-ROW($L47)-1,MATCH(N$13,OFFSET($L47,1,0,ROW($L$164)-ROW($L47)-1),0)-1),0))</f>
        <v>2</v>
      </c>
      <c r="O47" s="209">
        <f ca="1">IF($E48=-1,0,IF(O$13&lt;=$L47,IF(ISERROR(MATCH(O$13,OFFSET($L47,1,0,ROW($L$164)-ROW($L47)-1),0)),ROW($L$164)-ROW($L47)-1,MATCH(O$13,OFFSET($L47,1,0,ROW($L$164)-ROW($L47)-1),0)-1),0))</f>
        <v>0</v>
      </c>
      <c r="P47" s="209">
        <f ca="1">IF($E48=-1,0,IF(P$13&lt;=$L47,IF(ISERROR(MATCH(P$13,OFFSET($L47,1,0,ROW($L$164)-ROW($L47)-1),0)),ROW($L$164)-ROW($L47)-1,MATCH(P$13,OFFSET($L47,1,0,ROW($L$164)-ROW($L47)-1),0)-1),0))</f>
        <v>0</v>
      </c>
      <c r="Q47" s="209">
        <f t="shared" ref="Q47" ca="1" si="82">MIN(OFFSET(L47,0,1,,L47))</f>
        <v>2</v>
      </c>
      <c r="R47" s="210">
        <f ca="1">IF($E48=0,OFFSET(ORÇAMENTO!X$15,$E47,0),IF($E48&lt;&gt;-1,OFFSET(QCI!$O$13,$E48,0),""))</f>
        <v>0</v>
      </c>
      <c r="S47" s="211" t="s">
        <v>270</v>
      </c>
      <c r="T47" s="212">
        <f t="shared" ref="T47:AE47" ca="1" si="83">IF(AND($Q47=2,ACOMPANHAMENTO="BM"),T48,T49/$R47)</f>
        <v>0</v>
      </c>
      <c r="U47" s="204">
        <f t="shared" ca="1" si="83"/>
        <v>0.5</v>
      </c>
      <c r="V47" s="204">
        <f t="shared" ca="1" si="83"/>
        <v>0.5</v>
      </c>
      <c r="W47" s="204">
        <f t="shared" ca="1" si="83"/>
        <v>0</v>
      </c>
      <c r="X47" s="204">
        <f t="shared" ca="1" si="83"/>
        <v>0</v>
      </c>
      <c r="Y47" s="204">
        <f t="shared" ca="1" si="83"/>
        <v>0</v>
      </c>
      <c r="Z47" s="204">
        <f t="shared" ca="1" si="83"/>
        <v>0</v>
      </c>
      <c r="AA47" s="204">
        <f t="shared" ca="1" si="83"/>
        <v>0</v>
      </c>
      <c r="AB47" s="204">
        <f t="shared" ca="1" si="83"/>
        <v>0</v>
      </c>
      <c r="AC47" s="204">
        <f t="shared" ca="1" si="83"/>
        <v>0</v>
      </c>
      <c r="AD47" s="204">
        <f t="shared" ca="1" si="83"/>
        <v>0</v>
      </c>
      <c r="AE47" s="213">
        <f t="shared" ca="1" si="83"/>
        <v>0</v>
      </c>
    </row>
    <row r="48" spans="1:32" ht="12.75" customHeight="1" x14ac:dyDescent="0.2">
      <c r="D48" s="566"/>
      <c r="E48" s="201">
        <f ca="1">IF(ISERROR(E47),IF(1+COUNTIF($L$13:OFFSET(L47,-1,0),1)&lt;=MAX(QCI!$D$13:$D$24),1+COUNTIF($L$13:OFFSET(L47,-1,0),1),-1),0)</f>
        <v>0</v>
      </c>
      <c r="F48" s="201" t="str">
        <f t="shared" ref="F48" ca="1" si="84">IF(AND($E48&lt;&gt;-1,$R47&gt;0),"F","")</f>
        <v/>
      </c>
      <c r="G48" s="214" t="str">
        <f ca="1">IF(OR(R47=0,R47=""),"vazia",IF(AND(OR(ACOMPANHAMENTO="PLE",$Q47&lt;&gt;2),$E48=0),"calculada","--&gt;"))</f>
        <v>vazia</v>
      </c>
      <c r="H48" s="215"/>
      <c r="I48" s="216" t="str">
        <f t="shared" ref="I48" ca="1" si="85">IF(AND(G47&lt;&gt;0,ISNUMBER(G47)),"PREENCHA ESTA LINHA --&gt;","")</f>
        <v/>
      </c>
      <c r="J48" s="216"/>
      <c r="K48" s="216"/>
      <c r="L48" s="217"/>
      <c r="M48" s="217"/>
      <c r="N48" s="217"/>
      <c r="O48" s="217"/>
      <c r="P48" s="217"/>
      <c r="Q48" s="217"/>
      <c r="R48" s="218"/>
      <c r="S48" s="219"/>
      <c r="T48" s="567"/>
      <c r="U48" s="566">
        <v>0.5</v>
      </c>
      <c r="V48" s="566">
        <v>0.5</v>
      </c>
      <c r="W48" s="566"/>
      <c r="X48" s="566"/>
      <c r="Y48" s="566"/>
      <c r="Z48" s="566"/>
      <c r="AA48" s="566"/>
      <c r="AB48" s="566"/>
      <c r="AC48" s="566"/>
      <c r="AD48" s="566"/>
      <c r="AE48" s="568"/>
      <c r="AF48" s="530"/>
    </row>
    <row r="49" spans="1:32" ht="0.2" hidden="1" customHeight="1" x14ac:dyDescent="0.2">
      <c r="D49" s="220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$120,"="&amp;CRONO!D$12,CÁLCULO!$AB$15:$AL$120)/(ORÇAMENTO!$X$15-CÁLCULO.TotalAdmLocal)*CRONO!$E49,0),D48*$R47),SUMIF(OFFSET($R49,1,0,$Q47-2),($L47+1)&amp;"$",OFFSET(D49,1,0,$Q47-2)))</f>
        <v>0</v>
      </c>
      <c r="E49" s="201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21"/>
      <c r="R49" s="222" t="str">
        <f t="shared" ref="R49" ca="1" si="86">L47&amp;"$"</f>
        <v>2$</v>
      </c>
      <c r="S49" s="223"/>
      <c r="T49" s="224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$120,"&lt;="&amp;CRONO!T$12,CÁLCULO!$AB$15:$AL$120)/(ORÇAMENTO!$X$15-CÁLCULO.TotalAdmLocal)*CRONO!$E49,0),T48*$R47),SUMIF(OFFSET($R49,1,0,$Q47-2),($L47+1)&amp;"$",OFFSET(T49,1,0,$Q47-2)))</f>
        <v>0</v>
      </c>
      <c r="U49" s="220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$120,"="&amp;CRONO!U$12,CÁLCULO!$AB$15:$AL$120)/(ORÇAMENTO!$X$15-CÁLCULO.TotalAdmLocal)*CRONO!$E49,0),U48*$R47),SUMIF(OFFSET($R49,1,0,$Q47-2),($L47+1)&amp;"$",OFFSET(U49,1,0,$Q47-2)))</f>
        <v>0</v>
      </c>
      <c r="V49" s="220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$120,"="&amp;CRONO!V$12,CÁLCULO!$AB$15:$AL$120)/(ORÇAMENTO!$X$15-CÁLCULO.TotalAdmLocal)*CRONO!$E49,0),V48*$R47),SUMIF(OFFSET($R49,1,0,$Q47-2),($L47+1)&amp;"$",OFFSET(V49,1,0,$Q47-2)))</f>
        <v>0</v>
      </c>
      <c r="W49" s="220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$120,"="&amp;CRONO!W$12,CÁLCULO!$AB$15:$AL$120)/(ORÇAMENTO!$X$15-CÁLCULO.TotalAdmLocal)*CRONO!$E49,0),W48*$R47),SUMIF(OFFSET($R49,1,0,$Q47-2),($L47+1)&amp;"$",OFFSET(W49,1,0,$Q47-2)))</f>
        <v>0</v>
      </c>
      <c r="X49" s="220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$120,"="&amp;CRONO!X$12,CÁLCULO!$AB$15:$AL$120)/(ORÇAMENTO!$X$15-CÁLCULO.TotalAdmLocal)*CRONO!$E49,0),X48*$R47),SUMIF(OFFSET($R49,1,0,$Q47-2),($L47+1)&amp;"$",OFFSET(X49,1,0,$Q47-2)))</f>
        <v>0</v>
      </c>
      <c r="Y49" s="220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$120,"="&amp;CRONO!Y$12,CÁLCULO!$AB$15:$AL$120)/(ORÇAMENTO!$X$15-CÁLCULO.TotalAdmLocal)*CRONO!$E49,0),Y48*$R47),SUMIF(OFFSET($R49,1,0,$Q47-2),($L47+1)&amp;"$",OFFSET(Y49,1,0,$Q47-2)))</f>
        <v>0</v>
      </c>
      <c r="Z49" s="220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$120,"="&amp;CRONO!Z$12,CÁLCULO!$AB$15:$AL$120)/(ORÇAMENTO!$X$15-CÁLCULO.TotalAdmLocal)*CRONO!$E49,0),Z48*$R47),SUMIF(OFFSET($R49,1,0,$Q47-2),($L47+1)&amp;"$",OFFSET(Z49,1,0,$Q47-2)))</f>
        <v>0</v>
      </c>
      <c r="AA49" s="220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$120,"="&amp;CRONO!AA$12,CÁLCULO!$AB$15:$AL$120)/(ORÇAMENTO!$X$15-CÁLCULO.TotalAdmLocal)*CRONO!$E49,0),AA48*$R47),SUMIF(OFFSET($R49,1,0,$Q47-2),($L47+1)&amp;"$",OFFSET(AA49,1,0,$Q47-2)))</f>
        <v>0</v>
      </c>
      <c r="AB49" s="220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$120,"="&amp;CRONO!AB$12,CÁLCULO!$AB$15:$AL$120)/(ORÇAMENTO!$X$15-CÁLCULO.TotalAdmLocal)*CRONO!$E49,0),AB48*$R47),SUMIF(OFFSET($R49,1,0,$Q47-2),($L47+1)&amp;"$",OFFSET(AB49,1,0,$Q47-2)))</f>
        <v>0</v>
      </c>
      <c r="AC49" s="220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$120,"="&amp;CRONO!AC$12,CÁLCULO!$AB$15:$AL$120)/(ORÇAMENTO!$X$15-CÁLCULO.TotalAdmLocal)*CRONO!$E49,0),AC48*$R47),SUMIF(OFFSET($R49,1,0,$Q47-2),($L47+1)&amp;"$",OFFSET(AC49,1,0,$Q47-2)))</f>
        <v>0</v>
      </c>
      <c r="AD49" s="220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$120,"="&amp;CRONO!AD$12,CÁLCULO!$AB$15:$AL$120)/(ORÇAMENTO!$X$15-CÁLCULO.TotalAdmLocal)*CRONO!$E49,0),AD48*$R47),SUMIF(OFFSET($R49,1,0,$Q47-2),($L47+1)&amp;"$",OFFSET(AD49,1,0,$Q47-2)))</f>
        <v>0</v>
      </c>
      <c r="AE49" s="225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$120,"="&amp;CRONO!AE$12,CÁLCULO!$AB$15:$AL$120)/(ORÇAMENTO!$X$15-CÁLCULO.TotalAdmLocal)*CRONO!$E49,0),AE48*$R47),SUMIF(OFFSET($R49,1,0,$Q47-2),($L47+1)&amp;"$",OFFSET(AE49,1,0,$Q47-2)))</f>
        <v>0</v>
      </c>
    </row>
    <row r="50" spans="1:32" x14ac:dyDescent="0.2">
      <c r="A50" s="201">
        <f t="shared" ref="A50" ca="1" si="87">OFFSET(A50,-3,0)+1</f>
        <v>13</v>
      </c>
      <c r="B50" s="201">
        <f ca="1">IF($Q50&lt;&gt;2,0,IF($R50=0,1,IF(E51&gt;0,OFFSET(QCI!$M$13,SUBSTITUTE(E51,".",""),0),OFFSET(ORÇAMENTO!$AA$15,CRONO!$E50,0))/$R50))</f>
        <v>1</v>
      </c>
      <c r="C50" s="201">
        <f ca="1">IF($Q50&lt;&gt;2,0,IF($R50=0,1,IF(E51&gt;0,OFFSET(QCI!$N$13,SUBSTITUTE(E51,".",""),0),OFFSET(ORÇAMENTO!$AB$15,CRONO!$E50,0))/$R50))</f>
        <v>1</v>
      </c>
      <c r="D50" s="204">
        <f ca="1">IF(AND($Q50=2,ACOMPANHAMENTO="BM"),D51,D52/$R50)</f>
        <v>0</v>
      </c>
      <c r="E50" s="201">
        <f ca="1">IF(A50&lt;=ORÇAMENTO.MáximoListaCrono,MATCH(A50,ORÇAMENTO.ListaCrono,0),NA())</f>
        <v>64</v>
      </c>
      <c r="F50" s="201" t="str">
        <f t="shared" ref="F50" ca="1" si="88">IF(AND($E51&lt;&gt;-1,$R50&gt;0),"F","")</f>
        <v/>
      </c>
      <c r="G50" s="205" t="str">
        <f ca="1">IF(OR(R50=0,R50=""),"Linha",IF(AND(OR(ACOMPANHAMENTO="PLE",$Q50&lt;&gt;2),$E51=0),"Linha",1-SUM(T50:AF50)))</f>
        <v>Linha</v>
      </c>
      <c r="H50" s="206" t="str">
        <f ca="1">IF($E51=0,OFFSET(ORÇAMENTO!O$15,$E50,0),IF($E51&lt;&gt;-1,OFFSET(QCI!$D$13,$E51,0),""))</f>
        <v>1.12.</v>
      </c>
      <c r="I50" s="207" t="str">
        <f ca="1">IF($E51=0,OFFSET(ORÇAMENTO!R$15,$E50,0),IF($E51&lt;&gt;-1,OFFSET(QCI!$G$13,$E51,0),""))</f>
        <v>LOUÇAS, METAIS E ACESSÓRIOS</v>
      </c>
      <c r="J50" s="207"/>
      <c r="K50" s="207"/>
      <c r="L50" s="208">
        <f ca="1">IF($E51=0,OFFSET(ORÇAMENTO!C$15,$E50,0),1)</f>
        <v>2</v>
      </c>
      <c r="M50" s="209">
        <f ca="1">IF($E51=-1,0,IF(M$13&lt;=$L50,IF(ISERROR(MATCH(M$13,OFFSET($L50,1,0,ROW($L$164)-ROW($L50)-1),0)),ROW($L$164)-ROW($L50)-1,MATCH(M$13,OFFSET($L50,1,0,ROW($L$164)-ROW($L50)-1),0)-1),0))</f>
        <v>8</v>
      </c>
      <c r="N50" s="209">
        <f ca="1">IF($E51=-1,0,IF(N$13&lt;=$L50,IF(ISERROR(MATCH(N$13,OFFSET($L50,1,0,ROW($L$164)-ROW($L50)-1),0)),ROW($L$164)-ROW($L50)-1,MATCH(N$13,OFFSET($L50,1,0,ROW($L$164)-ROW($L50)-1),0)-1),0))</f>
        <v>2</v>
      </c>
      <c r="O50" s="209">
        <f ca="1">IF($E51=-1,0,IF(O$13&lt;=$L50,IF(ISERROR(MATCH(O$13,OFFSET($L50,1,0,ROW($L$164)-ROW($L50)-1),0)),ROW($L$164)-ROW($L50)-1,MATCH(O$13,OFFSET($L50,1,0,ROW($L$164)-ROW($L50)-1),0)-1),0))</f>
        <v>0</v>
      </c>
      <c r="P50" s="209">
        <f ca="1">IF($E51=-1,0,IF(P$13&lt;=$L50,IF(ISERROR(MATCH(P$13,OFFSET($L50,1,0,ROW($L$164)-ROW($L50)-1),0)),ROW($L$164)-ROW($L50)-1,MATCH(P$13,OFFSET($L50,1,0,ROW($L$164)-ROW($L50)-1),0)-1),0))</f>
        <v>0</v>
      </c>
      <c r="Q50" s="209">
        <f t="shared" ref="Q50" ca="1" si="89">MIN(OFFSET(L50,0,1,,L50))</f>
        <v>2</v>
      </c>
      <c r="R50" s="210">
        <f ca="1">IF($E51=0,OFFSET(ORÇAMENTO!X$15,$E50,0),IF($E51&lt;&gt;-1,OFFSET(QCI!$O$13,$E51,0),""))</f>
        <v>0</v>
      </c>
      <c r="S50" s="211" t="s">
        <v>270</v>
      </c>
      <c r="T50" s="212">
        <f t="shared" ref="T50:AE50" ca="1" si="90">IF(AND($Q50=2,ACOMPANHAMENTO="BM"),T51,T52/$R50)</f>
        <v>0</v>
      </c>
      <c r="U50" s="204">
        <f t="shared" ca="1" si="90"/>
        <v>0</v>
      </c>
      <c r="V50" s="204">
        <f t="shared" ca="1" si="90"/>
        <v>1</v>
      </c>
      <c r="W50" s="204">
        <f t="shared" ca="1" si="90"/>
        <v>0</v>
      </c>
      <c r="X50" s="204">
        <f t="shared" ca="1" si="90"/>
        <v>0</v>
      </c>
      <c r="Y50" s="204">
        <f t="shared" ca="1" si="90"/>
        <v>0</v>
      </c>
      <c r="Z50" s="204">
        <f t="shared" ca="1" si="90"/>
        <v>0</v>
      </c>
      <c r="AA50" s="204">
        <f t="shared" ca="1" si="90"/>
        <v>0</v>
      </c>
      <c r="AB50" s="204">
        <f t="shared" ca="1" si="90"/>
        <v>0</v>
      </c>
      <c r="AC50" s="204">
        <f t="shared" ca="1" si="90"/>
        <v>0</v>
      </c>
      <c r="AD50" s="204">
        <f t="shared" ca="1" si="90"/>
        <v>0</v>
      </c>
      <c r="AE50" s="213">
        <f t="shared" ca="1" si="90"/>
        <v>0</v>
      </c>
    </row>
    <row r="51" spans="1:32" ht="12.75" customHeight="1" x14ac:dyDescent="0.2">
      <c r="D51" s="566"/>
      <c r="E51" s="201">
        <f ca="1">IF(ISERROR(E50),IF(1+COUNTIF($L$13:OFFSET(L50,-1,0),1)&lt;=MAX(QCI!$D$13:$D$24),1+COUNTIF($L$13:OFFSET(L50,-1,0),1),-1),0)</f>
        <v>0</v>
      </c>
      <c r="F51" s="201" t="str">
        <f t="shared" ref="F51" ca="1" si="91">IF(AND($E51&lt;&gt;-1,$R50&gt;0),"F","")</f>
        <v/>
      </c>
      <c r="G51" s="214" t="str">
        <f ca="1">IF(OR(R50=0,R50=""),"vazia",IF(AND(OR(ACOMPANHAMENTO="PLE",$Q50&lt;&gt;2),$E51=0),"calculada","--&gt;"))</f>
        <v>vazia</v>
      </c>
      <c r="H51" s="215"/>
      <c r="I51" s="216" t="str">
        <f t="shared" ref="I51" ca="1" si="92">IF(AND(G50&lt;&gt;0,ISNUMBER(G50)),"PREENCHA ESTA LINHA --&gt;","")</f>
        <v/>
      </c>
      <c r="J51" s="216"/>
      <c r="K51" s="216"/>
      <c r="L51" s="217"/>
      <c r="M51" s="217"/>
      <c r="N51" s="217"/>
      <c r="O51" s="217"/>
      <c r="P51" s="217"/>
      <c r="Q51" s="217"/>
      <c r="R51" s="218"/>
      <c r="S51" s="219"/>
      <c r="T51" s="567"/>
      <c r="U51" s="566"/>
      <c r="V51" s="566">
        <v>1</v>
      </c>
      <c r="W51" s="566"/>
      <c r="X51" s="566"/>
      <c r="Y51" s="566"/>
      <c r="Z51" s="566"/>
      <c r="AA51" s="566"/>
      <c r="AB51" s="566"/>
      <c r="AC51" s="566"/>
      <c r="AD51" s="566"/>
      <c r="AE51" s="568"/>
      <c r="AF51" s="530"/>
    </row>
    <row r="52" spans="1:32" ht="0.2" hidden="1" customHeight="1" x14ac:dyDescent="0.2">
      <c r="D52" s="220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$120,"="&amp;CRONO!D$12,CÁLCULO!$AB$15:$AL$120)/(ORÇAMENTO!$X$15-CÁLCULO.TotalAdmLocal)*CRONO!$E52,0),D51*$R50),SUMIF(OFFSET($R52,1,0,$Q50-2),($L50+1)&amp;"$",OFFSET(D52,1,0,$Q50-2)))</f>
        <v>0</v>
      </c>
      <c r="E52" s="201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21"/>
      <c r="R52" s="222" t="str">
        <f t="shared" ref="R52" ca="1" si="93">L50&amp;"$"</f>
        <v>2$</v>
      </c>
      <c r="S52" s="223"/>
      <c r="T52" s="224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$120,"&lt;="&amp;CRONO!T$12,CÁLCULO!$AB$15:$AL$120)/(ORÇAMENTO!$X$15-CÁLCULO.TotalAdmLocal)*CRONO!$E52,0),T51*$R50),SUMIF(OFFSET($R52,1,0,$Q50-2),($L50+1)&amp;"$",OFFSET(T52,1,0,$Q50-2)))</f>
        <v>0</v>
      </c>
      <c r="U52" s="220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$120,"="&amp;CRONO!U$12,CÁLCULO!$AB$15:$AL$120)/(ORÇAMENTO!$X$15-CÁLCULO.TotalAdmLocal)*CRONO!$E52,0),U51*$R50),SUMIF(OFFSET($R52,1,0,$Q50-2),($L50+1)&amp;"$",OFFSET(U52,1,0,$Q50-2)))</f>
        <v>0</v>
      </c>
      <c r="V52" s="220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$120,"="&amp;CRONO!V$12,CÁLCULO!$AB$15:$AL$120)/(ORÇAMENTO!$X$15-CÁLCULO.TotalAdmLocal)*CRONO!$E52,0),V51*$R50),SUMIF(OFFSET($R52,1,0,$Q50-2),($L50+1)&amp;"$",OFFSET(V52,1,0,$Q50-2)))</f>
        <v>0</v>
      </c>
      <c r="W52" s="220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$120,"="&amp;CRONO!W$12,CÁLCULO!$AB$15:$AL$120)/(ORÇAMENTO!$X$15-CÁLCULO.TotalAdmLocal)*CRONO!$E52,0),W51*$R50),SUMIF(OFFSET($R52,1,0,$Q50-2),($L50+1)&amp;"$",OFFSET(W52,1,0,$Q50-2)))</f>
        <v>0</v>
      </c>
      <c r="X52" s="220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$120,"="&amp;CRONO!X$12,CÁLCULO!$AB$15:$AL$120)/(ORÇAMENTO!$X$15-CÁLCULO.TotalAdmLocal)*CRONO!$E52,0),X51*$R50),SUMIF(OFFSET($R52,1,0,$Q50-2),($L50+1)&amp;"$",OFFSET(X52,1,0,$Q50-2)))</f>
        <v>0</v>
      </c>
      <c r="Y52" s="220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$120,"="&amp;CRONO!Y$12,CÁLCULO!$AB$15:$AL$120)/(ORÇAMENTO!$X$15-CÁLCULO.TotalAdmLocal)*CRONO!$E52,0),Y51*$R50),SUMIF(OFFSET($R52,1,0,$Q50-2),($L50+1)&amp;"$",OFFSET(Y52,1,0,$Q50-2)))</f>
        <v>0</v>
      </c>
      <c r="Z52" s="220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$120,"="&amp;CRONO!Z$12,CÁLCULO!$AB$15:$AL$120)/(ORÇAMENTO!$X$15-CÁLCULO.TotalAdmLocal)*CRONO!$E52,0),Z51*$R50),SUMIF(OFFSET($R52,1,0,$Q50-2),($L50+1)&amp;"$",OFFSET(Z52,1,0,$Q50-2)))</f>
        <v>0</v>
      </c>
      <c r="AA52" s="220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$120,"="&amp;CRONO!AA$12,CÁLCULO!$AB$15:$AL$120)/(ORÇAMENTO!$X$15-CÁLCULO.TotalAdmLocal)*CRONO!$E52,0),AA51*$R50),SUMIF(OFFSET($R52,1,0,$Q50-2),($L50+1)&amp;"$",OFFSET(AA52,1,0,$Q50-2)))</f>
        <v>0</v>
      </c>
      <c r="AB52" s="220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$120,"="&amp;CRONO!AB$12,CÁLCULO!$AB$15:$AL$120)/(ORÇAMENTO!$X$15-CÁLCULO.TotalAdmLocal)*CRONO!$E52,0),AB51*$R50),SUMIF(OFFSET($R52,1,0,$Q50-2),($L50+1)&amp;"$",OFFSET(AB52,1,0,$Q50-2)))</f>
        <v>0</v>
      </c>
      <c r="AC52" s="220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$120,"="&amp;CRONO!AC$12,CÁLCULO!$AB$15:$AL$120)/(ORÇAMENTO!$X$15-CÁLCULO.TotalAdmLocal)*CRONO!$E52,0),AC51*$R50),SUMIF(OFFSET($R52,1,0,$Q50-2),($L50+1)&amp;"$",OFFSET(AC52,1,0,$Q50-2)))</f>
        <v>0</v>
      </c>
      <c r="AD52" s="220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$120,"="&amp;CRONO!AD$12,CÁLCULO!$AB$15:$AL$120)/(ORÇAMENTO!$X$15-CÁLCULO.TotalAdmLocal)*CRONO!$E52,0),AD51*$R50),SUMIF(OFFSET($R52,1,0,$Q50-2),($L50+1)&amp;"$",OFFSET(AD52,1,0,$Q50-2)))</f>
        <v>0</v>
      </c>
      <c r="AE52" s="225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$120,"="&amp;CRONO!AE$12,CÁLCULO!$AB$15:$AL$120)/(ORÇAMENTO!$X$15-CÁLCULO.TotalAdmLocal)*CRONO!$E52,0),AE51*$R50),SUMIF(OFFSET($R52,1,0,$Q50-2),($L50+1)&amp;"$",OFFSET(AE52,1,0,$Q50-2)))</f>
        <v>0</v>
      </c>
    </row>
    <row r="53" spans="1:32" x14ac:dyDescent="0.2">
      <c r="A53" s="201">
        <f t="shared" ref="A53" ca="1" si="94">OFFSET(A53,-3,0)+1</f>
        <v>14</v>
      </c>
      <c r="B53" s="201">
        <f ca="1">IF($Q53&lt;&gt;2,0,IF($R53=0,1,IF(E54&gt;0,OFFSET(QCI!$M$13,SUBSTITUTE(E54,".",""),0),OFFSET(ORÇAMENTO!$AA$15,CRONO!$E53,0))/$R53))</f>
        <v>1</v>
      </c>
      <c r="C53" s="201">
        <f ca="1">IF($Q53&lt;&gt;2,0,IF($R53=0,1,IF(E54&gt;0,OFFSET(QCI!$N$13,SUBSTITUTE(E54,".",""),0),OFFSET(ORÇAMENTO!$AB$15,CRONO!$E53,0))/$R53))</f>
        <v>1</v>
      </c>
      <c r="D53" s="204">
        <f ca="1">IF(AND($Q53=2,ACOMPANHAMENTO="BM"),D54,D55/$R53)</f>
        <v>0</v>
      </c>
      <c r="E53" s="201">
        <f ca="1">IF(A53&lt;=ORÇAMENTO.MáximoListaCrono,MATCH(A53,ORÇAMENTO.ListaCrono,0),NA())</f>
        <v>76</v>
      </c>
      <c r="F53" s="201" t="str">
        <f t="shared" ref="F53" ca="1" si="95">IF(AND($E54&lt;&gt;-1,$R53&gt;0),"F","")</f>
        <v/>
      </c>
      <c r="G53" s="205" t="str">
        <f ca="1">IF(OR(R53=0,R53=""),"Linha",IF(AND(OR(ACOMPANHAMENTO="PLE",$Q53&lt;&gt;2),$E54=0),"Linha",1-SUM(T53:AF53)))</f>
        <v>Linha</v>
      </c>
      <c r="H53" s="206" t="str">
        <f ca="1">IF($E54=0,OFFSET(ORÇAMENTO!O$15,$E53,0),IF($E54&lt;&gt;-1,OFFSET(QCI!$D$13,$E54,0),""))</f>
        <v>1.13.</v>
      </c>
      <c r="I53" s="207" t="str">
        <f ca="1">IF($E54=0,OFFSET(ORÇAMENTO!R$15,$E53,0),IF($E54&lt;&gt;-1,OFFSET(QCI!$G$13,$E54,0),""))</f>
        <v>INSTALAÇÕES HIDROSSANITÁRIAS</v>
      </c>
      <c r="J53" s="207"/>
      <c r="K53" s="207"/>
      <c r="L53" s="208">
        <f ca="1">IF($E54=0,OFFSET(ORÇAMENTO!C$15,$E53,0),1)</f>
        <v>2</v>
      </c>
      <c r="M53" s="209">
        <f ca="1">IF($E54=-1,0,IF(M$13&lt;=$L53,IF(ISERROR(MATCH(M$13,OFFSET($L53,1,0,ROW($L$164)-ROW($L53)-1),0)),ROW($L$164)-ROW($L53)-1,MATCH(M$13,OFFSET($L53,1,0,ROW($L$164)-ROW($L53)-1),0)-1),0))</f>
        <v>5</v>
      </c>
      <c r="N53" s="209">
        <f ca="1">IF($E54=-1,0,IF(N$13&lt;=$L53,IF(ISERROR(MATCH(N$13,OFFSET($L53,1,0,ROW($L$164)-ROW($L53)-1),0)),ROW($L$164)-ROW($L53)-1,MATCH(N$13,OFFSET($L53,1,0,ROW($L$164)-ROW($L53)-1),0)-1),0))</f>
        <v>2</v>
      </c>
      <c r="O53" s="209">
        <f ca="1">IF($E54=-1,0,IF(O$13&lt;=$L53,IF(ISERROR(MATCH(O$13,OFFSET($L53,1,0,ROW($L$164)-ROW($L53)-1),0)),ROW($L$164)-ROW($L53)-1,MATCH(O$13,OFFSET($L53,1,0,ROW($L$164)-ROW($L53)-1),0)-1),0))</f>
        <v>0</v>
      </c>
      <c r="P53" s="209">
        <f ca="1">IF($E54=-1,0,IF(P$13&lt;=$L53,IF(ISERROR(MATCH(P$13,OFFSET($L53,1,0,ROW($L$164)-ROW($L53)-1),0)),ROW($L$164)-ROW($L53)-1,MATCH(P$13,OFFSET($L53,1,0,ROW($L$164)-ROW($L53)-1),0)-1),0))</f>
        <v>0</v>
      </c>
      <c r="Q53" s="209">
        <f t="shared" ref="Q53" ca="1" si="96">MIN(OFFSET(L53,0,1,,L53))</f>
        <v>2</v>
      </c>
      <c r="R53" s="210">
        <f ca="1">IF($E54=0,OFFSET(ORÇAMENTO!X$15,$E53,0),IF($E54&lt;&gt;-1,OFFSET(QCI!$O$13,$E54,0),""))</f>
        <v>0</v>
      </c>
      <c r="S53" s="211" t="s">
        <v>270</v>
      </c>
      <c r="T53" s="212">
        <f t="shared" ref="T53:AE53" ca="1" si="97">IF(AND($Q53=2,ACOMPANHAMENTO="BM"),T54,T55/$R53)</f>
        <v>0.33333333333333331</v>
      </c>
      <c r="U53" s="204">
        <f t="shared" ca="1" si="97"/>
        <v>0.33333333333333331</v>
      </c>
      <c r="V53" s="204">
        <f t="shared" ca="1" si="97"/>
        <v>0.33333333333333331</v>
      </c>
      <c r="W53" s="204">
        <f t="shared" ca="1" si="97"/>
        <v>0</v>
      </c>
      <c r="X53" s="204">
        <f t="shared" ca="1" si="97"/>
        <v>0</v>
      </c>
      <c r="Y53" s="204">
        <f t="shared" ca="1" si="97"/>
        <v>0</v>
      </c>
      <c r="Z53" s="204">
        <f t="shared" ca="1" si="97"/>
        <v>0</v>
      </c>
      <c r="AA53" s="204">
        <f t="shared" ca="1" si="97"/>
        <v>0</v>
      </c>
      <c r="AB53" s="204">
        <f t="shared" ca="1" si="97"/>
        <v>0</v>
      </c>
      <c r="AC53" s="204">
        <f t="shared" ca="1" si="97"/>
        <v>0</v>
      </c>
      <c r="AD53" s="204">
        <f t="shared" ca="1" si="97"/>
        <v>0</v>
      </c>
      <c r="AE53" s="213">
        <f t="shared" ca="1" si="97"/>
        <v>0</v>
      </c>
    </row>
    <row r="54" spans="1:32" ht="12.75" customHeight="1" x14ac:dyDescent="0.2">
      <c r="D54" s="566"/>
      <c r="E54" s="201">
        <f ca="1">IF(ISERROR(E53),IF(1+COUNTIF($L$13:OFFSET(L53,-1,0),1)&lt;=MAX(QCI!$D$13:$D$24),1+COUNTIF($L$13:OFFSET(L53,-1,0),1),-1),0)</f>
        <v>0</v>
      </c>
      <c r="F54" s="201" t="str">
        <f t="shared" ref="F54" ca="1" si="98">IF(AND($E54&lt;&gt;-1,$R53&gt;0),"F","")</f>
        <v/>
      </c>
      <c r="G54" s="214" t="str">
        <f ca="1">IF(OR(R53=0,R53=""),"vazia",IF(AND(OR(ACOMPANHAMENTO="PLE",$Q53&lt;&gt;2),$E54=0),"calculada","--&gt;"))</f>
        <v>vazia</v>
      </c>
      <c r="H54" s="215"/>
      <c r="I54" s="216" t="str">
        <f t="shared" ref="I54" ca="1" si="99">IF(AND(G53&lt;&gt;0,ISNUMBER(G53)),"PREENCHA ESTA LINHA --&gt;","")</f>
        <v/>
      </c>
      <c r="J54" s="216"/>
      <c r="K54" s="216"/>
      <c r="L54" s="217"/>
      <c r="M54" s="217"/>
      <c r="N54" s="217"/>
      <c r="O54" s="217"/>
      <c r="P54" s="217"/>
      <c r="Q54" s="217"/>
      <c r="R54" s="218"/>
      <c r="S54" s="219"/>
      <c r="T54" s="567">
        <f>1/3</f>
        <v>0.33333333333333331</v>
      </c>
      <c r="U54" s="566">
        <f>1/3</f>
        <v>0.33333333333333331</v>
      </c>
      <c r="V54" s="566">
        <f>1/3</f>
        <v>0.33333333333333331</v>
      </c>
      <c r="W54" s="566"/>
      <c r="X54" s="566"/>
      <c r="Y54" s="566"/>
      <c r="Z54" s="566"/>
      <c r="AA54" s="566"/>
      <c r="AB54" s="566"/>
      <c r="AC54" s="566"/>
      <c r="AD54" s="566"/>
      <c r="AE54" s="568"/>
      <c r="AF54" s="530"/>
    </row>
    <row r="55" spans="1:32" ht="0.2" hidden="1" customHeight="1" x14ac:dyDescent="0.2">
      <c r="D55" s="220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$120,"="&amp;CRONO!D$12,CÁLCULO!$AB$15:$AL$120)/(ORÇAMENTO!$X$15-CÁLCULO.TotalAdmLocal)*CRONO!$E55,0),D54*$R53),SUMIF(OFFSET($R55,1,0,$Q53-2),($L53+1)&amp;"$",OFFSET(D55,1,0,$Q53-2)))</f>
        <v>0</v>
      </c>
      <c r="E55" s="201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21"/>
      <c r="R55" s="222" t="str">
        <f t="shared" ref="R55" ca="1" si="100">L53&amp;"$"</f>
        <v>2$</v>
      </c>
      <c r="S55" s="223"/>
      <c r="T55" s="224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$120,"&lt;="&amp;CRONO!T$12,CÁLCULO!$AB$15:$AL$120)/(ORÇAMENTO!$X$15-CÁLCULO.TotalAdmLocal)*CRONO!$E55,0),T54*$R53),SUMIF(OFFSET($R55,1,0,$Q53-2),($L53+1)&amp;"$",OFFSET(T55,1,0,$Q53-2)))</f>
        <v>0</v>
      </c>
      <c r="U55" s="220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$120,"="&amp;CRONO!U$12,CÁLCULO!$AB$15:$AL$120)/(ORÇAMENTO!$X$15-CÁLCULO.TotalAdmLocal)*CRONO!$E55,0),U54*$R53),SUMIF(OFFSET($R55,1,0,$Q53-2),($L53+1)&amp;"$",OFFSET(U55,1,0,$Q53-2)))</f>
        <v>0</v>
      </c>
      <c r="V55" s="220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$120,"="&amp;CRONO!V$12,CÁLCULO!$AB$15:$AL$120)/(ORÇAMENTO!$X$15-CÁLCULO.TotalAdmLocal)*CRONO!$E55,0),V54*$R53),SUMIF(OFFSET($R55,1,0,$Q53-2),($L53+1)&amp;"$",OFFSET(V55,1,0,$Q53-2)))</f>
        <v>0</v>
      </c>
      <c r="W55" s="220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$120,"="&amp;CRONO!W$12,CÁLCULO!$AB$15:$AL$120)/(ORÇAMENTO!$X$15-CÁLCULO.TotalAdmLocal)*CRONO!$E55,0),W54*$R53),SUMIF(OFFSET($R55,1,0,$Q53-2),($L53+1)&amp;"$",OFFSET(W55,1,0,$Q53-2)))</f>
        <v>0</v>
      </c>
      <c r="X55" s="220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$120,"="&amp;CRONO!X$12,CÁLCULO!$AB$15:$AL$120)/(ORÇAMENTO!$X$15-CÁLCULO.TotalAdmLocal)*CRONO!$E55,0),X54*$R53),SUMIF(OFFSET($R55,1,0,$Q53-2),($L53+1)&amp;"$",OFFSET(X55,1,0,$Q53-2)))</f>
        <v>0</v>
      </c>
      <c r="Y55" s="220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$120,"="&amp;CRONO!Y$12,CÁLCULO!$AB$15:$AL$120)/(ORÇAMENTO!$X$15-CÁLCULO.TotalAdmLocal)*CRONO!$E55,0),Y54*$R53),SUMIF(OFFSET($R55,1,0,$Q53-2),($L53+1)&amp;"$",OFFSET(Y55,1,0,$Q53-2)))</f>
        <v>0</v>
      </c>
      <c r="Z55" s="220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$120,"="&amp;CRONO!Z$12,CÁLCULO!$AB$15:$AL$120)/(ORÇAMENTO!$X$15-CÁLCULO.TotalAdmLocal)*CRONO!$E55,0),Z54*$R53),SUMIF(OFFSET($R55,1,0,$Q53-2),($L53+1)&amp;"$",OFFSET(Z55,1,0,$Q53-2)))</f>
        <v>0</v>
      </c>
      <c r="AA55" s="220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$120,"="&amp;CRONO!AA$12,CÁLCULO!$AB$15:$AL$120)/(ORÇAMENTO!$X$15-CÁLCULO.TotalAdmLocal)*CRONO!$E55,0),AA54*$R53),SUMIF(OFFSET($R55,1,0,$Q53-2),($L53+1)&amp;"$",OFFSET(AA55,1,0,$Q53-2)))</f>
        <v>0</v>
      </c>
      <c r="AB55" s="220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$120,"="&amp;CRONO!AB$12,CÁLCULO!$AB$15:$AL$120)/(ORÇAMENTO!$X$15-CÁLCULO.TotalAdmLocal)*CRONO!$E55,0),AB54*$R53),SUMIF(OFFSET($R55,1,0,$Q53-2),($L53+1)&amp;"$",OFFSET(AB55,1,0,$Q53-2)))</f>
        <v>0</v>
      </c>
      <c r="AC55" s="220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$120,"="&amp;CRONO!AC$12,CÁLCULO!$AB$15:$AL$120)/(ORÇAMENTO!$X$15-CÁLCULO.TotalAdmLocal)*CRONO!$E55,0),AC54*$R53),SUMIF(OFFSET($R55,1,0,$Q53-2),($L53+1)&amp;"$",OFFSET(AC55,1,0,$Q53-2)))</f>
        <v>0</v>
      </c>
      <c r="AD55" s="220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$120,"="&amp;CRONO!AD$12,CÁLCULO!$AB$15:$AL$120)/(ORÇAMENTO!$X$15-CÁLCULO.TotalAdmLocal)*CRONO!$E55,0),AD54*$R53),SUMIF(OFFSET($R55,1,0,$Q53-2),($L53+1)&amp;"$",OFFSET(AD55,1,0,$Q53-2)))</f>
        <v>0</v>
      </c>
      <c r="AE55" s="225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$120,"="&amp;CRONO!AE$12,CÁLCULO!$AB$15:$AL$120)/(ORÇAMENTO!$X$15-CÁLCULO.TotalAdmLocal)*CRONO!$E55,0),AE54*$R53),SUMIF(OFFSET($R55,1,0,$Q53-2),($L53+1)&amp;"$",OFFSET(AE55,1,0,$Q53-2)))</f>
        <v>0</v>
      </c>
    </row>
    <row r="56" spans="1:32" x14ac:dyDescent="0.2">
      <c r="A56" s="201">
        <f t="shared" ref="A56" ca="1" si="101">OFFSET(A56,-3,0)+1</f>
        <v>15</v>
      </c>
      <c r="B56" s="201">
        <f ca="1">IF($Q56&lt;&gt;2,0,IF($R56=0,1,IF(E57&gt;0,OFFSET(QCI!$M$13,SUBSTITUTE(E57,".",""),0),OFFSET(ORÇAMENTO!$AA$15,CRONO!$E56,0))/$R56))</f>
        <v>1</v>
      </c>
      <c r="C56" s="201">
        <f ca="1">IF($Q56&lt;&gt;2,0,IF($R56=0,1,IF(E57&gt;0,OFFSET(QCI!$N$13,SUBSTITUTE(E57,".",""),0),OFFSET(ORÇAMENTO!$AB$15,CRONO!$E56,0))/$R56))</f>
        <v>1</v>
      </c>
      <c r="D56" s="204">
        <f ca="1">IF(AND($Q56=2,ACOMPANHAMENTO="BM"),D57,D58/$R56)</f>
        <v>0</v>
      </c>
      <c r="E56" s="201">
        <f ca="1">IF(A56&lt;=ORÇAMENTO.MáximoListaCrono,MATCH(A56,ORÇAMENTO.ListaCrono,0),NA())</f>
        <v>88</v>
      </c>
      <c r="F56" s="201" t="str">
        <f t="shared" ref="F56" ca="1" si="102">IF(AND($E57&lt;&gt;-1,$R56&gt;0),"F","")</f>
        <v/>
      </c>
      <c r="G56" s="205" t="str">
        <f ca="1">IF(OR(R56=0,R56=""),"Linha",IF(AND(OR(ACOMPANHAMENTO="PLE",$Q56&lt;&gt;2),$E57=0),"Linha",1-SUM(T56:AF56)))</f>
        <v>Linha</v>
      </c>
      <c r="H56" s="206" t="str">
        <f ca="1">IF($E57=0,OFFSET(ORÇAMENTO!O$15,$E56,0),IF($E57&lt;&gt;-1,OFFSET(QCI!$D$13,$E57,0),""))</f>
        <v>1.14.</v>
      </c>
      <c r="I56" s="207" t="str">
        <f ca="1">IF($E57=0,OFFSET(ORÇAMENTO!R$15,$E56,0),IF($E57&lt;&gt;-1,OFFSET(QCI!$G$13,$E57,0),""))</f>
        <v>INSTALAÇÕES ELÉTRICAS</v>
      </c>
      <c r="J56" s="207"/>
      <c r="K56" s="207"/>
      <c r="L56" s="208">
        <f ca="1">IF($E57=0,OFFSET(ORÇAMENTO!C$15,$E56,0),1)</f>
        <v>2</v>
      </c>
      <c r="M56" s="209">
        <f ca="1">IF($E57=-1,0,IF(M$13&lt;=$L56,IF(ISERROR(MATCH(M$13,OFFSET($L56,1,0,ROW($L$164)-ROW($L56)-1),0)),ROW($L$164)-ROW($L56)-1,MATCH(M$13,OFFSET($L56,1,0,ROW($L$164)-ROW($L56)-1),0)-1),0))</f>
        <v>2</v>
      </c>
      <c r="N56" s="209">
        <f ca="1">IF($E57=-1,0,IF(N$13&lt;=$L56,IF(ISERROR(MATCH(N$13,OFFSET($L56,1,0,ROW($L$164)-ROW($L56)-1),0)),ROW($L$164)-ROW($L56)-1,MATCH(N$13,OFFSET($L56,1,0,ROW($L$164)-ROW($L56)-1),0)-1),0))</f>
        <v>107</v>
      </c>
      <c r="O56" s="209">
        <f ca="1">IF($E57=-1,0,IF(O$13&lt;=$L56,IF(ISERROR(MATCH(O$13,OFFSET($L56,1,0,ROW($L$164)-ROW($L56)-1),0)),ROW($L$164)-ROW($L56)-1,MATCH(O$13,OFFSET($L56,1,0,ROW($L$164)-ROW($L56)-1),0)-1),0))</f>
        <v>0</v>
      </c>
      <c r="P56" s="209">
        <f ca="1">IF($E57=-1,0,IF(P$13&lt;=$L56,IF(ISERROR(MATCH(P$13,OFFSET($L56,1,0,ROW($L$164)-ROW($L56)-1),0)),ROW($L$164)-ROW($L56)-1,MATCH(P$13,OFFSET($L56,1,0,ROW($L$164)-ROW($L56)-1),0)-1),0))</f>
        <v>0</v>
      </c>
      <c r="Q56" s="209">
        <f t="shared" ref="Q56" ca="1" si="103">MIN(OFFSET(L56,0,1,,L56))</f>
        <v>2</v>
      </c>
      <c r="R56" s="210">
        <f ca="1">IF($E57=0,OFFSET(ORÇAMENTO!X$15,$E56,0),IF($E57&lt;&gt;-1,OFFSET(QCI!$O$13,$E57,0),""))</f>
        <v>0</v>
      </c>
      <c r="S56" s="211" t="s">
        <v>270</v>
      </c>
      <c r="T56" s="212">
        <f t="shared" ref="T56:AE56" ca="1" si="104">IF(AND($Q56=2,ACOMPANHAMENTO="BM"),T57,T58/$R56)</f>
        <v>0.33333333333333331</v>
      </c>
      <c r="U56" s="204">
        <f t="shared" ca="1" si="104"/>
        <v>0.33333333333333331</v>
      </c>
      <c r="V56" s="204">
        <f t="shared" ca="1" si="104"/>
        <v>0.33333333333333331</v>
      </c>
      <c r="W56" s="204">
        <f t="shared" ca="1" si="104"/>
        <v>0</v>
      </c>
      <c r="X56" s="204">
        <f t="shared" ca="1" si="104"/>
        <v>0</v>
      </c>
      <c r="Y56" s="204">
        <f t="shared" ca="1" si="104"/>
        <v>0</v>
      </c>
      <c r="Z56" s="204">
        <f t="shared" ca="1" si="104"/>
        <v>0</v>
      </c>
      <c r="AA56" s="204">
        <f t="shared" ca="1" si="104"/>
        <v>0</v>
      </c>
      <c r="AB56" s="204">
        <f t="shared" ca="1" si="104"/>
        <v>0</v>
      </c>
      <c r="AC56" s="204">
        <f t="shared" ca="1" si="104"/>
        <v>0</v>
      </c>
      <c r="AD56" s="204">
        <f t="shared" ca="1" si="104"/>
        <v>0</v>
      </c>
      <c r="AE56" s="213">
        <f t="shared" ca="1" si="104"/>
        <v>0</v>
      </c>
    </row>
    <row r="57" spans="1:32" ht="12.75" customHeight="1" x14ac:dyDescent="0.2">
      <c r="D57" s="566"/>
      <c r="E57" s="201">
        <f ca="1">IF(ISERROR(E56),IF(1+COUNTIF($L$13:OFFSET(L56,-1,0),1)&lt;=MAX(QCI!$D$13:$D$24),1+COUNTIF($L$13:OFFSET(L56,-1,0),1),-1),0)</f>
        <v>0</v>
      </c>
      <c r="F57" s="201" t="str">
        <f t="shared" ref="F57" ca="1" si="105">IF(AND($E57&lt;&gt;-1,$R56&gt;0),"F","")</f>
        <v/>
      </c>
      <c r="G57" s="214" t="str">
        <f ca="1">IF(OR(R56=0,R56=""),"vazia",IF(AND(OR(ACOMPANHAMENTO="PLE",$Q56&lt;&gt;2),$E57=0),"calculada","--&gt;"))</f>
        <v>vazia</v>
      </c>
      <c r="H57" s="215"/>
      <c r="I57" s="216" t="str">
        <f t="shared" ref="I57" ca="1" si="106">IF(AND(G56&lt;&gt;0,ISNUMBER(G56)),"PREENCHA ESTA LINHA --&gt;","")</f>
        <v/>
      </c>
      <c r="J57" s="216"/>
      <c r="K57" s="216"/>
      <c r="L57" s="217"/>
      <c r="M57" s="217"/>
      <c r="N57" s="217"/>
      <c r="O57" s="217"/>
      <c r="P57" s="217"/>
      <c r="Q57" s="217"/>
      <c r="R57" s="218"/>
      <c r="S57" s="219"/>
      <c r="T57" s="567">
        <f>1/3</f>
        <v>0.33333333333333331</v>
      </c>
      <c r="U57" s="566">
        <f>1/3</f>
        <v>0.33333333333333331</v>
      </c>
      <c r="V57" s="566">
        <f>1/3</f>
        <v>0.33333333333333331</v>
      </c>
      <c r="W57" s="566"/>
      <c r="X57" s="566"/>
      <c r="Y57" s="566"/>
      <c r="Z57" s="566"/>
      <c r="AA57" s="566"/>
      <c r="AB57" s="566"/>
      <c r="AC57" s="566"/>
      <c r="AD57" s="566"/>
      <c r="AE57" s="568"/>
      <c r="AF57" s="530"/>
    </row>
    <row r="58" spans="1:32" ht="0.2" hidden="1" customHeight="1" x14ac:dyDescent="0.2">
      <c r="D58" s="220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$120,"="&amp;CRONO!D$12,CÁLCULO!$AB$15:$AL$120)/(ORÇAMENTO!$X$15-CÁLCULO.TotalAdmLocal)*CRONO!$E58,0),D57*$R56),SUMIF(OFFSET($R58,1,0,$Q56-2),($L56+1)&amp;"$",OFFSET(D58,1,0,$Q56-2)))</f>
        <v>0</v>
      </c>
      <c r="E58" s="201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21"/>
      <c r="R58" s="222" t="str">
        <f t="shared" ref="R58" ca="1" si="107">L56&amp;"$"</f>
        <v>2$</v>
      </c>
      <c r="S58" s="223"/>
      <c r="T58" s="224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$120,"&lt;="&amp;CRONO!T$12,CÁLCULO!$AB$15:$AL$120)/(ORÇAMENTO!$X$15-CÁLCULO.TotalAdmLocal)*CRONO!$E58,0),T57*$R56),SUMIF(OFFSET($R58,1,0,$Q56-2),($L56+1)&amp;"$",OFFSET(T58,1,0,$Q56-2)))</f>
        <v>0</v>
      </c>
      <c r="U58" s="220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$120,"="&amp;CRONO!U$12,CÁLCULO!$AB$15:$AL$120)/(ORÇAMENTO!$X$15-CÁLCULO.TotalAdmLocal)*CRONO!$E58,0),U57*$R56),SUMIF(OFFSET($R58,1,0,$Q56-2),($L56+1)&amp;"$",OFFSET(U58,1,0,$Q56-2)))</f>
        <v>0</v>
      </c>
      <c r="V58" s="220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$120,"="&amp;CRONO!V$12,CÁLCULO!$AB$15:$AL$120)/(ORÇAMENTO!$X$15-CÁLCULO.TotalAdmLocal)*CRONO!$E58,0),V57*$R56),SUMIF(OFFSET($R58,1,0,$Q56-2),($L56+1)&amp;"$",OFFSET(V58,1,0,$Q56-2)))</f>
        <v>0</v>
      </c>
      <c r="W58" s="220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$120,"="&amp;CRONO!W$12,CÁLCULO!$AB$15:$AL$120)/(ORÇAMENTO!$X$15-CÁLCULO.TotalAdmLocal)*CRONO!$E58,0),W57*$R56),SUMIF(OFFSET($R58,1,0,$Q56-2),($L56+1)&amp;"$",OFFSET(W58,1,0,$Q56-2)))</f>
        <v>0</v>
      </c>
      <c r="X58" s="220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$120,"="&amp;CRONO!X$12,CÁLCULO!$AB$15:$AL$120)/(ORÇAMENTO!$X$15-CÁLCULO.TotalAdmLocal)*CRONO!$E58,0),X57*$R56),SUMIF(OFFSET($R58,1,0,$Q56-2),($L56+1)&amp;"$",OFFSET(X58,1,0,$Q56-2)))</f>
        <v>0</v>
      </c>
      <c r="Y58" s="220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$120,"="&amp;CRONO!Y$12,CÁLCULO!$AB$15:$AL$120)/(ORÇAMENTO!$X$15-CÁLCULO.TotalAdmLocal)*CRONO!$E58,0),Y57*$R56),SUMIF(OFFSET($R58,1,0,$Q56-2),($L56+1)&amp;"$",OFFSET(Y58,1,0,$Q56-2)))</f>
        <v>0</v>
      </c>
      <c r="Z58" s="220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$120,"="&amp;CRONO!Z$12,CÁLCULO!$AB$15:$AL$120)/(ORÇAMENTO!$X$15-CÁLCULO.TotalAdmLocal)*CRONO!$E58,0),Z57*$R56),SUMIF(OFFSET($R58,1,0,$Q56-2),($L56+1)&amp;"$",OFFSET(Z58,1,0,$Q56-2)))</f>
        <v>0</v>
      </c>
      <c r="AA58" s="220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$120,"="&amp;CRONO!AA$12,CÁLCULO!$AB$15:$AL$120)/(ORÇAMENTO!$X$15-CÁLCULO.TotalAdmLocal)*CRONO!$E58,0),AA57*$R56),SUMIF(OFFSET($R58,1,0,$Q56-2),($L56+1)&amp;"$",OFFSET(AA58,1,0,$Q56-2)))</f>
        <v>0</v>
      </c>
      <c r="AB58" s="220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$120,"="&amp;CRONO!AB$12,CÁLCULO!$AB$15:$AL$120)/(ORÇAMENTO!$X$15-CÁLCULO.TotalAdmLocal)*CRONO!$E58,0),AB57*$R56),SUMIF(OFFSET($R58,1,0,$Q56-2),($L56+1)&amp;"$",OFFSET(AB58,1,0,$Q56-2)))</f>
        <v>0</v>
      </c>
      <c r="AC58" s="220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$120,"="&amp;CRONO!AC$12,CÁLCULO!$AB$15:$AL$120)/(ORÇAMENTO!$X$15-CÁLCULO.TotalAdmLocal)*CRONO!$E58,0),AC57*$R56),SUMIF(OFFSET($R58,1,0,$Q56-2),($L56+1)&amp;"$",OFFSET(AC58,1,0,$Q56-2)))</f>
        <v>0</v>
      </c>
      <c r="AD58" s="220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$120,"="&amp;CRONO!AD$12,CÁLCULO!$AB$15:$AL$120)/(ORÇAMENTO!$X$15-CÁLCULO.TotalAdmLocal)*CRONO!$E58,0),AD57*$R56),SUMIF(OFFSET($R58,1,0,$Q56-2),($L56+1)&amp;"$",OFFSET(AD58,1,0,$Q56-2)))</f>
        <v>0</v>
      </c>
      <c r="AE58" s="225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$120,"="&amp;CRONO!AE$12,CÁLCULO!$AB$15:$AL$120)/(ORÇAMENTO!$X$15-CÁLCULO.TotalAdmLocal)*CRONO!$E58,0),AE57*$R56),SUMIF(OFFSET($R58,1,0,$Q56-2),($L56+1)&amp;"$",OFFSET(AE58,1,0,$Q56-2)))</f>
        <v>0</v>
      </c>
    </row>
    <row r="59" spans="1:32" hidden="1" x14ac:dyDescent="0.2">
      <c r="A59" s="201">
        <f t="shared" ref="A59" ca="1" si="108">OFFSET(A59,-3,0)+1</f>
        <v>16</v>
      </c>
      <c r="B59" s="201">
        <f ca="1">IF($Q59&lt;&gt;2,0,IF($R59=0,1,IF(E60&gt;0,OFFSET(QCI!$M$13,SUBSTITUTE(E60,".",""),0),OFFSET(ORÇAMENTO!$AA$15,CRONO!$E59,0))/$R59))</f>
        <v>1</v>
      </c>
      <c r="C59" s="201">
        <f ca="1">IF($Q59&lt;&gt;2,0,IF($R59=0,1,IF(E60&gt;0,OFFSET(QCI!$N$13,SUBSTITUTE(E60,".",""),0),OFFSET(ORÇAMENTO!$AB$15,CRONO!$E59,0))/$R59))</f>
        <v>1</v>
      </c>
      <c r="D59" s="204">
        <f ca="1">IF(AND($Q59=2,ACOMPANHAMENTO="BM"),D60,D61/$R59)</f>
        <v>0</v>
      </c>
      <c r="E59" s="201" t="e">
        <f ca="1">IF(A59&lt;=ORÇAMENTO.MáximoListaCrono,MATCH(A59,ORÇAMENTO.ListaCrono,0),NA())</f>
        <v>#N/A</v>
      </c>
      <c r="F59" s="201" t="str">
        <f t="shared" ref="F59" ca="1" si="109">IF(AND($E60&lt;&gt;-1,$R59&gt;0),"F","")</f>
        <v/>
      </c>
      <c r="G59" s="205" t="str">
        <f ca="1">IF(OR(R59=0,R59=""),"Linha",IF(AND(OR(ACOMPANHAMENTO="PLE",$Q59&lt;&gt;2),$E60=0),"Linha",1-SUM(T59:AF59)))</f>
        <v>Linha</v>
      </c>
      <c r="H59" s="206">
        <f ca="1">IF($E60=0,OFFSET(ORÇAMENTO!O$15,$E59,0),IF($E60&lt;&gt;-1,OFFSET(QCI!$D$13,$E60,0),""))</f>
        <v>2</v>
      </c>
      <c r="I59" s="207" t="str">
        <f ca="1">IF($E60=0,OFFSET(ORÇAMENTO!R$15,$E59,0),IF($E60&lt;&gt;-1,OFFSET(QCI!$G$13,$E60,0),""))</f>
        <v/>
      </c>
      <c r="J59" s="207"/>
      <c r="K59" s="207"/>
      <c r="L59" s="208">
        <f ca="1">IF($E60=0,OFFSET(ORÇAMENTO!C$15,$E59,0),1)</f>
        <v>1</v>
      </c>
      <c r="M59" s="209">
        <f ca="1">IF($E60=-1,0,IF(M$13&lt;=$L59,IF(ISERROR(MATCH(M$13,OFFSET($L59,1,0,ROW($L$164)-ROW($L59)-1),0)),ROW($L$164)-ROW($L59)-1,MATCH(M$13,OFFSET($L59,1,0,ROW($L$164)-ROW($L59)-1),0)-1),0))</f>
        <v>2</v>
      </c>
      <c r="N59" s="209">
        <f ca="1">IF($E60=-1,0,IF(N$13&lt;=$L59,IF(ISERROR(MATCH(N$13,OFFSET($L59,1,0,ROW($L$164)-ROW($L59)-1),0)),ROW($L$164)-ROW($L59)-1,MATCH(N$13,OFFSET($L59,1,0,ROW($L$164)-ROW($L59)-1),0)-1),0))</f>
        <v>0</v>
      </c>
      <c r="O59" s="209">
        <f ca="1">IF($E60=-1,0,IF(O$13&lt;=$L59,IF(ISERROR(MATCH(O$13,OFFSET($L59,1,0,ROW($L$164)-ROW($L59)-1),0)),ROW($L$164)-ROW($L59)-1,MATCH(O$13,OFFSET($L59,1,0,ROW($L$164)-ROW($L59)-1),0)-1),0))</f>
        <v>0</v>
      </c>
      <c r="P59" s="209">
        <f ca="1">IF($E60=-1,0,IF(P$13&lt;=$L59,IF(ISERROR(MATCH(P$13,OFFSET($L59,1,0,ROW($L$164)-ROW($L59)-1),0)),ROW($L$164)-ROW($L59)-1,MATCH(P$13,OFFSET($L59,1,0,ROW($L$164)-ROW($L59)-1),0)-1),0))</f>
        <v>0</v>
      </c>
      <c r="Q59" s="209">
        <f t="shared" ref="Q59" ca="1" si="110">MIN(OFFSET(L59,0,1,,L59))</f>
        <v>2</v>
      </c>
      <c r="R59" s="210">
        <f ca="1">IF($E60=0,OFFSET(ORÇAMENTO!X$15,$E59,0),IF($E60&lt;&gt;-1,OFFSET(QCI!$O$13,$E60,0),""))</f>
        <v>0</v>
      </c>
      <c r="S59" s="211" t="s">
        <v>270</v>
      </c>
      <c r="T59" s="212">
        <f t="shared" ref="T59:AE59" ca="1" si="111">IF(AND($Q59=2,ACOMPANHAMENTO="BM"),T60,T61/$R59)</f>
        <v>0</v>
      </c>
      <c r="U59" s="204">
        <f t="shared" ca="1" si="111"/>
        <v>0</v>
      </c>
      <c r="V59" s="204">
        <f t="shared" ca="1" si="111"/>
        <v>0</v>
      </c>
      <c r="W59" s="204">
        <f t="shared" ca="1" si="111"/>
        <v>0</v>
      </c>
      <c r="X59" s="204">
        <f t="shared" ca="1" si="111"/>
        <v>0</v>
      </c>
      <c r="Y59" s="204">
        <f t="shared" ca="1" si="111"/>
        <v>0</v>
      </c>
      <c r="Z59" s="204">
        <f t="shared" ca="1" si="111"/>
        <v>0</v>
      </c>
      <c r="AA59" s="204">
        <f t="shared" ca="1" si="111"/>
        <v>0</v>
      </c>
      <c r="AB59" s="204">
        <f t="shared" ca="1" si="111"/>
        <v>0</v>
      </c>
      <c r="AC59" s="204">
        <f t="shared" ca="1" si="111"/>
        <v>0</v>
      </c>
      <c r="AD59" s="204">
        <f t="shared" ca="1" si="111"/>
        <v>0</v>
      </c>
      <c r="AE59" s="213">
        <f t="shared" ca="1" si="111"/>
        <v>0</v>
      </c>
    </row>
    <row r="60" spans="1:32" ht="12.75" hidden="1" customHeight="1" x14ac:dyDescent="0.2">
      <c r="D60" s="566"/>
      <c r="E60" s="201">
        <f ca="1">IF(ISERROR(E59),IF(1+COUNTIF($L$13:OFFSET(L59,-1,0),1)&lt;=MAX(QCI!$D$13:$D$24),1+COUNTIF($L$13:OFFSET(L59,-1,0),1),-1),0)</f>
        <v>2</v>
      </c>
      <c r="F60" s="201" t="str">
        <f t="shared" ref="F60" ca="1" si="112">IF(AND($E60&lt;&gt;-1,$R59&gt;0),"F","")</f>
        <v/>
      </c>
      <c r="G60" s="214" t="str">
        <f ca="1">IF(OR(R59=0,R59=""),"vazia",IF(AND(OR(ACOMPANHAMENTO="PLE",$Q59&lt;&gt;2),$E60=0),"calculada","--&gt;"))</f>
        <v>vazia</v>
      </c>
      <c r="H60" s="215"/>
      <c r="I60" s="216" t="str">
        <f t="shared" ref="I60" ca="1" si="113">IF(AND(G59&lt;&gt;0,ISNUMBER(G59)),"PREENCHA ESTA LINHA --&gt;","")</f>
        <v/>
      </c>
      <c r="J60" s="216"/>
      <c r="K60" s="216"/>
      <c r="L60" s="217"/>
      <c r="M60" s="217"/>
      <c r="N60" s="217"/>
      <c r="O60" s="217"/>
      <c r="P60" s="217"/>
      <c r="Q60" s="217"/>
      <c r="R60" s="218"/>
      <c r="S60" s="219"/>
      <c r="T60" s="567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8"/>
      <c r="AF60" s="530"/>
    </row>
    <row r="61" spans="1:32" ht="0.2" hidden="1" customHeight="1" x14ac:dyDescent="0.2">
      <c r="D61" s="220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$120,"="&amp;CRONO!D$12,CÁLCULO!$AB$15:$AL$120)/(ORÇAMENTO!$X$15-CÁLCULO.TotalAdmLocal)*CRONO!$E61,0),D60*$R59),SUMIF(OFFSET($R61,1,0,$Q59-2),($L59+1)&amp;"$",OFFSET(D61,1,0,$Q59-2)))</f>
        <v>0</v>
      </c>
      <c r="E61" s="201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21"/>
      <c r="R61" s="222" t="str">
        <f t="shared" ref="R61" ca="1" si="114">L59&amp;"$"</f>
        <v>1$</v>
      </c>
      <c r="S61" s="223"/>
      <c r="T61" s="224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$120,"&lt;="&amp;CRONO!T$12,CÁLCULO!$AB$15:$AL$120)/(ORÇAMENTO!$X$15-CÁLCULO.TotalAdmLocal)*CRONO!$E61,0),T60*$R59),SUMIF(OFFSET($R61,1,0,$Q59-2),($L59+1)&amp;"$",OFFSET(T61,1,0,$Q59-2)))</f>
        <v>0</v>
      </c>
      <c r="U61" s="220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$120,"="&amp;CRONO!U$12,CÁLCULO!$AB$15:$AL$120)/(ORÇAMENTO!$X$15-CÁLCULO.TotalAdmLocal)*CRONO!$E61,0),U60*$R59),SUMIF(OFFSET($R61,1,0,$Q59-2),($L59+1)&amp;"$",OFFSET(U61,1,0,$Q59-2)))</f>
        <v>0</v>
      </c>
      <c r="V61" s="220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$120,"="&amp;CRONO!V$12,CÁLCULO!$AB$15:$AL$120)/(ORÇAMENTO!$X$15-CÁLCULO.TotalAdmLocal)*CRONO!$E61,0),V60*$R59),SUMIF(OFFSET($R61,1,0,$Q59-2),($L59+1)&amp;"$",OFFSET(V61,1,0,$Q59-2)))</f>
        <v>0</v>
      </c>
      <c r="W61" s="220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$120,"="&amp;CRONO!W$12,CÁLCULO!$AB$15:$AL$120)/(ORÇAMENTO!$X$15-CÁLCULO.TotalAdmLocal)*CRONO!$E61,0),W60*$R59),SUMIF(OFFSET($R61,1,0,$Q59-2),($L59+1)&amp;"$",OFFSET(W61,1,0,$Q59-2)))</f>
        <v>0</v>
      </c>
      <c r="X61" s="220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$120,"="&amp;CRONO!X$12,CÁLCULO!$AB$15:$AL$120)/(ORÇAMENTO!$X$15-CÁLCULO.TotalAdmLocal)*CRONO!$E61,0),X60*$R59),SUMIF(OFFSET($R61,1,0,$Q59-2),($L59+1)&amp;"$",OFFSET(X61,1,0,$Q59-2)))</f>
        <v>0</v>
      </c>
      <c r="Y61" s="220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$120,"="&amp;CRONO!Y$12,CÁLCULO!$AB$15:$AL$120)/(ORÇAMENTO!$X$15-CÁLCULO.TotalAdmLocal)*CRONO!$E61,0),Y60*$R59),SUMIF(OFFSET($R61,1,0,$Q59-2),($L59+1)&amp;"$",OFFSET(Y61,1,0,$Q59-2)))</f>
        <v>0</v>
      </c>
      <c r="Z61" s="220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$120,"="&amp;CRONO!Z$12,CÁLCULO!$AB$15:$AL$120)/(ORÇAMENTO!$X$15-CÁLCULO.TotalAdmLocal)*CRONO!$E61,0),Z60*$R59),SUMIF(OFFSET($R61,1,0,$Q59-2),($L59+1)&amp;"$",OFFSET(Z61,1,0,$Q59-2)))</f>
        <v>0</v>
      </c>
      <c r="AA61" s="220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$120,"="&amp;CRONO!AA$12,CÁLCULO!$AB$15:$AL$120)/(ORÇAMENTO!$X$15-CÁLCULO.TotalAdmLocal)*CRONO!$E61,0),AA60*$R59),SUMIF(OFFSET($R61,1,0,$Q59-2),($L59+1)&amp;"$",OFFSET(AA61,1,0,$Q59-2)))</f>
        <v>0</v>
      </c>
      <c r="AB61" s="220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$120,"="&amp;CRONO!AB$12,CÁLCULO!$AB$15:$AL$120)/(ORÇAMENTO!$X$15-CÁLCULO.TotalAdmLocal)*CRONO!$E61,0),AB60*$R59),SUMIF(OFFSET($R61,1,0,$Q59-2),($L59+1)&amp;"$",OFFSET(AB61,1,0,$Q59-2)))</f>
        <v>0</v>
      </c>
      <c r="AC61" s="220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$120,"="&amp;CRONO!AC$12,CÁLCULO!$AB$15:$AL$120)/(ORÇAMENTO!$X$15-CÁLCULO.TotalAdmLocal)*CRONO!$E61,0),AC60*$R59),SUMIF(OFFSET($R61,1,0,$Q59-2),($L59+1)&amp;"$",OFFSET(AC61,1,0,$Q59-2)))</f>
        <v>0</v>
      </c>
      <c r="AD61" s="220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$120,"="&amp;CRONO!AD$12,CÁLCULO!$AB$15:$AL$120)/(ORÇAMENTO!$X$15-CÁLCULO.TotalAdmLocal)*CRONO!$E61,0),AD60*$R59),SUMIF(OFFSET($R61,1,0,$Q59-2),($L59+1)&amp;"$",OFFSET(AD61,1,0,$Q59-2)))</f>
        <v>0</v>
      </c>
      <c r="AE61" s="225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$120,"="&amp;CRONO!AE$12,CÁLCULO!$AB$15:$AL$120)/(ORÇAMENTO!$X$15-CÁLCULO.TotalAdmLocal)*CRONO!$E61,0),AE60*$R59),SUMIF(OFFSET($R61,1,0,$Q59-2),($L59+1)&amp;"$",OFFSET(AE61,1,0,$Q59-2)))</f>
        <v>0</v>
      </c>
    </row>
    <row r="62" spans="1:32" hidden="1" x14ac:dyDescent="0.2">
      <c r="A62" s="201">
        <f t="shared" ref="A62" ca="1" si="115">OFFSET(A62,-3,0)+1</f>
        <v>17</v>
      </c>
      <c r="B62" s="201">
        <f ca="1">IF($Q62&lt;&gt;2,0,IF($R62=0,1,IF(E63&gt;0,OFFSET(QCI!$M$13,SUBSTITUTE(E63,".",""),0),OFFSET(ORÇAMENTO!$AA$15,CRONO!$E62,0))/$R62))</f>
        <v>1</v>
      </c>
      <c r="C62" s="201">
        <f ca="1">IF($Q62&lt;&gt;2,0,IF($R62=0,1,IF(E63&gt;0,OFFSET(QCI!$N$13,SUBSTITUTE(E63,".",""),0),OFFSET(ORÇAMENTO!$AB$15,CRONO!$E62,0))/$R62))</f>
        <v>1</v>
      </c>
      <c r="D62" s="204">
        <f ca="1">IF(AND($Q62=2,ACOMPANHAMENTO="BM"),D63,D64/$R62)</f>
        <v>0</v>
      </c>
      <c r="E62" s="201" t="e">
        <f ca="1">IF(A62&lt;=ORÇAMENTO.MáximoListaCrono,MATCH(A62,ORÇAMENTO.ListaCrono,0),NA())</f>
        <v>#N/A</v>
      </c>
      <c r="F62" s="201" t="str">
        <f t="shared" ref="F62" ca="1" si="116">IF(AND($E63&lt;&gt;-1,$R62&gt;0),"F","")</f>
        <v/>
      </c>
      <c r="G62" s="205" t="str">
        <f ca="1">IF(OR(R62=0,R62=""),"Linha",IF(AND(OR(ACOMPANHAMENTO="PLE",$Q62&lt;&gt;2),$E63=0),"Linha",1-SUM(T62:AF62)))</f>
        <v>Linha</v>
      </c>
      <c r="H62" s="206">
        <f ca="1">IF($E63=0,OFFSET(ORÇAMENTO!O$15,$E62,0),IF($E63&lt;&gt;-1,OFFSET(QCI!$D$13,$E63,0),""))</f>
        <v>3</v>
      </c>
      <c r="I62" s="207" t="str">
        <f ca="1">IF($E63=0,OFFSET(ORÇAMENTO!R$15,$E62,0),IF($E63&lt;&gt;-1,OFFSET(QCI!$G$13,$E63,0),""))</f>
        <v/>
      </c>
      <c r="J62" s="207"/>
      <c r="K62" s="207"/>
      <c r="L62" s="208">
        <f ca="1">IF($E63=0,OFFSET(ORÇAMENTO!C$15,$E62,0),1)</f>
        <v>1</v>
      </c>
      <c r="M62" s="209">
        <f ca="1">IF($E63=-1,0,IF(M$13&lt;=$L62,IF(ISERROR(MATCH(M$13,OFFSET($L62,1,0,ROW($L$164)-ROW($L62)-1),0)),ROW($L$164)-ROW($L62)-1,MATCH(M$13,OFFSET($L62,1,0,ROW($L$164)-ROW($L62)-1),0)-1),0))</f>
        <v>2</v>
      </c>
      <c r="N62" s="209">
        <f ca="1">IF($E63=-1,0,IF(N$13&lt;=$L62,IF(ISERROR(MATCH(N$13,OFFSET($L62,1,0,ROW($L$164)-ROW($L62)-1),0)),ROW($L$164)-ROW($L62)-1,MATCH(N$13,OFFSET($L62,1,0,ROW($L$164)-ROW($L62)-1),0)-1),0))</f>
        <v>0</v>
      </c>
      <c r="O62" s="209">
        <f ca="1">IF($E63=-1,0,IF(O$13&lt;=$L62,IF(ISERROR(MATCH(O$13,OFFSET($L62,1,0,ROW($L$164)-ROW($L62)-1),0)),ROW($L$164)-ROW($L62)-1,MATCH(O$13,OFFSET($L62,1,0,ROW($L$164)-ROW($L62)-1),0)-1),0))</f>
        <v>0</v>
      </c>
      <c r="P62" s="209">
        <f ca="1">IF($E63=-1,0,IF(P$13&lt;=$L62,IF(ISERROR(MATCH(P$13,OFFSET($L62,1,0,ROW($L$164)-ROW($L62)-1),0)),ROW($L$164)-ROW($L62)-1,MATCH(P$13,OFFSET($L62,1,0,ROW($L$164)-ROW($L62)-1),0)-1),0))</f>
        <v>0</v>
      </c>
      <c r="Q62" s="209">
        <f t="shared" ref="Q62" ca="1" si="117">MIN(OFFSET(L62,0,1,,L62))</f>
        <v>2</v>
      </c>
      <c r="R62" s="210">
        <f ca="1">IF($E63=0,OFFSET(ORÇAMENTO!X$15,$E62,0),IF($E63&lt;&gt;-1,OFFSET(QCI!$O$13,$E63,0),""))</f>
        <v>0</v>
      </c>
      <c r="S62" s="211" t="s">
        <v>270</v>
      </c>
      <c r="T62" s="212">
        <f t="shared" ref="T62:AE62" ca="1" si="118">IF(AND($Q62=2,ACOMPANHAMENTO="BM"),T63,T64/$R62)</f>
        <v>0</v>
      </c>
      <c r="U62" s="204">
        <f t="shared" ca="1" si="118"/>
        <v>0</v>
      </c>
      <c r="V62" s="204">
        <f t="shared" ca="1" si="118"/>
        <v>0</v>
      </c>
      <c r="W62" s="204">
        <f t="shared" ca="1" si="118"/>
        <v>0</v>
      </c>
      <c r="X62" s="204">
        <f t="shared" ca="1" si="118"/>
        <v>0</v>
      </c>
      <c r="Y62" s="204">
        <f t="shared" ca="1" si="118"/>
        <v>0</v>
      </c>
      <c r="Z62" s="204">
        <f t="shared" ca="1" si="118"/>
        <v>0</v>
      </c>
      <c r="AA62" s="204">
        <f t="shared" ca="1" si="118"/>
        <v>0</v>
      </c>
      <c r="AB62" s="204">
        <f t="shared" ca="1" si="118"/>
        <v>0</v>
      </c>
      <c r="AC62" s="204">
        <f t="shared" ca="1" si="118"/>
        <v>0</v>
      </c>
      <c r="AD62" s="204">
        <f t="shared" ca="1" si="118"/>
        <v>0</v>
      </c>
      <c r="AE62" s="213">
        <f t="shared" ca="1" si="118"/>
        <v>0</v>
      </c>
    </row>
    <row r="63" spans="1:32" ht="12.75" hidden="1" customHeight="1" x14ac:dyDescent="0.2">
      <c r="D63" s="566"/>
      <c r="E63" s="201">
        <f ca="1">IF(ISERROR(E62),IF(1+COUNTIF($L$13:OFFSET(L62,-1,0),1)&lt;=MAX(QCI!$D$13:$D$24),1+COUNTIF($L$13:OFFSET(L62,-1,0),1),-1),0)</f>
        <v>3</v>
      </c>
      <c r="F63" s="201" t="str">
        <f t="shared" ref="F63" ca="1" si="119">IF(AND($E63&lt;&gt;-1,$R62&gt;0),"F","")</f>
        <v/>
      </c>
      <c r="G63" s="214" t="str">
        <f ca="1">IF(OR(R62=0,R62=""),"vazia",IF(AND(OR(ACOMPANHAMENTO="PLE",$Q62&lt;&gt;2),$E63=0),"calculada","--&gt;"))</f>
        <v>vazia</v>
      </c>
      <c r="H63" s="215"/>
      <c r="I63" s="216" t="str">
        <f t="shared" ref="I63" ca="1" si="120">IF(AND(G62&lt;&gt;0,ISNUMBER(G62)),"PREENCHA ESTA LINHA --&gt;","")</f>
        <v/>
      </c>
      <c r="J63" s="216"/>
      <c r="K63" s="216"/>
      <c r="L63" s="217"/>
      <c r="M63" s="217"/>
      <c r="N63" s="217"/>
      <c r="O63" s="217"/>
      <c r="P63" s="217"/>
      <c r="Q63" s="217"/>
      <c r="R63" s="218"/>
      <c r="S63" s="219"/>
      <c r="T63" s="567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8"/>
      <c r="AF63" s="530"/>
    </row>
    <row r="64" spans="1:32" ht="0.2" hidden="1" customHeight="1" x14ac:dyDescent="0.2">
      <c r="D64" s="220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$120,"="&amp;CRONO!D$12,CÁLCULO!$AB$15:$AL$120)/(ORÇAMENTO!$X$15-CÁLCULO.TotalAdmLocal)*CRONO!$E64,0),D63*$R62),SUMIF(OFFSET($R64,1,0,$Q62-2),($L62+1)&amp;"$",OFFSET(D64,1,0,$Q62-2)))</f>
        <v>0</v>
      </c>
      <c r="E64" s="201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21"/>
      <c r="R64" s="222" t="str">
        <f t="shared" ref="R64" ca="1" si="121">L62&amp;"$"</f>
        <v>1$</v>
      </c>
      <c r="S64" s="223"/>
      <c r="T64" s="224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$120,"&lt;="&amp;CRONO!T$12,CÁLCULO!$AB$15:$AL$120)/(ORÇAMENTO!$X$15-CÁLCULO.TotalAdmLocal)*CRONO!$E64,0),T63*$R62),SUMIF(OFFSET($R64,1,0,$Q62-2),($L62+1)&amp;"$",OFFSET(T64,1,0,$Q62-2)))</f>
        <v>0</v>
      </c>
      <c r="U64" s="220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$120,"="&amp;CRONO!U$12,CÁLCULO!$AB$15:$AL$120)/(ORÇAMENTO!$X$15-CÁLCULO.TotalAdmLocal)*CRONO!$E64,0),U63*$R62),SUMIF(OFFSET($R64,1,0,$Q62-2),($L62+1)&amp;"$",OFFSET(U64,1,0,$Q62-2)))</f>
        <v>0</v>
      </c>
      <c r="V64" s="220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$120,"="&amp;CRONO!V$12,CÁLCULO!$AB$15:$AL$120)/(ORÇAMENTO!$X$15-CÁLCULO.TotalAdmLocal)*CRONO!$E64,0),V63*$R62),SUMIF(OFFSET($R64,1,0,$Q62-2),($L62+1)&amp;"$",OFFSET(V64,1,0,$Q62-2)))</f>
        <v>0</v>
      </c>
      <c r="W64" s="220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$120,"="&amp;CRONO!W$12,CÁLCULO!$AB$15:$AL$120)/(ORÇAMENTO!$X$15-CÁLCULO.TotalAdmLocal)*CRONO!$E64,0),W63*$R62),SUMIF(OFFSET($R64,1,0,$Q62-2),($L62+1)&amp;"$",OFFSET(W64,1,0,$Q62-2)))</f>
        <v>0</v>
      </c>
      <c r="X64" s="220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$120,"="&amp;CRONO!X$12,CÁLCULO!$AB$15:$AL$120)/(ORÇAMENTO!$X$15-CÁLCULO.TotalAdmLocal)*CRONO!$E64,0),X63*$R62),SUMIF(OFFSET($R64,1,0,$Q62-2),($L62+1)&amp;"$",OFFSET(X64,1,0,$Q62-2)))</f>
        <v>0</v>
      </c>
      <c r="Y64" s="220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$120,"="&amp;CRONO!Y$12,CÁLCULO!$AB$15:$AL$120)/(ORÇAMENTO!$X$15-CÁLCULO.TotalAdmLocal)*CRONO!$E64,0),Y63*$R62),SUMIF(OFFSET($R64,1,0,$Q62-2),($L62+1)&amp;"$",OFFSET(Y64,1,0,$Q62-2)))</f>
        <v>0</v>
      </c>
      <c r="Z64" s="220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$120,"="&amp;CRONO!Z$12,CÁLCULO!$AB$15:$AL$120)/(ORÇAMENTO!$X$15-CÁLCULO.TotalAdmLocal)*CRONO!$E64,0),Z63*$R62),SUMIF(OFFSET($R64,1,0,$Q62-2),($L62+1)&amp;"$",OFFSET(Z64,1,0,$Q62-2)))</f>
        <v>0</v>
      </c>
      <c r="AA64" s="220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$120,"="&amp;CRONO!AA$12,CÁLCULO!$AB$15:$AL$120)/(ORÇAMENTO!$X$15-CÁLCULO.TotalAdmLocal)*CRONO!$E64,0),AA63*$R62),SUMIF(OFFSET($R64,1,0,$Q62-2),($L62+1)&amp;"$",OFFSET(AA64,1,0,$Q62-2)))</f>
        <v>0</v>
      </c>
      <c r="AB64" s="220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$120,"="&amp;CRONO!AB$12,CÁLCULO!$AB$15:$AL$120)/(ORÇAMENTO!$X$15-CÁLCULO.TotalAdmLocal)*CRONO!$E64,0),AB63*$R62),SUMIF(OFFSET($R64,1,0,$Q62-2),($L62+1)&amp;"$",OFFSET(AB64,1,0,$Q62-2)))</f>
        <v>0</v>
      </c>
      <c r="AC64" s="220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$120,"="&amp;CRONO!AC$12,CÁLCULO!$AB$15:$AL$120)/(ORÇAMENTO!$X$15-CÁLCULO.TotalAdmLocal)*CRONO!$E64,0),AC63*$R62),SUMIF(OFFSET($R64,1,0,$Q62-2),($L62+1)&amp;"$",OFFSET(AC64,1,0,$Q62-2)))</f>
        <v>0</v>
      </c>
      <c r="AD64" s="220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$120,"="&amp;CRONO!AD$12,CÁLCULO!$AB$15:$AL$120)/(ORÇAMENTO!$X$15-CÁLCULO.TotalAdmLocal)*CRONO!$E64,0),AD63*$R62),SUMIF(OFFSET($R64,1,0,$Q62-2),($L62+1)&amp;"$",OFFSET(AD64,1,0,$Q62-2)))</f>
        <v>0</v>
      </c>
      <c r="AE64" s="225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$120,"="&amp;CRONO!AE$12,CÁLCULO!$AB$15:$AL$120)/(ORÇAMENTO!$X$15-CÁLCULO.TotalAdmLocal)*CRONO!$E64,0),AE63*$R62),SUMIF(OFFSET($R64,1,0,$Q62-2),($L62+1)&amp;"$",OFFSET(AE64,1,0,$Q62-2)))</f>
        <v>0</v>
      </c>
    </row>
    <row r="65" spans="1:32" hidden="1" x14ac:dyDescent="0.2">
      <c r="A65" s="201">
        <f t="shared" ref="A65" ca="1" si="122">OFFSET(A65,-3,0)+1</f>
        <v>18</v>
      </c>
      <c r="B65" s="201">
        <f ca="1">IF($Q65&lt;&gt;2,0,IF($R65=0,1,IF(E66&gt;0,OFFSET(QCI!$M$13,SUBSTITUTE(E66,".",""),0),OFFSET(ORÇAMENTO!$AA$15,CRONO!$E65,0))/$R65))</f>
        <v>1</v>
      </c>
      <c r="C65" s="201">
        <f ca="1">IF($Q65&lt;&gt;2,0,IF($R65=0,1,IF(E66&gt;0,OFFSET(QCI!$N$13,SUBSTITUTE(E66,".",""),0),OFFSET(ORÇAMENTO!$AB$15,CRONO!$E65,0))/$R65))</f>
        <v>1</v>
      </c>
      <c r="D65" s="204">
        <f ca="1">IF(AND($Q65=2,ACOMPANHAMENTO="BM"),D66,D67/$R65)</f>
        <v>0</v>
      </c>
      <c r="E65" s="201" t="e">
        <f ca="1">IF(A65&lt;=ORÇAMENTO.MáximoListaCrono,MATCH(A65,ORÇAMENTO.ListaCrono,0),NA())</f>
        <v>#N/A</v>
      </c>
      <c r="F65" s="201" t="str">
        <f t="shared" ref="F65" ca="1" si="123">IF(AND($E66&lt;&gt;-1,$R65&gt;0),"F","")</f>
        <v/>
      </c>
      <c r="G65" s="205" t="str">
        <f ca="1">IF(OR(R65=0,R65=""),"Linha",IF(AND(OR(ACOMPANHAMENTO="PLE",$Q65&lt;&gt;2),$E66=0),"Linha",1-SUM(T65:AF65)))</f>
        <v>Linha</v>
      </c>
      <c r="H65" s="206">
        <f ca="1">IF($E66=0,OFFSET(ORÇAMENTO!O$15,$E65,0),IF($E66&lt;&gt;-1,OFFSET(QCI!$D$13,$E66,0),""))</f>
        <v>4</v>
      </c>
      <c r="I65" s="207" t="str">
        <f ca="1">IF($E66=0,OFFSET(ORÇAMENTO!R$15,$E65,0),IF($E66&lt;&gt;-1,OFFSET(QCI!$G$13,$E66,0),""))</f>
        <v/>
      </c>
      <c r="J65" s="207"/>
      <c r="K65" s="207"/>
      <c r="L65" s="208">
        <f ca="1">IF($E66=0,OFFSET(ORÇAMENTO!C$15,$E65,0),1)</f>
        <v>1</v>
      </c>
      <c r="M65" s="209">
        <f ca="1">IF($E66=-1,0,IF(M$13&lt;=$L65,IF(ISERROR(MATCH(M$13,OFFSET($L65,1,0,ROW($L$164)-ROW($L65)-1),0)),ROW($L$164)-ROW($L65)-1,MATCH(M$13,OFFSET($L65,1,0,ROW($L$164)-ROW($L65)-1),0)-1),0))</f>
        <v>2</v>
      </c>
      <c r="N65" s="209">
        <f ca="1">IF($E66=-1,0,IF(N$13&lt;=$L65,IF(ISERROR(MATCH(N$13,OFFSET($L65,1,0,ROW($L$164)-ROW($L65)-1),0)),ROW($L$164)-ROW($L65)-1,MATCH(N$13,OFFSET($L65,1,0,ROW($L$164)-ROW($L65)-1),0)-1),0))</f>
        <v>0</v>
      </c>
      <c r="O65" s="209">
        <f ca="1">IF($E66=-1,0,IF(O$13&lt;=$L65,IF(ISERROR(MATCH(O$13,OFFSET($L65,1,0,ROW($L$164)-ROW($L65)-1),0)),ROW($L$164)-ROW($L65)-1,MATCH(O$13,OFFSET($L65,1,0,ROW($L$164)-ROW($L65)-1),0)-1),0))</f>
        <v>0</v>
      </c>
      <c r="P65" s="209">
        <f ca="1">IF($E66=-1,0,IF(P$13&lt;=$L65,IF(ISERROR(MATCH(P$13,OFFSET($L65,1,0,ROW($L$164)-ROW($L65)-1),0)),ROW($L$164)-ROW($L65)-1,MATCH(P$13,OFFSET($L65,1,0,ROW($L$164)-ROW($L65)-1),0)-1),0))</f>
        <v>0</v>
      </c>
      <c r="Q65" s="209">
        <f t="shared" ref="Q65" ca="1" si="124">MIN(OFFSET(L65,0,1,,L65))</f>
        <v>2</v>
      </c>
      <c r="R65" s="210">
        <f ca="1">IF($E66=0,OFFSET(ORÇAMENTO!X$15,$E65,0),IF($E66&lt;&gt;-1,OFFSET(QCI!$O$13,$E66,0),""))</f>
        <v>0</v>
      </c>
      <c r="S65" s="211" t="s">
        <v>270</v>
      </c>
      <c r="T65" s="212">
        <f t="shared" ref="T65:AE65" ca="1" si="125">IF(AND($Q65=2,ACOMPANHAMENTO="BM"),T66,T67/$R65)</f>
        <v>0</v>
      </c>
      <c r="U65" s="204">
        <f t="shared" ca="1" si="125"/>
        <v>0</v>
      </c>
      <c r="V65" s="204">
        <f t="shared" ca="1" si="125"/>
        <v>0</v>
      </c>
      <c r="W65" s="204">
        <f t="shared" ca="1" si="125"/>
        <v>0</v>
      </c>
      <c r="X65" s="204">
        <f t="shared" ca="1" si="125"/>
        <v>0</v>
      </c>
      <c r="Y65" s="204">
        <f t="shared" ca="1" si="125"/>
        <v>0</v>
      </c>
      <c r="Z65" s="204">
        <f t="shared" ca="1" si="125"/>
        <v>0</v>
      </c>
      <c r="AA65" s="204">
        <f t="shared" ca="1" si="125"/>
        <v>0</v>
      </c>
      <c r="AB65" s="204">
        <f t="shared" ca="1" si="125"/>
        <v>0</v>
      </c>
      <c r="AC65" s="204">
        <f t="shared" ca="1" si="125"/>
        <v>0</v>
      </c>
      <c r="AD65" s="204">
        <f t="shared" ca="1" si="125"/>
        <v>0</v>
      </c>
      <c r="AE65" s="213">
        <f t="shared" ca="1" si="125"/>
        <v>0</v>
      </c>
    </row>
    <row r="66" spans="1:32" ht="12.75" hidden="1" customHeight="1" x14ac:dyDescent="0.2">
      <c r="D66" s="566"/>
      <c r="E66" s="201">
        <f ca="1">IF(ISERROR(E65),IF(1+COUNTIF($L$13:OFFSET(L65,-1,0),1)&lt;=MAX(QCI!$D$13:$D$24),1+COUNTIF($L$13:OFFSET(L65,-1,0),1),-1),0)</f>
        <v>4</v>
      </c>
      <c r="F66" s="201" t="str">
        <f t="shared" ref="F66" ca="1" si="126">IF(AND($E66&lt;&gt;-1,$R65&gt;0),"F","")</f>
        <v/>
      </c>
      <c r="G66" s="214" t="str">
        <f ca="1">IF(OR(R65=0,R65=""),"vazia",IF(AND(OR(ACOMPANHAMENTO="PLE",$Q65&lt;&gt;2),$E66=0),"calculada","--&gt;"))</f>
        <v>vazia</v>
      </c>
      <c r="H66" s="215"/>
      <c r="I66" s="216" t="str">
        <f t="shared" ref="I66" ca="1" si="127">IF(AND(G65&lt;&gt;0,ISNUMBER(G65)),"PREENCHA ESTA LINHA --&gt;","")</f>
        <v/>
      </c>
      <c r="J66" s="216"/>
      <c r="K66" s="216"/>
      <c r="L66" s="217"/>
      <c r="M66" s="217"/>
      <c r="N66" s="217"/>
      <c r="O66" s="217"/>
      <c r="P66" s="217"/>
      <c r="Q66" s="217"/>
      <c r="R66" s="218"/>
      <c r="S66" s="219"/>
      <c r="T66" s="567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8"/>
      <c r="AF66" s="530"/>
    </row>
    <row r="67" spans="1:32" ht="0.2" hidden="1" customHeight="1" x14ac:dyDescent="0.2">
      <c r="D67" s="220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$120,"="&amp;CRONO!D$12,CÁLCULO!$AB$15:$AL$120)/(ORÇAMENTO!$X$15-CÁLCULO.TotalAdmLocal)*CRONO!$E67,0),D66*$R65),SUMIF(OFFSET($R67,1,0,$Q65-2),($L65+1)&amp;"$",OFFSET(D67,1,0,$Q65-2)))</f>
        <v>0</v>
      </c>
      <c r="E67" s="201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21"/>
      <c r="R67" s="222" t="str">
        <f t="shared" ref="R67" ca="1" si="128">L65&amp;"$"</f>
        <v>1$</v>
      </c>
      <c r="S67" s="223"/>
      <c r="T67" s="224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$120,"&lt;="&amp;CRONO!T$12,CÁLCULO!$AB$15:$AL$120)/(ORÇAMENTO!$X$15-CÁLCULO.TotalAdmLocal)*CRONO!$E67,0),T66*$R65),SUMIF(OFFSET($R67,1,0,$Q65-2),($L65+1)&amp;"$",OFFSET(T67,1,0,$Q65-2)))</f>
        <v>0</v>
      </c>
      <c r="U67" s="220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$120,"="&amp;CRONO!U$12,CÁLCULO!$AB$15:$AL$120)/(ORÇAMENTO!$X$15-CÁLCULO.TotalAdmLocal)*CRONO!$E67,0),U66*$R65),SUMIF(OFFSET($R67,1,0,$Q65-2),($L65+1)&amp;"$",OFFSET(U67,1,0,$Q65-2)))</f>
        <v>0</v>
      </c>
      <c r="V67" s="220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$120,"="&amp;CRONO!V$12,CÁLCULO!$AB$15:$AL$120)/(ORÇAMENTO!$X$15-CÁLCULO.TotalAdmLocal)*CRONO!$E67,0),V66*$R65),SUMIF(OFFSET($R67,1,0,$Q65-2),($L65+1)&amp;"$",OFFSET(V67,1,0,$Q65-2)))</f>
        <v>0</v>
      </c>
      <c r="W67" s="220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$120,"="&amp;CRONO!W$12,CÁLCULO!$AB$15:$AL$120)/(ORÇAMENTO!$X$15-CÁLCULO.TotalAdmLocal)*CRONO!$E67,0),W66*$R65),SUMIF(OFFSET($R67,1,0,$Q65-2),($L65+1)&amp;"$",OFFSET(W67,1,0,$Q65-2)))</f>
        <v>0</v>
      </c>
      <c r="X67" s="220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$120,"="&amp;CRONO!X$12,CÁLCULO!$AB$15:$AL$120)/(ORÇAMENTO!$X$15-CÁLCULO.TotalAdmLocal)*CRONO!$E67,0),X66*$R65),SUMIF(OFFSET($R67,1,0,$Q65-2),($L65+1)&amp;"$",OFFSET(X67,1,0,$Q65-2)))</f>
        <v>0</v>
      </c>
      <c r="Y67" s="220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$120,"="&amp;CRONO!Y$12,CÁLCULO!$AB$15:$AL$120)/(ORÇAMENTO!$X$15-CÁLCULO.TotalAdmLocal)*CRONO!$E67,0),Y66*$R65),SUMIF(OFFSET($R67,1,0,$Q65-2),($L65+1)&amp;"$",OFFSET(Y67,1,0,$Q65-2)))</f>
        <v>0</v>
      </c>
      <c r="Z67" s="220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$120,"="&amp;CRONO!Z$12,CÁLCULO!$AB$15:$AL$120)/(ORÇAMENTO!$X$15-CÁLCULO.TotalAdmLocal)*CRONO!$E67,0),Z66*$R65),SUMIF(OFFSET($R67,1,0,$Q65-2),($L65+1)&amp;"$",OFFSET(Z67,1,0,$Q65-2)))</f>
        <v>0</v>
      </c>
      <c r="AA67" s="220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$120,"="&amp;CRONO!AA$12,CÁLCULO!$AB$15:$AL$120)/(ORÇAMENTO!$X$15-CÁLCULO.TotalAdmLocal)*CRONO!$E67,0),AA66*$R65),SUMIF(OFFSET($R67,1,0,$Q65-2),($L65+1)&amp;"$",OFFSET(AA67,1,0,$Q65-2)))</f>
        <v>0</v>
      </c>
      <c r="AB67" s="220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$120,"="&amp;CRONO!AB$12,CÁLCULO!$AB$15:$AL$120)/(ORÇAMENTO!$X$15-CÁLCULO.TotalAdmLocal)*CRONO!$E67,0),AB66*$R65),SUMIF(OFFSET($R67,1,0,$Q65-2),($L65+1)&amp;"$",OFFSET(AB67,1,0,$Q65-2)))</f>
        <v>0</v>
      </c>
      <c r="AC67" s="220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$120,"="&amp;CRONO!AC$12,CÁLCULO!$AB$15:$AL$120)/(ORÇAMENTO!$X$15-CÁLCULO.TotalAdmLocal)*CRONO!$E67,0),AC66*$R65),SUMIF(OFFSET($R67,1,0,$Q65-2),($L65+1)&amp;"$",OFFSET(AC67,1,0,$Q65-2)))</f>
        <v>0</v>
      </c>
      <c r="AD67" s="220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$120,"="&amp;CRONO!AD$12,CÁLCULO!$AB$15:$AL$120)/(ORÇAMENTO!$X$15-CÁLCULO.TotalAdmLocal)*CRONO!$E67,0),AD66*$R65),SUMIF(OFFSET($R67,1,0,$Q65-2),($L65+1)&amp;"$",OFFSET(AD67,1,0,$Q65-2)))</f>
        <v>0</v>
      </c>
      <c r="AE67" s="225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$120,"="&amp;CRONO!AE$12,CÁLCULO!$AB$15:$AL$120)/(ORÇAMENTO!$X$15-CÁLCULO.TotalAdmLocal)*CRONO!$E67,0),AE66*$R65),SUMIF(OFFSET($R67,1,0,$Q65-2),($L65+1)&amp;"$",OFFSET(AE67,1,0,$Q65-2)))</f>
        <v>0</v>
      </c>
    </row>
    <row r="68" spans="1:32" hidden="1" x14ac:dyDescent="0.2">
      <c r="A68" s="201">
        <f t="shared" ref="A68" ca="1" si="129">OFFSET(A68,-3,0)+1</f>
        <v>19</v>
      </c>
      <c r="B68" s="201">
        <f ca="1">IF($Q68&lt;&gt;2,0,IF($R68=0,1,IF(E69&gt;0,OFFSET(QCI!$M$13,SUBSTITUTE(E69,".",""),0),OFFSET(ORÇAMENTO!$AA$15,CRONO!$E68,0))/$R68))</f>
        <v>1</v>
      </c>
      <c r="C68" s="201">
        <f ca="1">IF($Q68&lt;&gt;2,0,IF($R68=0,1,IF(E69&gt;0,OFFSET(QCI!$N$13,SUBSTITUTE(E69,".",""),0),OFFSET(ORÇAMENTO!$AB$15,CRONO!$E68,0))/$R68))</f>
        <v>1</v>
      </c>
      <c r="D68" s="204">
        <f ca="1">IF(AND($Q68=2,ACOMPANHAMENTO="BM"),D69,D70/$R68)</f>
        <v>0</v>
      </c>
      <c r="E68" s="201" t="e">
        <f ca="1">IF(A68&lt;=ORÇAMENTO.MáximoListaCrono,MATCH(A68,ORÇAMENTO.ListaCrono,0),NA())</f>
        <v>#N/A</v>
      </c>
      <c r="F68" s="201" t="str">
        <f t="shared" ref="F68" ca="1" si="130">IF(AND($E69&lt;&gt;-1,$R68&gt;0),"F","")</f>
        <v/>
      </c>
      <c r="G68" s="205" t="str">
        <f ca="1">IF(OR(R68=0,R68=""),"Linha",IF(AND(OR(ACOMPANHAMENTO="PLE",$Q68&lt;&gt;2),$E69=0),"Linha",1-SUM(T68:AF68)))</f>
        <v>Linha</v>
      </c>
      <c r="H68" s="206">
        <f ca="1">IF($E69=0,OFFSET(ORÇAMENTO!O$15,$E68,0),IF($E69&lt;&gt;-1,OFFSET(QCI!$D$13,$E69,0),""))</f>
        <v>5</v>
      </c>
      <c r="I68" s="207" t="str">
        <f ca="1">IF($E69=0,OFFSET(ORÇAMENTO!R$15,$E68,0),IF($E69&lt;&gt;-1,OFFSET(QCI!$G$13,$E69,0),""))</f>
        <v/>
      </c>
      <c r="J68" s="207"/>
      <c r="K68" s="207"/>
      <c r="L68" s="208">
        <f ca="1">IF($E69=0,OFFSET(ORÇAMENTO!C$15,$E68,0),1)</f>
        <v>1</v>
      </c>
      <c r="M68" s="209">
        <f ca="1">IF($E69=-1,0,IF(M$13&lt;=$L68,IF(ISERROR(MATCH(M$13,OFFSET($L68,1,0,ROW($L$164)-ROW($L68)-1),0)),ROW($L$164)-ROW($L68)-1,MATCH(M$13,OFFSET($L68,1,0,ROW($L$164)-ROW($L68)-1),0)-1),0))</f>
        <v>2</v>
      </c>
      <c r="N68" s="209">
        <f ca="1">IF($E69=-1,0,IF(N$13&lt;=$L68,IF(ISERROR(MATCH(N$13,OFFSET($L68,1,0,ROW($L$164)-ROW($L68)-1),0)),ROW($L$164)-ROW($L68)-1,MATCH(N$13,OFFSET($L68,1,0,ROW($L$164)-ROW($L68)-1),0)-1),0))</f>
        <v>0</v>
      </c>
      <c r="O68" s="209">
        <f ca="1">IF($E69=-1,0,IF(O$13&lt;=$L68,IF(ISERROR(MATCH(O$13,OFFSET($L68,1,0,ROW($L$164)-ROW($L68)-1),0)),ROW($L$164)-ROW($L68)-1,MATCH(O$13,OFFSET($L68,1,0,ROW($L$164)-ROW($L68)-1),0)-1),0))</f>
        <v>0</v>
      </c>
      <c r="P68" s="209">
        <f ca="1">IF($E69=-1,0,IF(P$13&lt;=$L68,IF(ISERROR(MATCH(P$13,OFFSET($L68,1,0,ROW($L$164)-ROW($L68)-1),0)),ROW($L$164)-ROW($L68)-1,MATCH(P$13,OFFSET($L68,1,0,ROW($L$164)-ROW($L68)-1),0)-1),0))</f>
        <v>0</v>
      </c>
      <c r="Q68" s="209">
        <f t="shared" ref="Q68" ca="1" si="131">MIN(OFFSET(L68,0,1,,L68))</f>
        <v>2</v>
      </c>
      <c r="R68" s="210">
        <f ca="1">IF($E69=0,OFFSET(ORÇAMENTO!X$15,$E68,0),IF($E69&lt;&gt;-1,OFFSET(QCI!$O$13,$E69,0),""))</f>
        <v>0</v>
      </c>
      <c r="S68" s="211" t="s">
        <v>270</v>
      </c>
      <c r="T68" s="212">
        <f t="shared" ref="T68:AE68" ca="1" si="132">IF(AND($Q68=2,ACOMPANHAMENTO="BM"),T69,T70/$R68)</f>
        <v>0</v>
      </c>
      <c r="U68" s="204">
        <f t="shared" ca="1" si="132"/>
        <v>0</v>
      </c>
      <c r="V68" s="204">
        <f t="shared" ca="1" si="132"/>
        <v>0</v>
      </c>
      <c r="W68" s="204">
        <f t="shared" ca="1" si="132"/>
        <v>0</v>
      </c>
      <c r="X68" s="204">
        <f t="shared" ca="1" si="132"/>
        <v>0</v>
      </c>
      <c r="Y68" s="204">
        <f t="shared" ca="1" si="132"/>
        <v>0</v>
      </c>
      <c r="Z68" s="204">
        <f t="shared" ca="1" si="132"/>
        <v>0</v>
      </c>
      <c r="AA68" s="204">
        <f t="shared" ca="1" si="132"/>
        <v>0</v>
      </c>
      <c r="AB68" s="204">
        <f t="shared" ca="1" si="132"/>
        <v>0</v>
      </c>
      <c r="AC68" s="204">
        <f t="shared" ca="1" si="132"/>
        <v>0</v>
      </c>
      <c r="AD68" s="204">
        <f t="shared" ca="1" si="132"/>
        <v>0</v>
      </c>
      <c r="AE68" s="213">
        <f t="shared" ca="1" si="132"/>
        <v>0</v>
      </c>
    </row>
    <row r="69" spans="1:32" ht="12.75" hidden="1" customHeight="1" x14ac:dyDescent="0.2">
      <c r="D69" s="566"/>
      <c r="E69" s="201">
        <f ca="1">IF(ISERROR(E68),IF(1+COUNTIF($L$13:OFFSET(L68,-1,0),1)&lt;=MAX(QCI!$D$13:$D$24),1+COUNTIF($L$13:OFFSET(L68,-1,0),1),-1),0)</f>
        <v>5</v>
      </c>
      <c r="F69" s="201" t="str">
        <f t="shared" ref="F69" ca="1" si="133">IF(AND($E69&lt;&gt;-1,$R68&gt;0),"F","")</f>
        <v/>
      </c>
      <c r="G69" s="214" t="str">
        <f ca="1">IF(OR(R68=0,R68=""),"vazia",IF(AND(OR(ACOMPANHAMENTO="PLE",$Q68&lt;&gt;2),$E69=0),"calculada","--&gt;"))</f>
        <v>vazia</v>
      </c>
      <c r="H69" s="215"/>
      <c r="I69" s="216" t="str">
        <f t="shared" ref="I69" ca="1" si="134">IF(AND(G68&lt;&gt;0,ISNUMBER(G68)),"PREENCHA ESTA LINHA --&gt;","")</f>
        <v/>
      </c>
      <c r="J69" s="216"/>
      <c r="K69" s="216"/>
      <c r="L69" s="217"/>
      <c r="M69" s="217"/>
      <c r="N69" s="217"/>
      <c r="O69" s="217"/>
      <c r="P69" s="217"/>
      <c r="Q69" s="217"/>
      <c r="R69" s="218"/>
      <c r="S69" s="219"/>
      <c r="T69" s="567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8"/>
      <c r="AF69" s="530"/>
    </row>
    <row r="70" spans="1:32" ht="0.2" hidden="1" customHeight="1" x14ac:dyDescent="0.2">
      <c r="D70" s="220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$120,"="&amp;CRONO!D$12,CÁLCULO!$AB$15:$AL$120)/(ORÇAMENTO!$X$15-CÁLCULO.TotalAdmLocal)*CRONO!$E70,0),D69*$R68),SUMIF(OFFSET($R70,1,0,$Q68-2),($L68+1)&amp;"$",OFFSET(D70,1,0,$Q68-2)))</f>
        <v>0</v>
      </c>
      <c r="E70" s="201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21"/>
      <c r="R70" s="222" t="str">
        <f t="shared" ref="R70" ca="1" si="135">L68&amp;"$"</f>
        <v>1$</v>
      </c>
      <c r="S70" s="223"/>
      <c r="T70" s="224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$120,"&lt;="&amp;CRONO!T$12,CÁLCULO!$AB$15:$AL$120)/(ORÇAMENTO!$X$15-CÁLCULO.TotalAdmLocal)*CRONO!$E70,0),T69*$R68),SUMIF(OFFSET($R70,1,0,$Q68-2),($L68+1)&amp;"$",OFFSET(T70,1,0,$Q68-2)))</f>
        <v>0</v>
      </c>
      <c r="U70" s="220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$120,"="&amp;CRONO!U$12,CÁLCULO!$AB$15:$AL$120)/(ORÇAMENTO!$X$15-CÁLCULO.TotalAdmLocal)*CRONO!$E70,0),U69*$R68),SUMIF(OFFSET($R70,1,0,$Q68-2),($L68+1)&amp;"$",OFFSET(U70,1,0,$Q68-2)))</f>
        <v>0</v>
      </c>
      <c r="V70" s="220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$120,"="&amp;CRONO!V$12,CÁLCULO!$AB$15:$AL$120)/(ORÇAMENTO!$X$15-CÁLCULO.TotalAdmLocal)*CRONO!$E70,0),V69*$R68),SUMIF(OFFSET($R70,1,0,$Q68-2),($L68+1)&amp;"$",OFFSET(V70,1,0,$Q68-2)))</f>
        <v>0</v>
      </c>
      <c r="W70" s="220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$120,"="&amp;CRONO!W$12,CÁLCULO!$AB$15:$AL$120)/(ORÇAMENTO!$X$15-CÁLCULO.TotalAdmLocal)*CRONO!$E70,0),W69*$R68),SUMIF(OFFSET($R70,1,0,$Q68-2),($L68+1)&amp;"$",OFFSET(W70,1,0,$Q68-2)))</f>
        <v>0</v>
      </c>
      <c r="X70" s="220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$120,"="&amp;CRONO!X$12,CÁLCULO!$AB$15:$AL$120)/(ORÇAMENTO!$X$15-CÁLCULO.TotalAdmLocal)*CRONO!$E70,0),X69*$R68),SUMIF(OFFSET($R70,1,0,$Q68-2),($L68+1)&amp;"$",OFFSET(X70,1,0,$Q68-2)))</f>
        <v>0</v>
      </c>
      <c r="Y70" s="220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$120,"="&amp;CRONO!Y$12,CÁLCULO!$AB$15:$AL$120)/(ORÇAMENTO!$X$15-CÁLCULO.TotalAdmLocal)*CRONO!$E70,0),Y69*$R68),SUMIF(OFFSET($R70,1,0,$Q68-2),($L68+1)&amp;"$",OFFSET(Y70,1,0,$Q68-2)))</f>
        <v>0</v>
      </c>
      <c r="Z70" s="220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$120,"="&amp;CRONO!Z$12,CÁLCULO!$AB$15:$AL$120)/(ORÇAMENTO!$X$15-CÁLCULO.TotalAdmLocal)*CRONO!$E70,0),Z69*$R68),SUMIF(OFFSET($R70,1,0,$Q68-2),($L68+1)&amp;"$",OFFSET(Z70,1,0,$Q68-2)))</f>
        <v>0</v>
      </c>
      <c r="AA70" s="220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$120,"="&amp;CRONO!AA$12,CÁLCULO!$AB$15:$AL$120)/(ORÇAMENTO!$X$15-CÁLCULO.TotalAdmLocal)*CRONO!$E70,0),AA69*$R68),SUMIF(OFFSET($R70,1,0,$Q68-2),($L68+1)&amp;"$",OFFSET(AA70,1,0,$Q68-2)))</f>
        <v>0</v>
      </c>
      <c r="AB70" s="220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$120,"="&amp;CRONO!AB$12,CÁLCULO!$AB$15:$AL$120)/(ORÇAMENTO!$X$15-CÁLCULO.TotalAdmLocal)*CRONO!$E70,0),AB69*$R68),SUMIF(OFFSET($R70,1,0,$Q68-2),($L68+1)&amp;"$",OFFSET(AB70,1,0,$Q68-2)))</f>
        <v>0</v>
      </c>
      <c r="AC70" s="220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$120,"="&amp;CRONO!AC$12,CÁLCULO!$AB$15:$AL$120)/(ORÇAMENTO!$X$15-CÁLCULO.TotalAdmLocal)*CRONO!$E70,0),AC69*$R68),SUMIF(OFFSET($R70,1,0,$Q68-2),($L68+1)&amp;"$",OFFSET(AC70,1,0,$Q68-2)))</f>
        <v>0</v>
      </c>
      <c r="AD70" s="220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$120,"="&amp;CRONO!AD$12,CÁLCULO!$AB$15:$AL$120)/(ORÇAMENTO!$X$15-CÁLCULO.TotalAdmLocal)*CRONO!$E70,0),AD69*$R68),SUMIF(OFFSET($R70,1,0,$Q68-2),($L68+1)&amp;"$",OFFSET(AD70,1,0,$Q68-2)))</f>
        <v>0</v>
      </c>
      <c r="AE70" s="225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$120,"="&amp;CRONO!AE$12,CÁLCULO!$AB$15:$AL$120)/(ORÇAMENTO!$X$15-CÁLCULO.TotalAdmLocal)*CRONO!$E70,0),AE69*$R68),SUMIF(OFFSET($R70,1,0,$Q68-2),($L68+1)&amp;"$",OFFSET(AE70,1,0,$Q68-2)))</f>
        <v>0</v>
      </c>
    </row>
    <row r="71" spans="1:32" hidden="1" x14ac:dyDescent="0.2">
      <c r="A71" s="201">
        <f t="shared" ref="A71" ca="1" si="136">OFFSET(A71,-3,0)+1</f>
        <v>20</v>
      </c>
      <c r="B71" s="201">
        <f ca="1">IF($Q71&lt;&gt;2,0,IF($R71=0,1,IF(E72&gt;0,OFFSET(QCI!$M$13,SUBSTITUTE(E72,".",""),0),OFFSET(ORÇAMENTO!$AA$15,CRONO!$E71,0))/$R71))</f>
        <v>1</v>
      </c>
      <c r="C71" s="201">
        <f ca="1">IF($Q71&lt;&gt;2,0,IF($R71=0,1,IF(E72&gt;0,OFFSET(QCI!$N$13,SUBSTITUTE(E72,".",""),0),OFFSET(ORÇAMENTO!$AB$15,CRONO!$E71,0))/$R71))</f>
        <v>1</v>
      </c>
      <c r="D71" s="204">
        <f ca="1">IF(AND($Q71=2,ACOMPANHAMENTO="BM"),D72,D73/$R71)</f>
        <v>0</v>
      </c>
      <c r="E71" s="201" t="e">
        <f ca="1">IF(A71&lt;=ORÇAMENTO.MáximoListaCrono,MATCH(A71,ORÇAMENTO.ListaCrono,0),NA())</f>
        <v>#N/A</v>
      </c>
      <c r="F71" s="201" t="str">
        <f t="shared" ref="F71" ca="1" si="137">IF(AND($E72&lt;&gt;-1,$R71&gt;0),"F","")</f>
        <v/>
      </c>
      <c r="G71" s="205" t="str">
        <f ca="1">IF(OR(R71=0,R71=""),"Linha",IF(AND(OR(ACOMPANHAMENTO="PLE",$Q71&lt;&gt;2),$E72=0),"Linha",1-SUM(T71:AF71)))</f>
        <v>Linha</v>
      </c>
      <c r="H71" s="206">
        <f ca="1">IF($E72=0,OFFSET(ORÇAMENTO!O$15,$E71,0),IF($E72&lt;&gt;-1,OFFSET(QCI!$D$13,$E72,0),""))</f>
        <v>6</v>
      </c>
      <c r="I71" s="207" t="str">
        <f ca="1">IF($E72=0,OFFSET(ORÇAMENTO!R$15,$E71,0),IF($E72&lt;&gt;-1,OFFSET(QCI!$G$13,$E72,0),""))</f>
        <v/>
      </c>
      <c r="J71" s="207"/>
      <c r="K71" s="207"/>
      <c r="L71" s="208">
        <f ca="1">IF($E72=0,OFFSET(ORÇAMENTO!C$15,$E71,0),1)</f>
        <v>1</v>
      </c>
      <c r="M71" s="209">
        <f ca="1">IF($E72=-1,0,IF(M$13&lt;=$L71,IF(ISERROR(MATCH(M$13,OFFSET($L71,1,0,ROW($L$164)-ROW($L71)-1),0)),ROW($L$164)-ROW($L71)-1,MATCH(M$13,OFFSET($L71,1,0,ROW($L$164)-ROW($L71)-1),0)-1),0))</f>
        <v>2</v>
      </c>
      <c r="N71" s="209">
        <f ca="1">IF($E72=-1,0,IF(N$13&lt;=$L71,IF(ISERROR(MATCH(N$13,OFFSET($L71,1,0,ROW($L$164)-ROW($L71)-1),0)),ROW($L$164)-ROW($L71)-1,MATCH(N$13,OFFSET($L71,1,0,ROW($L$164)-ROW($L71)-1),0)-1),0))</f>
        <v>0</v>
      </c>
      <c r="O71" s="209">
        <f ca="1">IF($E72=-1,0,IF(O$13&lt;=$L71,IF(ISERROR(MATCH(O$13,OFFSET($L71,1,0,ROW($L$164)-ROW($L71)-1),0)),ROW($L$164)-ROW($L71)-1,MATCH(O$13,OFFSET($L71,1,0,ROW($L$164)-ROW($L71)-1),0)-1),0))</f>
        <v>0</v>
      </c>
      <c r="P71" s="209">
        <f ca="1">IF($E72=-1,0,IF(P$13&lt;=$L71,IF(ISERROR(MATCH(P$13,OFFSET($L71,1,0,ROW($L$164)-ROW($L71)-1),0)),ROW($L$164)-ROW($L71)-1,MATCH(P$13,OFFSET($L71,1,0,ROW($L$164)-ROW($L71)-1),0)-1),0))</f>
        <v>0</v>
      </c>
      <c r="Q71" s="209">
        <f t="shared" ref="Q71" ca="1" si="138">MIN(OFFSET(L71,0,1,,L71))</f>
        <v>2</v>
      </c>
      <c r="R71" s="210">
        <f ca="1">IF($E72=0,OFFSET(ORÇAMENTO!X$15,$E71,0),IF($E72&lt;&gt;-1,OFFSET(QCI!$O$13,$E72,0),""))</f>
        <v>0</v>
      </c>
      <c r="S71" s="211" t="s">
        <v>270</v>
      </c>
      <c r="T71" s="212">
        <f t="shared" ref="T71:AE71" ca="1" si="139">IF(AND($Q71=2,ACOMPANHAMENTO="BM"),T72,T73/$R71)</f>
        <v>0</v>
      </c>
      <c r="U71" s="204">
        <f t="shared" ca="1" si="139"/>
        <v>0</v>
      </c>
      <c r="V71" s="204">
        <f t="shared" ca="1" si="139"/>
        <v>0</v>
      </c>
      <c r="W71" s="204">
        <f t="shared" ca="1" si="139"/>
        <v>0</v>
      </c>
      <c r="X71" s="204">
        <f t="shared" ca="1" si="139"/>
        <v>0</v>
      </c>
      <c r="Y71" s="204">
        <f t="shared" ca="1" si="139"/>
        <v>0</v>
      </c>
      <c r="Z71" s="204">
        <f t="shared" ca="1" si="139"/>
        <v>0</v>
      </c>
      <c r="AA71" s="204">
        <f t="shared" ca="1" si="139"/>
        <v>0</v>
      </c>
      <c r="AB71" s="204">
        <f t="shared" ca="1" si="139"/>
        <v>0</v>
      </c>
      <c r="AC71" s="204">
        <f t="shared" ca="1" si="139"/>
        <v>0</v>
      </c>
      <c r="AD71" s="204">
        <f t="shared" ca="1" si="139"/>
        <v>0</v>
      </c>
      <c r="AE71" s="213">
        <f t="shared" ca="1" si="139"/>
        <v>0</v>
      </c>
    </row>
    <row r="72" spans="1:32" ht="12.75" hidden="1" customHeight="1" x14ac:dyDescent="0.2">
      <c r="D72" s="566"/>
      <c r="E72" s="201">
        <f ca="1">IF(ISERROR(E71),IF(1+COUNTIF($L$13:OFFSET(L71,-1,0),1)&lt;=MAX(QCI!$D$13:$D$24),1+COUNTIF($L$13:OFFSET(L71,-1,0),1),-1),0)</f>
        <v>6</v>
      </c>
      <c r="F72" s="201" t="str">
        <f t="shared" ref="F72" ca="1" si="140">IF(AND($E72&lt;&gt;-1,$R71&gt;0),"F","")</f>
        <v/>
      </c>
      <c r="G72" s="214" t="str">
        <f ca="1">IF(OR(R71=0,R71=""),"vazia",IF(AND(OR(ACOMPANHAMENTO="PLE",$Q71&lt;&gt;2),$E72=0),"calculada","--&gt;"))</f>
        <v>vazia</v>
      </c>
      <c r="H72" s="215"/>
      <c r="I72" s="216" t="str">
        <f t="shared" ref="I72" ca="1" si="141">IF(AND(G71&lt;&gt;0,ISNUMBER(G71)),"PREENCHA ESTA LINHA --&gt;","")</f>
        <v/>
      </c>
      <c r="J72" s="216"/>
      <c r="K72" s="216"/>
      <c r="L72" s="217"/>
      <c r="M72" s="217"/>
      <c r="N72" s="217"/>
      <c r="O72" s="217"/>
      <c r="P72" s="217"/>
      <c r="Q72" s="217"/>
      <c r="R72" s="218"/>
      <c r="S72" s="219"/>
      <c r="T72" s="567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8"/>
      <c r="AF72" s="530"/>
    </row>
    <row r="73" spans="1:32" ht="0.2" hidden="1" customHeight="1" x14ac:dyDescent="0.2">
      <c r="D73" s="220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$120,"="&amp;CRONO!D$12,CÁLCULO!$AB$15:$AL$120)/(ORÇAMENTO!$X$15-CÁLCULO.TotalAdmLocal)*CRONO!$E73,0),D72*$R71),SUMIF(OFFSET($R73,1,0,$Q71-2),($L71+1)&amp;"$",OFFSET(D73,1,0,$Q71-2)))</f>
        <v>0</v>
      </c>
      <c r="E73" s="201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21"/>
      <c r="R73" s="222" t="str">
        <f t="shared" ref="R73" ca="1" si="142">L71&amp;"$"</f>
        <v>1$</v>
      </c>
      <c r="S73" s="223"/>
      <c r="T73" s="224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$120,"&lt;="&amp;CRONO!T$12,CÁLCULO!$AB$15:$AL$120)/(ORÇAMENTO!$X$15-CÁLCULO.TotalAdmLocal)*CRONO!$E73,0),T72*$R71),SUMIF(OFFSET($R73,1,0,$Q71-2),($L71+1)&amp;"$",OFFSET(T73,1,0,$Q71-2)))</f>
        <v>0</v>
      </c>
      <c r="U73" s="220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$120,"="&amp;CRONO!U$12,CÁLCULO!$AB$15:$AL$120)/(ORÇAMENTO!$X$15-CÁLCULO.TotalAdmLocal)*CRONO!$E73,0),U72*$R71),SUMIF(OFFSET($R73,1,0,$Q71-2),($L71+1)&amp;"$",OFFSET(U73,1,0,$Q71-2)))</f>
        <v>0</v>
      </c>
      <c r="V73" s="220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$120,"="&amp;CRONO!V$12,CÁLCULO!$AB$15:$AL$120)/(ORÇAMENTO!$X$15-CÁLCULO.TotalAdmLocal)*CRONO!$E73,0),V72*$R71),SUMIF(OFFSET($R73,1,0,$Q71-2),($L71+1)&amp;"$",OFFSET(V73,1,0,$Q71-2)))</f>
        <v>0</v>
      </c>
      <c r="W73" s="220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$120,"="&amp;CRONO!W$12,CÁLCULO!$AB$15:$AL$120)/(ORÇAMENTO!$X$15-CÁLCULO.TotalAdmLocal)*CRONO!$E73,0),W72*$R71),SUMIF(OFFSET($R73,1,0,$Q71-2),($L71+1)&amp;"$",OFFSET(W73,1,0,$Q71-2)))</f>
        <v>0</v>
      </c>
      <c r="X73" s="220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$120,"="&amp;CRONO!X$12,CÁLCULO!$AB$15:$AL$120)/(ORÇAMENTO!$X$15-CÁLCULO.TotalAdmLocal)*CRONO!$E73,0),X72*$R71),SUMIF(OFFSET($R73,1,0,$Q71-2),($L71+1)&amp;"$",OFFSET(X73,1,0,$Q71-2)))</f>
        <v>0</v>
      </c>
      <c r="Y73" s="220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$120,"="&amp;CRONO!Y$12,CÁLCULO!$AB$15:$AL$120)/(ORÇAMENTO!$X$15-CÁLCULO.TotalAdmLocal)*CRONO!$E73,0),Y72*$R71),SUMIF(OFFSET($R73,1,0,$Q71-2),($L71+1)&amp;"$",OFFSET(Y73,1,0,$Q71-2)))</f>
        <v>0</v>
      </c>
      <c r="Z73" s="220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$120,"="&amp;CRONO!Z$12,CÁLCULO!$AB$15:$AL$120)/(ORÇAMENTO!$X$15-CÁLCULO.TotalAdmLocal)*CRONO!$E73,0),Z72*$R71),SUMIF(OFFSET($R73,1,0,$Q71-2),($L71+1)&amp;"$",OFFSET(Z73,1,0,$Q71-2)))</f>
        <v>0</v>
      </c>
      <c r="AA73" s="220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$120,"="&amp;CRONO!AA$12,CÁLCULO!$AB$15:$AL$120)/(ORÇAMENTO!$X$15-CÁLCULO.TotalAdmLocal)*CRONO!$E73,0),AA72*$R71),SUMIF(OFFSET($R73,1,0,$Q71-2),($L71+1)&amp;"$",OFFSET(AA73,1,0,$Q71-2)))</f>
        <v>0</v>
      </c>
      <c r="AB73" s="220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$120,"="&amp;CRONO!AB$12,CÁLCULO!$AB$15:$AL$120)/(ORÇAMENTO!$X$15-CÁLCULO.TotalAdmLocal)*CRONO!$E73,0),AB72*$R71),SUMIF(OFFSET($R73,1,0,$Q71-2),($L71+1)&amp;"$",OFFSET(AB73,1,0,$Q71-2)))</f>
        <v>0</v>
      </c>
      <c r="AC73" s="220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$120,"="&amp;CRONO!AC$12,CÁLCULO!$AB$15:$AL$120)/(ORÇAMENTO!$X$15-CÁLCULO.TotalAdmLocal)*CRONO!$E73,0),AC72*$R71),SUMIF(OFFSET($R73,1,0,$Q71-2),($L71+1)&amp;"$",OFFSET(AC73,1,0,$Q71-2)))</f>
        <v>0</v>
      </c>
      <c r="AD73" s="220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$120,"="&amp;CRONO!AD$12,CÁLCULO!$AB$15:$AL$120)/(ORÇAMENTO!$X$15-CÁLCULO.TotalAdmLocal)*CRONO!$E73,0),AD72*$R71),SUMIF(OFFSET($R73,1,0,$Q71-2),($L71+1)&amp;"$",OFFSET(AD73,1,0,$Q71-2)))</f>
        <v>0</v>
      </c>
      <c r="AE73" s="225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$120,"="&amp;CRONO!AE$12,CÁLCULO!$AB$15:$AL$120)/(ORÇAMENTO!$X$15-CÁLCULO.TotalAdmLocal)*CRONO!$E73,0),AE72*$R71),SUMIF(OFFSET($R73,1,0,$Q71-2),($L71+1)&amp;"$",OFFSET(AE73,1,0,$Q71-2)))</f>
        <v>0</v>
      </c>
    </row>
    <row r="74" spans="1:32" hidden="1" x14ac:dyDescent="0.2">
      <c r="A74" s="201">
        <f t="shared" ref="A74" ca="1" si="143">OFFSET(A74,-3,0)+1</f>
        <v>21</v>
      </c>
      <c r="B74" s="201">
        <f ca="1">IF($Q74&lt;&gt;2,0,IF($R74=0,1,IF(E75&gt;0,OFFSET(QCI!$M$13,SUBSTITUTE(E75,".",""),0),OFFSET(ORÇAMENTO!$AA$15,CRONO!$E74,0))/$R74))</f>
        <v>1</v>
      </c>
      <c r="C74" s="201">
        <f ca="1">IF($Q74&lt;&gt;2,0,IF($R74=0,1,IF(E75&gt;0,OFFSET(QCI!$N$13,SUBSTITUTE(E75,".",""),0),OFFSET(ORÇAMENTO!$AB$15,CRONO!$E74,0))/$R74))</f>
        <v>1</v>
      </c>
      <c r="D74" s="204">
        <f ca="1">IF(AND($Q74=2,ACOMPANHAMENTO="BM"),D75,D76/$R74)</f>
        <v>0</v>
      </c>
      <c r="E74" s="201" t="e">
        <f ca="1">IF(A74&lt;=ORÇAMENTO.MáximoListaCrono,MATCH(A74,ORÇAMENTO.ListaCrono,0),NA())</f>
        <v>#N/A</v>
      </c>
      <c r="F74" s="201" t="str">
        <f t="shared" ref="F74" ca="1" si="144">IF(AND($E75&lt;&gt;-1,$R74&gt;0),"F","")</f>
        <v/>
      </c>
      <c r="G74" s="205" t="str">
        <f ca="1">IF(OR(R74=0,R74=""),"Linha",IF(AND(OR(ACOMPANHAMENTO="PLE",$Q74&lt;&gt;2),$E75=0),"Linha",1-SUM(T74:AF74)))</f>
        <v>Linha</v>
      </c>
      <c r="H74" s="206">
        <f ca="1">IF($E75=0,OFFSET(ORÇAMENTO!O$15,$E74,0),IF($E75&lt;&gt;-1,OFFSET(QCI!$D$13,$E75,0),""))</f>
        <v>7</v>
      </c>
      <c r="I74" s="207" t="str">
        <f ca="1">IF($E75=0,OFFSET(ORÇAMENTO!R$15,$E74,0),IF($E75&lt;&gt;-1,OFFSET(QCI!$G$13,$E75,0),""))</f>
        <v/>
      </c>
      <c r="J74" s="207"/>
      <c r="K74" s="207"/>
      <c r="L74" s="208">
        <f ca="1">IF($E75=0,OFFSET(ORÇAMENTO!C$15,$E74,0),1)</f>
        <v>1</v>
      </c>
      <c r="M74" s="209">
        <f ca="1">IF($E75=-1,0,IF(M$13&lt;=$L74,IF(ISERROR(MATCH(M$13,OFFSET($L74,1,0,ROW($L$164)-ROW($L74)-1),0)),ROW($L$164)-ROW($L74)-1,MATCH(M$13,OFFSET($L74,1,0,ROW($L$164)-ROW($L74)-1),0)-1),0))</f>
        <v>2</v>
      </c>
      <c r="N74" s="209">
        <f ca="1">IF($E75=-1,0,IF(N$13&lt;=$L74,IF(ISERROR(MATCH(N$13,OFFSET($L74,1,0,ROW($L$164)-ROW($L74)-1),0)),ROW($L$164)-ROW($L74)-1,MATCH(N$13,OFFSET($L74,1,0,ROW($L$164)-ROW($L74)-1),0)-1),0))</f>
        <v>0</v>
      </c>
      <c r="O74" s="209">
        <f ca="1">IF($E75=-1,0,IF(O$13&lt;=$L74,IF(ISERROR(MATCH(O$13,OFFSET($L74,1,0,ROW($L$164)-ROW($L74)-1),0)),ROW($L$164)-ROW($L74)-1,MATCH(O$13,OFFSET($L74,1,0,ROW($L$164)-ROW($L74)-1),0)-1),0))</f>
        <v>0</v>
      </c>
      <c r="P74" s="209">
        <f ca="1">IF($E75=-1,0,IF(P$13&lt;=$L74,IF(ISERROR(MATCH(P$13,OFFSET($L74,1,0,ROW($L$164)-ROW($L74)-1),0)),ROW($L$164)-ROW($L74)-1,MATCH(P$13,OFFSET($L74,1,0,ROW($L$164)-ROW($L74)-1),0)-1),0))</f>
        <v>0</v>
      </c>
      <c r="Q74" s="209">
        <f t="shared" ref="Q74" ca="1" si="145">MIN(OFFSET(L74,0,1,,L74))</f>
        <v>2</v>
      </c>
      <c r="R74" s="210">
        <f ca="1">IF($E75=0,OFFSET(ORÇAMENTO!X$15,$E74,0),IF($E75&lt;&gt;-1,OFFSET(QCI!$O$13,$E75,0),""))</f>
        <v>0</v>
      </c>
      <c r="S74" s="211" t="s">
        <v>270</v>
      </c>
      <c r="T74" s="212">
        <f t="shared" ref="T74:AE74" ca="1" si="146">IF(AND($Q74=2,ACOMPANHAMENTO="BM"),T75,T76/$R74)</f>
        <v>0</v>
      </c>
      <c r="U74" s="204">
        <f t="shared" ca="1" si="146"/>
        <v>0</v>
      </c>
      <c r="V74" s="204">
        <f t="shared" ca="1" si="146"/>
        <v>0</v>
      </c>
      <c r="W74" s="204">
        <f t="shared" ca="1" si="146"/>
        <v>0</v>
      </c>
      <c r="X74" s="204">
        <f t="shared" ca="1" si="146"/>
        <v>0</v>
      </c>
      <c r="Y74" s="204">
        <f t="shared" ca="1" si="146"/>
        <v>0</v>
      </c>
      <c r="Z74" s="204">
        <f t="shared" ca="1" si="146"/>
        <v>0</v>
      </c>
      <c r="AA74" s="204">
        <f t="shared" ca="1" si="146"/>
        <v>0</v>
      </c>
      <c r="AB74" s="204">
        <f t="shared" ca="1" si="146"/>
        <v>0</v>
      </c>
      <c r="AC74" s="204">
        <f t="shared" ca="1" si="146"/>
        <v>0</v>
      </c>
      <c r="AD74" s="204">
        <f t="shared" ca="1" si="146"/>
        <v>0</v>
      </c>
      <c r="AE74" s="213">
        <f t="shared" ca="1" si="146"/>
        <v>0</v>
      </c>
    </row>
    <row r="75" spans="1:32" ht="12.75" hidden="1" customHeight="1" x14ac:dyDescent="0.2">
      <c r="D75" s="566"/>
      <c r="E75" s="201">
        <f ca="1">IF(ISERROR(E74),IF(1+COUNTIF($L$13:OFFSET(L74,-1,0),1)&lt;=MAX(QCI!$D$13:$D$24),1+COUNTIF($L$13:OFFSET(L74,-1,0),1),-1),0)</f>
        <v>7</v>
      </c>
      <c r="F75" s="201" t="str">
        <f t="shared" ref="F75" ca="1" si="147">IF(AND($E75&lt;&gt;-1,$R74&gt;0),"F","")</f>
        <v/>
      </c>
      <c r="G75" s="214" t="str">
        <f ca="1">IF(OR(R74=0,R74=""),"vazia",IF(AND(OR(ACOMPANHAMENTO="PLE",$Q74&lt;&gt;2),$E75=0),"calculada","--&gt;"))</f>
        <v>vazia</v>
      </c>
      <c r="H75" s="215"/>
      <c r="I75" s="216" t="str">
        <f t="shared" ref="I75" ca="1" si="148">IF(AND(G74&lt;&gt;0,ISNUMBER(G74)),"PREENCHA ESTA LINHA --&gt;","")</f>
        <v/>
      </c>
      <c r="J75" s="216"/>
      <c r="K75" s="216"/>
      <c r="L75" s="217"/>
      <c r="M75" s="217"/>
      <c r="N75" s="217"/>
      <c r="O75" s="217"/>
      <c r="P75" s="217"/>
      <c r="Q75" s="217"/>
      <c r="R75" s="218"/>
      <c r="S75" s="219"/>
      <c r="T75" s="567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8"/>
      <c r="AF75" s="530"/>
    </row>
    <row r="76" spans="1:32" ht="0.2" hidden="1" customHeight="1" x14ac:dyDescent="0.2">
      <c r="D76" s="220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$120,"="&amp;CRONO!D$12,CÁLCULO!$AB$15:$AL$120)/(ORÇAMENTO!$X$15-CÁLCULO.TotalAdmLocal)*CRONO!$E76,0),D75*$R74),SUMIF(OFFSET($R76,1,0,$Q74-2),($L74+1)&amp;"$",OFFSET(D76,1,0,$Q74-2)))</f>
        <v>0</v>
      </c>
      <c r="E76" s="201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21"/>
      <c r="R76" s="222" t="str">
        <f t="shared" ref="R76" ca="1" si="149">L74&amp;"$"</f>
        <v>1$</v>
      </c>
      <c r="S76" s="223"/>
      <c r="T76" s="224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$120,"&lt;="&amp;CRONO!T$12,CÁLCULO!$AB$15:$AL$120)/(ORÇAMENTO!$X$15-CÁLCULO.TotalAdmLocal)*CRONO!$E76,0),T75*$R74),SUMIF(OFFSET($R76,1,0,$Q74-2),($L74+1)&amp;"$",OFFSET(T76,1,0,$Q74-2)))</f>
        <v>0</v>
      </c>
      <c r="U76" s="220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$120,"="&amp;CRONO!U$12,CÁLCULO!$AB$15:$AL$120)/(ORÇAMENTO!$X$15-CÁLCULO.TotalAdmLocal)*CRONO!$E76,0),U75*$R74),SUMIF(OFFSET($R76,1,0,$Q74-2),($L74+1)&amp;"$",OFFSET(U76,1,0,$Q74-2)))</f>
        <v>0</v>
      </c>
      <c r="V76" s="220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$120,"="&amp;CRONO!V$12,CÁLCULO!$AB$15:$AL$120)/(ORÇAMENTO!$X$15-CÁLCULO.TotalAdmLocal)*CRONO!$E76,0),V75*$R74),SUMIF(OFFSET($R76,1,0,$Q74-2),($L74+1)&amp;"$",OFFSET(V76,1,0,$Q74-2)))</f>
        <v>0</v>
      </c>
      <c r="W76" s="220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$120,"="&amp;CRONO!W$12,CÁLCULO!$AB$15:$AL$120)/(ORÇAMENTO!$X$15-CÁLCULO.TotalAdmLocal)*CRONO!$E76,0),W75*$R74),SUMIF(OFFSET($R76,1,0,$Q74-2),($L74+1)&amp;"$",OFFSET(W76,1,0,$Q74-2)))</f>
        <v>0</v>
      </c>
      <c r="X76" s="220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$120,"="&amp;CRONO!X$12,CÁLCULO!$AB$15:$AL$120)/(ORÇAMENTO!$X$15-CÁLCULO.TotalAdmLocal)*CRONO!$E76,0),X75*$R74),SUMIF(OFFSET($R76,1,0,$Q74-2),($L74+1)&amp;"$",OFFSET(X76,1,0,$Q74-2)))</f>
        <v>0</v>
      </c>
      <c r="Y76" s="220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$120,"="&amp;CRONO!Y$12,CÁLCULO!$AB$15:$AL$120)/(ORÇAMENTO!$X$15-CÁLCULO.TotalAdmLocal)*CRONO!$E76,0),Y75*$R74),SUMIF(OFFSET($R76,1,0,$Q74-2),($L74+1)&amp;"$",OFFSET(Y76,1,0,$Q74-2)))</f>
        <v>0</v>
      </c>
      <c r="Z76" s="220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$120,"="&amp;CRONO!Z$12,CÁLCULO!$AB$15:$AL$120)/(ORÇAMENTO!$X$15-CÁLCULO.TotalAdmLocal)*CRONO!$E76,0),Z75*$R74),SUMIF(OFFSET($R76,1,0,$Q74-2),($L74+1)&amp;"$",OFFSET(Z76,1,0,$Q74-2)))</f>
        <v>0</v>
      </c>
      <c r="AA76" s="220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$120,"="&amp;CRONO!AA$12,CÁLCULO!$AB$15:$AL$120)/(ORÇAMENTO!$X$15-CÁLCULO.TotalAdmLocal)*CRONO!$E76,0),AA75*$R74),SUMIF(OFFSET($R76,1,0,$Q74-2),($L74+1)&amp;"$",OFFSET(AA76,1,0,$Q74-2)))</f>
        <v>0</v>
      </c>
      <c r="AB76" s="220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$120,"="&amp;CRONO!AB$12,CÁLCULO!$AB$15:$AL$120)/(ORÇAMENTO!$X$15-CÁLCULO.TotalAdmLocal)*CRONO!$E76,0),AB75*$R74),SUMIF(OFFSET($R76,1,0,$Q74-2),($L74+1)&amp;"$",OFFSET(AB76,1,0,$Q74-2)))</f>
        <v>0</v>
      </c>
      <c r="AC76" s="220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$120,"="&amp;CRONO!AC$12,CÁLCULO!$AB$15:$AL$120)/(ORÇAMENTO!$X$15-CÁLCULO.TotalAdmLocal)*CRONO!$E76,0),AC75*$R74),SUMIF(OFFSET($R76,1,0,$Q74-2),($L74+1)&amp;"$",OFFSET(AC76,1,0,$Q74-2)))</f>
        <v>0</v>
      </c>
      <c r="AD76" s="220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$120,"="&amp;CRONO!AD$12,CÁLCULO!$AB$15:$AL$120)/(ORÇAMENTO!$X$15-CÁLCULO.TotalAdmLocal)*CRONO!$E76,0),AD75*$R74),SUMIF(OFFSET($R76,1,0,$Q74-2),($L74+1)&amp;"$",OFFSET(AD76,1,0,$Q74-2)))</f>
        <v>0</v>
      </c>
      <c r="AE76" s="225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$120,"="&amp;CRONO!AE$12,CÁLCULO!$AB$15:$AL$120)/(ORÇAMENTO!$X$15-CÁLCULO.TotalAdmLocal)*CRONO!$E76,0),AE75*$R74),SUMIF(OFFSET($R76,1,0,$Q74-2),($L74+1)&amp;"$",OFFSET(AE76,1,0,$Q74-2)))</f>
        <v>0</v>
      </c>
    </row>
    <row r="77" spans="1:32" hidden="1" x14ac:dyDescent="0.2">
      <c r="A77" s="201">
        <f t="shared" ref="A77" ca="1" si="150">OFFSET(A77,-3,0)+1</f>
        <v>22</v>
      </c>
      <c r="B77" s="201">
        <f ca="1">IF($Q77&lt;&gt;2,0,IF($R77=0,1,IF(E78&gt;0,OFFSET(QCI!$M$13,SUBSTITUTE(E78,".",""),0),OFFSET(ORÇAMENTO!$AA$15,CRONO!$E77,0))/$R77))</f>
        <v>1</v>
      </c>
      <c r="C77" s="201">
        <f ca="1">IF($Q77&lt;&gt;2,0,IF($R77=0,1,IF(E78&gt;0,OFFSET(QCI!$N$13,SUBSTITUTE(E78,".",""),0),OFFSET(ORÇAMENTO!$AB$15,CRONO!$E77,0))/$R77))</f>
        <v>1</v>
      </c>
      <c r="D77" s="204">
        <f ca="1">IF(AND($Q77=2,ACOMPANHAMENTO="BM"),D78,D79/$R77)</f>
        <v>0</v>
      </c>
      <c r="E77" s="201" t="e">
        <f ca="1">IF(A77&lt;=ORÇAMENTO.MáximoListaCrono,MATCH(A77,ORÇAMENTO.ListaCrono,0),NA())</f>
        <v>#N/A</v>
      </c>
      <c r="F77" s="201" t="str">
        <f t="shared" ref="F77" ca="1" si="151">IF(AND($E78&lt;&gt;-1,$R77&gt;0),"F","")</f>
        <v/>
      </c>
      <c r="G77" s="205" t="str">
        <f ca="1">IF(OR(R77=0,R77=""),"Linha",IF(AND(OR(ACOMPANHAMENTO="PLE",$Q77&lt;&gt;2),$E78=0),"Linha",1-SUM(T77:AF77)))</f>
        <v>Linha</v>
      </c>
      <c r="H77" s="206">
        <f ca="1">IF($E78=0,OFFSET(ORÇAMENTO!O$15,$E77,0),IF($E78&lt;&gt;-1,OFFSET(QCI!$D$13,$E78,0),""))</f>
        <v>8</v>
      </c>
      <c r="I77" s="207" t="str">
        <f ca="1">IF($E78=0,OFFSET(ORÇAMENTO!R$15,$E77,0),IF($E78&lt;&gt;-1,OFFSET(QCI!$G$13,$E78,0),""))</f>
        <v/>
      </c>
      <c r="J77" s="207"/>
      <c r="K77" s="207"/>
      <c r="L77" s="208">
        <f ca="1">IF($E78=0,OFFSET(ORÇAMENTO!C$15,$E77,0),1)</f>
        <v>1</v>
      </c>
      <c r="M77" s="209">
        <f ca="1">IF($E78=-1,0,IF(M$13&lt;=$L77,IF(ISERROR(MATCH(M$13,OFFSET($L77,1,0,ROW($L$164)-ROW($L77)-1),0)),ROW($L$164)-ROW($L77)-1,MATCH(M$13,OFFSET($L77,1,0,ROW($L$164)-ROW($L77)-1),0)-1),0))</f>
        <v>2</v>
      </c>
      <c r="N77" s="209">
        <f ca="1">IF($E78=-1,0,IF(N$13&lt;=$L77,IF(ISERROR(MATCH(N$13,OFFSET($L77,1,0,ROW($L$164)-ROW($L77)-1),0)),ROW($L$164)-ROW($L77)-1,MATCH(N$13,OFFSET($L77,1,0,ROW($L$164)-ROW($L77)-1),0)-1),0))</f>
        <v>0</v>
      </c>
      <c r="O77" s="209">
        <f ca="1">IF($E78=-1,0,IF(O$13&lt;=$L77,IF(ISERROR(MATCH(O$13,OFFSET($L77,1,0,ROW($L$164)-ROW($L77)-1),0)),ROW($L$164)-ROW($L77)-1,MATCH(O$13,OFFSET($L77,1,0,ROW($L$164)-ROW($L77)-1),0)-1),0))</f>
        <v>0</v>
      </c>
      <c r="P77" s="209">
        <f ca="1">IF($E78=-1,0,IF(P$13&lt;=$L77,IF(ISERROR(MATCH(P$13,OFFSET($L77,1,0,ROW($L$164)-ROW($L77)-1),0)),ROW($L$164)-ROW($L77)-1,MATCH(P$13,OFFSET($L77,1,0,ROW($L$164)-ROW($L77)-1),0)-1),0))</f>
        <v>0</v>
      </c>
      <c r="Q77" s="209">
        <f t="shared" ref="Q77" ca="1" si="152">MIN(OFFSET(L77,0,1,,L77))</f>
        <v>2</v>
      </c>
      <c r="R77" s="210">
        <f ca="1">IF($E78=0,OFFSET(ORÇAMENTO!X$15,$E77,0),IF($E78&lt;&gt;-1,OFFSET(QCI!$O$13,$E78,0),""))</f>
        <v>0</v>
      </c>
      <c r="S77" s="211" t="s">
        <v>270</v>
      </c>
      <c r="T77" s="212">
        <f t="shared" ref="T77:AE77" ca="1" si="153">IF(AND($Q77=2,ACOMPANHAMENTO="BM"),T78,T79/$R77)</f>
        <v>0</v>
      </c>
      <c r="U77" s="204">
        <f t="shared" ca="1" si="153"/>
        <v>0</v>
      </c>
      <c r="V77" s="204">
        <f t="shared" ca="1" si="153"/>
        <v>0</v>
      </c>
      <c r="W77" s="204">
        <f t="shared" ca="1" si="153"/>
        <v>0</v>
      </c>
      <c r="X77" s="204">
        <f t="shared" ca="1" si="153"/>
        <v>0</v>
      </c>
      <c r="Y77" s="204">
        <f t="shared" ca="1" si="153"/>
        <v>0</v>
      </c>
      <c r="Z77" s="204">
        <f t="shared" ca="1" si="153"/>
        <v>0</v>
      </c>
      <c r="AA77" s="204">
        <f t="shared" ca="1" si="153"/>
        <v>0</v>
      </c>
      <c r="AB77" s="204">
        <f t="shared" ca="1" si="153"/>
        <v>0</v>
      </c>
      <c r="AC77" s="204">
        <f t="shared" ca="1" si="153"/>
        <v>0</v>
      </c>
      <c r="AD77" s="204">
        <f t="shared" ca="1" si="153"/>
        <v>0</v>
      </c>
      <c r="AE77" s="213">
        <f t="shared" ca="1" si="153"/>
        <v>0</v>
      </c>
    </row>
    <row r="78" spans="1:32" ht="12.75" hidden="1" customHeight="1" x14ac:dyDescent="0.2">
      <c r="D78" s="566"/>
      <c r="E78" s="201">
        <f ca="1">IF(ISERROR(E77),IF(1+COUNTIF($L$13:OFFSET(L77,-1,0),1)&lt;=MAX(QCI!$D$13:$D$24),1+COUNTIF($L$13:OFFSET(L77,-1,0),1),-1),0)</f>
        <v>8</v>
      </c>
      <c r="F78" s="201" t="str">
        <f t="shared" ref="F78" ca="1" si="154">IF(AND($E78&lt;&gt;-1,$R77&gt;0),"F","")</f>
        <v/>
      </c>
      <c r="G78" s="214" t="str">
        <f ca="1">IF(OR(R77=0,R77=""),"vazia",IF(AND(OR(ACOMPANHAMENTO="PLE",$Q77&lt;&gt;2),$E78=0),"calculada","--&gt;"))</f>
        <v>vazia</v>
      </c>
      <c r="H78" s="215"/>
      <c r="I78" s="216" t="str">
        <f t="shared" ref="I78" ca="1" si="155">IF(AND(G77&lt;&gt;0,ISNUMBER(G77)),"PREENCHA ESTA LINHA --&gt;","")</f>
        <v/>
      </c>
      <c r="J78" s="216"/>
      <c r="K78" s="216"/>
      <c r="L78" s="217"/>
      <c r="M78" s="217"/>
      <c r="N78" s="217"/>
      <c r="O78" s="217"/>
      <c r="P78" s="217"/>
      <c r="Q78" s="217"/>
      <c r="R78" s="218"/>
      <c r="S78" s="219"/>
      <c r="T78" s="567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8"/>
      <c r="AF78" s="530"/>
    </row>
    <row r="79" spans="1:32" ht="0.2" hidden="1" customHeight="1" x14ac:dyDescent="0.2">
      <c r="D79" s="220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$120,"="&amp;CRONO!D$12,CÁLCULO!$AB$15:$AL$120)/(ORÇAMENTO!$X$15-CÁLCULO.TotalAdmLocal)*CRONO!$E79,0),D78*$R77),SUMIF(OFFSET($R79,1,0,$Q77-2),($L77+1)&amp;"$",OFFSET(D79,1,0,$Q77-2)))</f>
        <v>0</v>
      </c>
      <c r="E79" s="201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21"/>
      <c r="R79" s="222" t="str">
        <f t="shared" ref="R79" ca="1" si="156">L77&amp;"$"</f>
        <v>1$</v>
      </c>
      <c r="S79" s="223"/>
      <c r="T79" s="224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$120,"&lt;="&amp;CRONO!T$12,CÁLCULO!$AB$15:$AL$120)/(ORÇAMENTO!$X$15-CÁLCULO.TotalAdmLocal)*CRONO!$E79,0),T78*$R77),SUMIF(OFFSET($R79,1,0,$Q77-2),($L77+1)&amp;"$",OFFSET(T79,1,0,$Q77-2)))</f>
        <v>0</v>
      </c>
      <c r="U79" s="220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$120,"="&amp;CRONO!U$12,CÁLCULO!$AB$15:$AL$120)/(ORÇAMENTO!$X$15-CÁLCULO.TotalAdmLocal)*CRONO!$E79,0),U78*$R77),SUMIF(OFFSET($R79,1,0,$Q77-2),($L77+1)&amp;"$",OFFSET(U79,1,0,$Q77-2)))</f>
        <v>0</v>
      </c>
      <c r="V79" s="220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$120,"="&amp;CRONO!V$12,CÁLCULO!$AB$15:$AL$120)/(ORÇAMENTO!$X$15-CÁLCULO.TotalAdmLocal)*CRONO!$E79,0),V78*$R77),SUMIF(OFFSET($R79,1,0,$Q77-2),($L77+1)&amp;"$",OFFSET(V79,1,0,$Q77-2)))</f>
        <v>0</v>
      </c>
      <c r="W79" s="220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$120,"="&amp;CRONO!W$12,CÁLCULO!$AB$15:$AL$120)/(ORÇAMENTO!$X$15-CÁLCULO.TotalAdmLocal)*CRONO!$E79,0),W78*$R77),SUMIF(OFFSET($R79,1,0,$Q77-2),($L77+1)&amp;"$",OFFSET(W79,1,0,$Q77-2)))</f>
        <v>0</v>
      </c>
      <c r="X79" s="220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$120,"="&amp;CRONO!X$12,CÁLCULO!$AB$15:$AL$120)/(ORÇAMENTO!$X$15-CÁLCULO.TotalAdmLocal)*CRONO!$E79,0),X78*$R77),SUMIF(OFFSET($R79,1,0,$Q77-2),($L77+1)&amp;"$",OFFSET(X79,1,0,$Q77-2)))</f>
        <v>0</v>
      </c>
      <c r="Y79" s="220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$120,"="&amp;CRONO!Y$12,CÁLCULO!$AB$15:$AL$120)/(ORÇAMENTO!$X$15-CÁLCULO.TotalAdmLocal)*CRONO!$E79,0),Y78*$R77),SUMIF(OFFSET($R79,1,0,$Q77-2),($L77+1)&amp;"$",OFFSET(Y79,1,0,$Q77-2)))</f>
        <v>0</v>
      </c>
      <c r="Z79" s="220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$120,"="&amp;CRONO!Z$12,CÁLCULO!$AB$15:$AL$120)/(ORÇAMENTO!$X$15-CÁLCULO.TotalAdmLocal)*CRONO!$E79,0),Z78*$R77),SUMIF(OFFSET($R79,1,0,$Q77-2),($L77+1)&amp;"$",OFFSET(Z79,1,0,$Q77-2)))</f>
        <v>0</v>
      </c>
      <c r="AA79" s="220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$120,"="&amp;CRONO!AA$12,CÁLCULO!$AB$15:$AL$120)/(ORÇAMENTO!$X$15-CÁLCULO.TotalAdmLocal)*CRONO!$E79,0),AA78*$R77),SUMIF(OFFSET($R79,1,0,$Q77-2),($L77+1)&amp;"$",OFFSET(AA79,1,0,$Q77-2)))</f>
        <v>0</v>
      </c>
      <c r="AB79" s="220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$120,"="&amp;CRONO!AB$12,CÁLCULO!$AB$15:$AL$120)/(ORÇAMENTO!$X$15-CÁLCULO.TotalAdmLocal)*CRONO!$E79,0),AB78*$R77),SUMIF(OFFSET($R79,1,0,$Q77-2),($L77+1)&amp;"$",OFFSET(AB79,1,0,$Q77-2)))</f>
        <v>0</v>
      </c>
      <c r="AC79" s="220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$120,"="&amp;CRONO!AC$12,CÁLCULO!$AB$15:$AL$120)/(ORÇAMENTO!$X$15-CÁLCULO.TotalAdmLocal)*CRONO!$E79,0),AC78*$R77),SUMIF(OFFSET($R79,1,0,$Q77-2),($L77+1)&amp;"$",OFFSET(AC79,1,0,$Q77-2)))</f>
        <v>0</v>
      </c>
      <c r="AD79" s="220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$120,"="&amp;CRONO!AD$12,CÁLCULO!$AB$15:$AL$120)/(ORÇAMENTO!$X$15-CÁLCULO.TotalAdmLocal)*CRONO!$E79,0),AD78*$R77),SUMIF(OFFSET($R79,1,0,$Q77-2),($L77+1)&amp;"$",OFFSET(AD79,1,0,$Q77-2)))</f>
        <v>0</v>
      </c>
      <c r="AE79" s="225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$120,"="&amp;CRONO!AE$12,CÁLCULO!$AB$15:$AL$120)/(ORÇAMENTO!$X$15-CÁLCULO.TotalAdmLocal)*CRONO!$E79,0),AE78*$R77),SUMIF(OFFSET($R79,1,0,$Q77-2),($L77+1)&amp;"$",OFFSET(AE79,1,0,$Q77-2)))</f>
        <v>0</v>
      </c>
    </row>
    <row r="80" spans="1:32" hidden="1" x14ac:dyDescent="0.2">
      <c r="A80" s="201">
        <f t="shared" ref="A80" ca="1" si="157">OFFSET(A80,-3,0)+1</f>
        <v>23</v>
      </c>
      <c r="B80" s="201">
        <f ca="1">IF($Q80&lt;&gt;2,0,IF($R80=0,1,IF(E81&gt;0,OFFSET(QCI!$M$13,SUBSTITUTE(E81,".",""),0),OFFSET(ORÇAMENTO!$AA$15,CRONO!$E80,0))/$R80))</f>
        <v>1</v>
      </c>
      <c r="C80" s="201">
        <f ca="1">IF($Q80&lt;&gt;2,0,IF($R80=0,1,IF(E81&gt;0,OFFSET(QCI!$N$13,SUBSTITUTE(E81,".",""),0),OFFSET(ORÇAMENTO!$AB$15,CRONO!$E80,0))/$R80))</f>
        <v>1</v>
      </c>
      <c r="D80" s="204">
        <f ca="1">IF(AND($Q80=2,ACOMPANHAMENTO="BM"),D81,D82/$R80)</f>
        <v>0</v>
      </c>
      <c r="E80" s="201" t="e">
        <f ca="1">IF(A80&lt;=ORÇAMENTO.MáximoListaCrono,MATCH(A80,ORÇAMENTO.ListaCrono,0),NA())</f>
        <v>#N/A</v>
      </c>
      <c r="F80" s="201" t="str">
        <f t="shared" ref="F80" ca="1" si="158">IF(AND($E81&lt;&gt;-1,$R80&gt;0),"F","")</f>
        <v/>
      </c>
      <c r="G80" s="205" t="str">
        <f ca="1">IF(OR(R80=0,R80=""),"Linha",IF(AND(OR(ACOMPANHAMENTO="PLE",$Q80&lt;&gt;2),$E81=0),"Linha",1-SUM(T80:AF80)))</f>
        <v>Linha</v>
      </c>
      <c r="H80" s="206">
        <f ca="1">IF($E81=0,OFFSET(ORÇAMENTO!O$15,$E80,0),IF($E81&lt;&gt;-1,OFFSET(QCI!$D$13,$E81,0),""))</f>
        <v>9</v>
      </c>
      <c r="I80" s="207" t="str">
        <f ca="1">IF($E81=0,OFFSET(ORÇAMENTO!R$15,$E80,0),IF($E81&lt;&gt;-1,OFFSET(QCI!$G$13,$E81,0),""))</f>
        <v/>
      </c>
      <c r="J80" s="207"/>
      <c r="K80" s="207"/>
      <c r="L80" s="208">
        <f ca="1">IF($E81=0,OFFSET(ORÇAMENTO!C$15,$E80,0),1)</f>
        <v>1</v>
      </c>
      <c r="M80" s="209">
        <f ca="1">IF($E81=-1,0,IF(M$13&lt;=$L80,IF(ISERROR(MATCH(M$13,OFFSET($L80,1,0,ROW($L$164)-ROW($L80)-1),0)),ROW($L$164)-ROW($L80)-1,MATCH(M$13,OFFSET($L80,1,0,ROW($L$164)-ROW($L80)-1),0)-1),0))</f>
        <v>2</v>
      </c>
      <c r="N80" s="209">
        <f ca="1">IF($E81=-1,0,IF(N$13&lt;=$L80,IF(ISERROR(MATCH(N$13,OFFSET($L80,1,0,ROW($L$164)-ROW($L80)-1),0)),ROW($L$164)-ROW($L80)-1,MATCH(N$13,OFFSET($L80,1,0,ROW($L$164)-ROW($L80)-1),0)-1),0))</f>
        <v>0</v>
      </c>
      <c r="O80" s="209">
        <f ca="1">IF($E81=-1,0,IF(O$13&lt;=$L80,IF(ISERROR(MATCH(O$13,OFFSET($L80,1,0,ROW($L$164)-ROW($L80)-1),0)),ROW($L$164)-ROW($L80)-1,MATCH(O$13,OFFSET($L80,1,0,ROW($L$164)-ROW($L80)-1),0)-1),0))</f>
        <v>0</v>
      </c>
      <c r="P80" s="209">
        <f ca="1">IF($E81=-1,0,IF(P$13&lt;=$L80,IF(ISERROR(MATCH(P$13,OFFSET($L80,1,0,ROW($L$164)-ROW($L80)-1),0)),ROW($L$164)-ROW($L80)-1,MATCH(P$13,OFFSET($L80,1,0,ROW($L$164)-ROW($L80)-1),0)-1),0))</f>
        <v>0</v>
      </c>
      <c r="Q80" s="209">
        <f t="shared" ref="Q80" ca="1" si="159">MIN(OFFSET(L80,0,1,,L80))</f>
        <v>2</v>
      </c>
      <c r="R80" s="210">
        <f ca="1">IF($E81=0,OFFSET(ORÇAMENTO!X$15,$E80,0),IF($E81&lt;&gt;-1,OFFSET(QCI!$O$13,$E81,0),""))</f>
        <v>0</v>
      </c>
      <c r="S80" s="211" t="s">
        <v>270</v>
      </c>
      <c r="T80" s="212">
        <f t="shared" ref="T80:AE80" ca="1" si="160">IF(AND($Q80=2,ACOMPANHAMENTO="BM"),T81,T82/$R80)</f>
        <v>0</v>
      </c>
      <c r="U80" s="204">
        <f t="shared" ca="1" si="160"/>
        <v>0</v>
      </c>
      <c r="V80" s="204">
        <f t="shared" ca="1" si="160"/>
        <v>0</v>
      </c>
      <c r="W80" s="204">
        <f t="shared" ca="1" si="160"/>
        <v>0</v>
      </c>
      <c r="X80" s="204">
        <f t="shared" ca="1" si="160"/>
        <v>0</v>
      </c>
      <c r="Y80" s="204">
        <f t="shared" ca="1" si="160"/>
        <v>0</v>
      </c>
      <c r="Z80" s="204">
        <f t="shared" ca="1" si="160"/>
        <v>0</v>
      </c>
      <c r="AA80" s="204">
        <f t="shared" ca="1" si="160"/>
        <v>0</v>
      </c>
      <c r="AB80" s="204">
        <f t="shared" ca="1" si="160"/>
        <v>0</v>
      </c>
      <c r="AC80" s="204">
        <f t="shared" ca="1" si="160"/>
        <v>0</v>
      </c>
      <c r="AD80" s="204">
        <f t="shared" ca="1" si="160"/>
        <v>0</v>
      </c>
      <c r="AE80" s="213">
        <f t="shared" ca="1" si="160"/>
        <v>0</v>
      </c>
    </row>
    <row r="81" spans="1:32" ht="12.75" hidden="1" customHeight="1" x14ac:dyDescent="0.2">
      <c r="D81" s="566"/>
      <c r="E81" s="201">
        <f ca="1">IF(ISERROR(E80),IF(1+COUNTIF($L$13:OFFSET(L80,-1,0),1)&lt;=MAX(QCI!$D$13:$D$24),1+COUNTIF($L$13:OFFSET(L80,-1,0),1),-1),0)</f>
        <v>9</v>
      </c>
      <c r="F81" s="201" t="str">
        <f t="shared" ref="F81" ca="1" si="161">IF(AND($E81&lt;&gt;-1,$R80&gt;0),"F","")</f>
        <v/>
      </c>
      <c r="G81" s="214" t="str">
        <f ca="1">IF(OR(R80=0,R80=""),"vazia",IF(AND(OR(ACOMPANHAMENTO="PLE",$Q80&lt;&gt;2),$E81=0),"calculada","--&gt;"))</f>
        <v>vazia</v>
      </c>
      <c r="H81" s="215"/>
      <c r="I81" s="216" t="str">
        <f t="shared" ref="I81" ca="1" si="162">IF(AND(G80&lt;&gt;0,ISNUMBER(G80)),"PREENCHA ESTA LINHA --&gt;","")</f>
        <v/>
      </c>
      <c r="J81" s="216"/>
      <c r="K81" s="216"/>
      <c r="L81" s="217"/>
      <c r="M81" s="217"/>
      <c r="N81" s="217"/>
      <c r="O81" s="217"/>
      <c r="P81" s="217"/>
      <c r="Q81" s="217"/>
      <c r="R81" s="218"/>
      <c r="S81" s="219"/>
      <c r="T81" s="567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8"/>
      <c r="AF81" s="530"/>
    </row>
    <row r="82" spans="1:32" ht="0.2" hidden="1" customHeight="1" x14ac:dyDescent="0.2">
      <c r="D82" s="220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$120,"="&amp;CRONO!D$12,CÁLCULO!$AB$15:$AL$120)/(ORÇAMENTO!$X$15-CÁLCULO.TotalAdmLocal)*CRONO!$E82,0),D81*$R80),SUMIF(OFFSET($R82,1,0,$Q80-2),($L80+1)&amp;"$",OFFSET(D82,1,0,$Q80-2)))</f>
        <v>0</v>
      </c>
      <c r="E82" s="201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21"/>
      <c r="R82" s="222" t="str">
        <f t="shared" ref="R82" ca="1" si="163">L80&amp;"$"</f>
        <v>1$</v>
      </c>
      <c r="S82" s="223"/>
      <c r="T82" s="224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$120,"&lt;="&amp;CRONO!T$12,CÁLCULO!$AB$15:$AL$120)/(ORÇAMENTO!$X$15-CÁLCULO.TotalAdmLocal)*CRONO!$E82,0),T81*$R80),SUMIF(OFFSET($R82,1,0,$Q80-2),($L80+1)&amp;"$",OFFSET(T82,1,0,$Q80-2)))</f>
        <v>0</v>
      </c>
      <c r="U82" s="220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$120,"="&amp;CRONO!U$12,CÁLCULO!$AB$15:$AL$120)/(ORÇAMENTO!$X$15-CÁLCULO.TotalAdmLocal)*CRONO!$E82,0),U81*$R80),SUMIF(OFFSET($R82,1,0,$Q80-2),($L80+1)&amp;"$",OFFSET(U82,1,0,$Q80-2)))</f>
        <v>0</v>
      </c>
      <c r="V82" s="220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$120,"="&amp;CRONO!V$12,CÁLCULO!$AB$15:$AL$120)/(ORÇAMENTO!$X$15-CÁLCULO.TotalAdmLocal)*CRONO!$E82,0),V81*$R80),SUMIF(OFFSET($R82,1,0,$Q80-2),($L80+1)&amp;"$",OFFSET(V82,1,0,$Q80-2)))</f>
        <v>0</v>
      </c>
      <c r="W82" s="220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$120,"="&amp;CRONO!W$12,CÁLCULO!$AB$15:$AL$120)/(ORÇAMENTO!$X$15-CÁLCULO.TotalAdmLocal)*CRONO!$E82,0),W81*$R80),SUMIF(OFFSET($R82,1,0,$Q80-2),($L80+1)&amp;"$",OFFSET(W82,1,0,$Q80-2)))</f>
        <v>0</v>
      </c>
      <c r="X82" s="220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$120,"="&amp;CRONO!X$12,CÁLCULO!$AB$15:$AL$120)/(ORÇAMENTO!$X$15-CÁLCULO.TotalAdmLocal)*CRONO!$E82,0),X81*$R80),SUMIF(OFFSET($R82,1,0,$Q80-2),($L80+1)&amp;"$",OFFSET(X82,1,0,$Q80-2)))</f>
        <v>0</v>
      </c>
      <c r="Y82" s="220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$120,"="&amp;CRONO!Y$12,CÁLCULO!$AB$15:$AL$120)/(ORÇAMENTO!$X$15-CÁLCULO.TotalAdmLocal)*CRONO!$E82,0),Y81*$R80),SUMIF(OFFSET($R82,1,0,$Q80-2),($L80+1)&amp;"$",OFFSET(Y82,1,0,$Q80-2)))</f>
        <v>0</v>
      </c>
      <c r="Z82" s="220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$120,"="&amp;CRONO!Z$12,CÁLCULO!$AB$15:$AL$120)/(ORÇAMENTO!$X$15-CÁLCULO.TotalAdmLocal)*CRONO!$E82,0),Z81*$R80),SUMIF(OFFSET($R82,1,0,$Q80-2),($L80+1)&amp;"$",OFFSET(Z82,1,0,$Q80-2)))</f>
        <v>0</v>
      </c>
      <c r="AA82" s="220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$120,"="&amp;CRONO!AA$12,CÁLCULO!$AB$15:$AL$120)/(ORÇAMENTO!$X$15-CÁLCULO.TotalAdmLocal)*CRONO!$E82,0),AA81*$R80),SUMIF(OFFSET($R82,1,0,$Q80-2),($L80+1)&amp;"$",OFFSET(AA82,1,0,$Q80-2)))</f>
        <v>0</v>
      </c>
      <c r="AB82" s="220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$120,"="&amp;CRONO!AB$12,CÁLCULO!$AB$15:$AL$120)/(ORÇAMENTO!$X$15-CÁLCULO.TotalAdmLocal)*CRONO!$E82,0),AB81*$R80),SUMIF(OFFSET($R82,1,0,$Q80-2),($L80+1)&amp;"$",OFFSET(AB82,1,0,$Q80-2)))</f>
        <v>0</v>
      </c>
      <c r="AC82" s="220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$120,"="&amp;CRONO!AC$12,CÁLCULO!$AB$15:$AL$120)/(ORÇAMENTO!$X$15-CÁLCULO.TotalAdmLocal)*CRONO!$E82,0),AC81*$R80),SUMIF(OFFSET($R82,1,0,$Q80-2),($L80+1)&amp;"$",OFFSET(AC82,1,0,$Q80-2)))</f>
        <v>0</v>
      </c>
      <c r="AD82" s="220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$120,"="&amp;CRONO!AD$12,CÁLCULO!$AB$15:$AL$120)/(ORÇAMENTO!$X$15-CÁLCULO.TotalAdmLocal)*CRONO!$E82,0),AD81*$R80),SUMIF(OFFSET($R82,1,0,$Q80-2),($L80+1)&amp;"$",OFFSET(AD82,1,0,$Q80-2)))</f>
        <v>0</v>
      </c>
      <c r="AE82" s="225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$120,"="&amp;CRONO!AE$12,CÁLCULO!$AB$15:$AL$120)/(ORÇAMENTO!$X$15-CÁLCULO.TotalAdmLocal)*CRONO!$E82,0),AE81*$R80),SUMIF(OFFSET($R82,1,0,$Q80-2),($L80+1)&amp;"$",OFFSET(AE82,1,0,$Q80-2)))</f>
        <v>0</v>
      </c>
    </row>
    <row r="83" spans="1:32" hidden="1" x14ac:dyDescent="0.2">
      <c r="A83" s="201">
        <f t="shared" ref="A83" ca="1" si="164">OFFSET(A83,-3,0)+1</f>
        <v>24</v>
      </c>
      <c r="B83" s="201">
        <f ca="1">IF($Q83&lt;&gt;2,0,IF($R83=0,1,IF(E84&gt;0,OFFSET(QCI!$M$13,SUBSTITUTE(E84,".",""),0),OFFSET(ORÇAMENTO!$AA$15,CRONO!$E83,0))/$R83))</f>
        <v>1</v>
      </c>
      <c r="C83" s="201">
        <f ca="1">IF($Q83&lt;&gt;2,0,IF($R83=0,1,IF(E84&gt;0,OFFSET(QCI!$N$13,SUBSTITUTE(E84,".",""),0),OFFSET(ORÇAMENTO!$AB$15,CRONO!$E83,0))/$R83))</f>
        <v>1</v>
      </c>
      <c r="D83" s="204">
        <f ca="1">IF(AND($Q83=2,ACOMPANHAMENTO="BM"),D84,D85/$R83)</f>
        <v>0</v>
      </c>
      <c r="E83" s="201" t="e">
        <f ca="1">IF(A83&lt;=ORÇAMENTO.MáximoListaCrono,MATCH(A83,ORÇAMENTO.ListaCrono,0),NA())</f>
        <v>#N/A</v>
      </c>
      <c r="F83" s="201" t="str">
        <f t="shared" ref="F83" ca="1" si="165">IF(AND($E84&lt;&gt;-1,$R83&gt;0),"F","")</f>
        <v/>
      </c>
      <c r="G83" s="205" t="str">
        <f ca="1">IF(OR(R83=0,R83=""),"Linha",IF(AND(OR(ACOMPANHAMENTO="PLE",$Q83&lt;&gt;2),$E84=0),"Linha",1-SUM(T83:AF83)))</f>
        <v>Linha</v>
      </c>
      <c r="H83" s="206">
        <f ca="1">IF($E84=0,OFFSET(ORÇAMENTO!O$15,$E83,0),IF($E84&lt;&gt;-1,OFFSET(QCI!$D$13,$E84,0),""))</f>
        <v>10</v>
      </c>
      <c r="I83" s="207" t="str">
        <f ca="1">IF($E84=0,OFFSET(ORÇAMENTO!R$15,$E83,0),IF($E84&lt;&gt;-1,OFFSET(QCI!$G$13,$E84,0),""))</f>
        <v/>
      </c>
      <c r="J83" s="207"/>
      <c r="K83" s="207"/>
      <c r="L83" s="208">
        <f ca="1">IF($E84=0,OFFSET(ORÇAMENTO!C$15,$E83,0),1)</f>
        <v>1</v>
      </c>
      <c r="M83" s="209">
        <f ca="1">IF($E84=-1,0,IF(M$13&lt;=$L83,IF(ISERROR(MATCH(M$13,OFFSET($L83,1,0,ROW($L$164)-ROW($L83)-1),0)),ROW($L$164)-ROW($L83)-1,MATCH(M$13,OFFSET($L83,1,0,ROW($L$164)-ROW($L83)-1),0)-1),0))</f>
        <v>2</v>
      </c>
      <c r="N83" s="209">
        <f ca="1">IF($E84=-1,0,IF(N$13&lt;=$L83,IF(ISERROR(MATCH(N$13,OFFSET($L83,1,0,ROW($L$164)-ROW($L83)-1),0)),ROW($L$164)-ROW($L83)-1,MATCH(N$13,OFFSET($L83,1,0,ROW($L$164)-ROW($L83)-1),0)-1),0))</f>
        <v>0</v>
      </c>
      <c r="O83" s="209">
        <f ca="1">IF($E84=-1,0,IF(O$13&lt;=$L83,IF(ISERROR(MATCH(O$13,OFFSET($L83,1,0,ROW($L$164)-ROW($L83)-1),0)),ROW($L$164)-ROW($L83)-1,MATCH(O$13,OFFSET($L83,1,0,ROW($L$164)-ROW($L83)-1),0)-1),0))</f>
        <v>0</v>
      </c>
      <c r="P83" s="209">
        <f ca="1">IF($E84=-1,0,IF(P$13&lt;=$L83,IF(ISERROR(MATCH(P$13,OFFSET($L83,1,0,ROW($L$164)-ROW($L83)-1),0)),ROW($L$164)-ROW($L83)-1,MATCH(P$13,OFFSET($L83,1,0,ROW($L$164)-ROW($L83)-1),0)-1),0))</f>
        <v>0</v>
      </c>
      <c r="Q83" s="209">
        <f t="shared" ref="Q83" ca="1" si="166">MIN(OFFSET(L83,0,1,,L83))</f>
        <v>2</v>
      </c>
      <c r="R83" s="210">
        <f ca="1">IF($E84=0,OFFSET(ORÇAMENTO!X$15,$E83,0),IF($E84&lt;&gt;-1,OFFSET(QCI!$O$13,$E84,0),""))</f>
        <v>0</v>
      </c>
      <c r="S83" s="211" t="s">
        <v>270</v>
      </c>
      <c r="T83" s="212">
        <f t="shared" ref="T83:AE83" ca="1" si="167">IF(AND($Q83=2,ACOMPANHAMENTO="BM"),T84,T85/$R83)</f>
        <v>0</v>
      </c>
      <c r="U83" s="204">
        <f t="shared" ca="1" si="167"/>
        <v>0</v>
      </c>
      <c r="V83" s="204">
        <f t="shared" ca="1" si="167"/>
        <v>0</v>
      </c>
      <c r="W83" s="204">
        <f t="shared" ca="1" si="167"/>
        <v>0</v>
      </c>
      <c r="X83" s="204">
        <f t="shared" ca="1" si="167"/>
        <v>0</v>
      </c>
      <c r="Y83" s="204">
        <f t="shared" ca="1" si="167"/>
        <v>0</v>
      </c>
      <c r="Z83" s="204">
        <f t="shared" ca="1" si="167"/>
        <v>0</v>
      </c>
      <c r="AA83" s="204">
        <f t="shared" ca="1" si="167"/>
        <v>0</v>
      </c>
      <c r="AB83" s="204">
        <f t="shared" ca="1" si="167"/>
        <v>0</v>
      </c>
      <c r="AC83" s="204">
        <f t="shared" ca="1" si="167"/>
        <v>0</v>
      </c>
      <c r="AD83" s="204">
        <f t="shared" ca="1" si="167"/>
        <v>0</v>
      </c>
      <c r="AE83" s="213">
        <f t="shared" ca="1" si="167"/>
        <v>0</v>
      </c>
    </row>
    <row r="84" spans="1:32" ht="12.75" hidden="1" customHeight="1" x14ac:dyDescent="0.2">
      <c r="D84" s="566"/>
      <c r="E84" s="201">
        <f ca="1">IF(ISERROR(E83),IF(1+COUNTIF($L$13:OFFSET(L83,-1,0),1)&lt;=MAX(QCI!$D$13:$D$24),1+COUNTIF($L$13:OFFSET(L83,-1,0),1),-1),0)</f>
        <v>10</v>
      </c>
      <c r="F84" s="201" t="str">
        <f t="shared" ref="F84" ca="1" si="168">IF(AND($E84&lt;&gt;-1,$R83&gt;0),"F","")</f>
        <v/>
      </c>
      <c r="G84" s="214" t="str">
        <f ca="1">IF(OR(R83=0,R83=""),"vazia",IF(AND(OR(ACOMPANHAMENTO="PLE",$Q83&lt;&gt;2),$E84=0),"calculada","--&gt;"))</f>
        <v>vazia</v>
      </c>
      <c r="H84" s="215"/>
      <c r="I84" s="216" t="str">
        <f t="shared" ref="I84" ca="1" si="169">IF(AND(G83&lt;&gt;0,ISNUMBER(G83)),"PREENCHA ESTA LINHA --&gt;","")</f>
        <v/>
      </c>
      <c r="J84" s="216"/>
      <c r="K84" s="216"/>
      <c r="L84" s="217"/>
      <c r="M84" s="217"/>
      <c r="N84" s="217"/>
      <c r="O84" s="217"/>
      <c r="P84" s="217"/>
      <c r="Q84" s="217"/>
      <c r="R84" s="218"/>
      <c r="S84" s="219"/>
      <c r="T84" s="567"/>
      <c r="U84" s="566"/>
      <c r="V84" s="566"/>
      <c r="W84" s="566"/>
      <c r="X84" s="566"/>
      <c r="Y84" s="566"/>
      <c r="Z84" s="566"/>
      <c r="AA84" s="566"/>
      <c r="AB84" s="566"/>
      <c r="AC84" s="566"/>
      <c r="AD84" s="566"/>
      <c r="AE84" s="568"/>
      <c r="AF84" s="530"/>
    </row>
    <row r="85" spans="1:32" ht="0.2" hidden="1" customHeight="1" x14ac:dyDescent="0.2">
      <c r="D85" s="220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$120,"="&amp;CRONO!D$12,CÁLCULO!$AB$15:$AL$120)/(ORÇAMENTO!$X$15-CÁLCULO.TotalAdmLocal)*CRONO!$E85,0),D84*$R83),SUMIF(OFFSET($R85,1,0,$Q83-2),($L83+1)&amp;"$",OFFSET(D85,1,0,$Q83-2)))</f>
        <v>0</v>
      </c>
      <c r="E85" s="201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21"/>
      <c r="R85" s="222" t="str">
        <f t="shared" ref="R85" ca="1" si="170">L83&amp;"$"</f>
        <v>1$</v>
      </c>
      <c r="S85" s="223"/>
      <c r="T85" s="224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$120,"&lt;="&amp;CRONO!T$12,CÁLCULO!$AB$15:$AL$120)/(ORÇAMENTO!$X$15-CÁLCULO.TotalAdmLocal)*CRONO!$E85,0),T84*$R83),SUMIF(OFFSET($R85,1,0,$Q83-2),($L83+1)&amp;"$",OFFSET(T85,1,0,$Q83-2)))</f>
        <v>0</v>
      </c>
      <c r="U85" s="220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$120,"="&amp;CRONO!U$12,CÁLCULO!$AB$15:$AL$120)/(ORÇAMENTO!$X$15-CÁLCULO.TotalAdmLocal)*CRONO!$E85,0),U84*$R83),SUMIF(OFFSET($R85,1,0,$Q83-2),($L83+1)&amp;"$",OFFSET(U85,1,0,$Q83-2)))</f>
        <v>0</v>
      </c>
      <c r="V85" s="220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$120,"="&amp;CRONO!V$12,CÁLCULO!$AB$15:$AL$120)/(ORÇAMENTO!$X$15-CÁLCULO.TotalAdmLocal)*CRONO!$E85,0),V84*$R83),SUMIF(OFFSET($R85,1,0,$Q83-2),($L83+1)&amp;"$",OFFSET(V85,1,0,$Q83-2)))</f>
        <v>0</v>
      </c>
      <c r="W85" s="220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$120,"="&amp;CRONO!W$12,CÁLCULO!$AB$15:$AL$120)/(ORÇAMENTO!$X$15-CÁLCULO.TotalAdmLocal)*CRONO!$E85,0),W84*$R83),SUMIF(OFFSET($R85,1,0,$Q83-2),($L83+1)&amp;"$",OFFSET(W85,1,0,$Q83-2)))</f>
        <v>0</v>
      </c>
      <c r="X85" s="220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$120,"="&amp;CRONO!X$12,CÁLCULO!$AB$15:$AL$120)/(ORÇAMENTO!$X$15-CÁLCULO.TotalAdmLocal)*CRONO!$E85,0),X84*$R83),SUMIF(OFFSET($R85,1,0,$Q83-2),($L83+1)&amp;"$",OFFSET(X85,1,0,$Q83-2)))</f>
        <v>0</v>
      </c>
      <c r="Y85" s="220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$120,"="&amp;CRONO!Y$12,CÁLCULO!$AB$15:$AL$120)/(ORÇAMENTO!$X$15-CÁLCULO.TotalAdmLocal)*CRONO!$E85,0),Y84*$R83),SUMIF(OFFSET($R85,1,0,$Q83-2),($L83+1)&amp;"$",OFFSET(Y85,1,0,$Q83-2)))</f>
        <v>0</v>
      </c>
      <c r="Z85" s="220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$120,"="&amp;CRONO!Z$12,CÁLCULO!$AB$15:$AL$120)/(ORÇAMENTO!$X$15-CÁLCULO.TotalAdmLocal)*CRONO!$E85,0),Z84*$R83),SUMIF(OFFSET($R85,1,0,$Q83-2),($L83+1)&amp;"$",OFFSET(Z85,1,0,$Q83-2)))</f>
        <v>0</v>
      </c>
      <c r="AA85" s="220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$120,"="&amp;CRONO!AA$12,CÁLCULO!$AB$15:$AL$120)/(ORÇAMENTO!$X$15-CÁLCULO.TotalAdmLocal)*CRONO!$E85,0),AA84*$R83),SUMIF(OFFSET($R85,1,0,$Q83-2),($L83+1)&amp;"$",OFFSET(AA85,1,0,$Q83-2)))</f>
        <v>0</v>
      </c>
      <c r="AB85" s="220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$120,"="&amp;CRONO!AB$12,CÁLCULO!$AB$15:$AL$120)/(ORÇAMENTO!$X$15-CÁLCULO.TotalAdmLocal)*CRONO!$E85,0),AB84*$R83),SUMIF(OFFSET($R85,1,0,$Q83-2),($L83+1)&amp;"$",OFFSET(AB85,1,0,$Q83-2)))</f>
        <v>0</v>
      </c>
      <c r="AC85" s="220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$120,"="&amp;CRONO!AC$12,CÁLCULO!$AB$15:$AL$120)/(ORÇAMENTO!$X$15-CÁLCULO.TotalAdmLocal)*CRONO!$E85,0),AC84*$R83),SUMIF(OFFSET($R85,1,0,$Q83-2),($L83+1)&amp;"$",OFFSET(AC85,1,0,$Q83-2)))</f>
        <v>0</v>
      </c>
      <c r="AD85" s="220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$120,"="&amp;CRONO!AD$12,CÁLCULO!$AB$15:$AL$120)/(ORÇAMENTO!$X$15-CÁLCULO.TotalAdmLocal)*CRONO!$E85,0),AD84*$R83),SUMIF(OFFSET($R85,1,0,$Q83-2),($L83+1)&amp;"$",OFFSET(AD85,1,0,$Q83-2)))</f>
        <v>0</v>
      </c>
      <c r="AE85" s="225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$120,"="&amp;CRONO!AE$12,CÁLCULO!$AB$15:$AL$120)/(ORÇAMENTO!$X$15-CÁLCULO.TotalAdmLocal)*CRONO!$E85,0),AE84*$R83),SUMIF(OFFSET($R85,1,0,$Q83-2),($L83+1)&amp;"$",OFFSET(AE85,1,0,$Q83-2)))</f>
        <v>0</v>
      </c>
    </row>
    <row r="86" spans="1:32" hidden="1" x14ac:dyDescent="0.2">
      <c r="A86" s="201">
        <f t="shared" ref="A86" ca="1" si="171">OFFSET(A86,-3,0)+1</f>
        <v>25</v>
      </c>
      <c r="B86" s="201">
        <f ca="1">IF($Q86&lt;&gt;2,0,IF($R86=0,1,IF(E87&gt;0,OFFSET(QCI!$M$13,SUBSTITUTE(E87,".",""),0),OFFSET(ORÇAMENTO!$AA$15,CRONO!$E86,0))/$R86))</f>
        <v>0</v>
      </c>
      <c r="C86" s="201">
        <f ca="1">IF($Q86&lt;&gt;2,0,IF($R86=0,1,IF(E87&gt;0,OFFSET(QCI!$N$13,SUBSTITUTE(E87,".",""),0),OFFSET(ORÇAMENTO!$AB$15,CRONO!$E86,0))/$R86))</f>
        <v>0</v>
      </c>
      <c r="D86" s="204" t="e">
        <f ca="1">IF(AND($Q86=2,ACOMPANHAMENTO="BM"),D87,D88/$R86)</f>
        <v>#VALUE!</v>
      </c>
      <c r="E86" s="201" t="e">
        <f ca="1">IF(A86&lt;=ORÇAMENTO.MáximoListaCrono,MATCH(A86,ORÇAMENTO.ListaCrono,0),NA())</f>
        <v>#N/A</v>
      </c>
      <c r="F86" s="201" t="str">
        <f t="shared" ref="F86" ca="1" si="172">IF(AND($E87&lt;&gt;-1,$R86&gt;0),"F","")</f>
        <v/>
      </c>
      <c r="G86" s="205" t="str">
        <f ca="1">IF(OR(R86=0,R86=""),"Linha",IF(AND(OR(ACOMPANHAMENTO="PLE",$Q86&lt;&gt;2),$E87=0),"Linha",1-SUM(T86:AF86)))</f>
        <v>Linha</v>
      </c>
      <c r="H86" s="206" t="str">
        <f ca="1">IF($E87=0,OFFSET(ORÇAMENTO!O$15,$E86,0),IF($E87&lt;&gt;-1,OFFSET(QCI!$D$13,$E87,0),""))</f>
        <v/>
      </c>
      <c r="I86" s="207" t="str">
        <f ca="1">IF($E87=0,OFFSET(ORÇAMENTO!R$15,$E86,0),IF($E87&lt;&gt;-1,OFFSET(QCI!$G$13,$E87,0),""))</f>
        <v/>
      </c>
      <c r="J86" s="207"/>
      <c r="K86" s="207"/>
      <c r="L86" s="208">
        <f ca="1">IF($E87=0,OFFSET(ORÇAMENTO!C$15,$E86,0),1)</f>
        <v>1</v>
      </c>
      <c r="M86" s="209">
        <f ca="1">IF($E87=-1,0,IF(M$13&lt;=$L86,IF(ISERROR(MATCH(M$13,OFFSET($L86,1,0,ROW($L$164)-ROW($L86)-1),0)),ROW($L$164)-ROW($L86)-1,MATCH(M$13,OFFSET($L86,1,0,ROW($L$164)-ROW($L86)-1),0)-1),0))</f>
        <v>0</v>
      </c>
      <c r="N86" s="209">
        <f ca="1">IF($E87=-1,0,IF(N$13&lt;=$L86,IF(ISERROR(MATCH(N$13,OFFSET($L86,1,0,ROW($L$164)-ROW($L86)-1),0)),ROW($L$164)-ROW($L86)-1,MATCH(N$13,OFFSET($L86,1,0,ROW($L$164)-ROW($L86)-1),0)-1),0))</f>
        <v>0</v>
      </c>
      <c r="O86" s="209">
        <f ca="1">IF($E87=-1,0,IF(O$13&lt;=$L86,IF(ISERROR(MATCH(O$13,OFFSET($L86,1,0,ROW($L$164)-ROW($L86)-1),0)),ROW($L$164)-ROW($L86)-1,MATCH(O$13,OFFSET($L86,1,0,ROW($L$164)-ROW($L86)-1),0)-1),0))</f>
        <v>0</v>
      </c>
      <c r="P86" s="209">
        <f ca="1">IF($E87=-1,0,IF(P$13&lt;=$L86,IF(ISERROR(MATCH(P$13,OFFSET($L86,1,0,ROW($L$164)-ROW($L86)-1),0)),ROW($L$164)-ROW($L86)-1,MATCH(P$13,OFFSET($L86,1,0,ROW($L$164)-ROW($L86)-1),0)-1),0))</f>
        <v>0</v>
      </c>
      <c r="Q86" s="209">
        <f t="shared" ref="Q86" ca="1" si="173">MIN(OFFSET(L86,0,1,,L86))</f>
        <v>0</v>
      </c>
      <c r="R86" s="210" t="str">
        <f ca="1">IF($E87=0,OFFSET(ORÇAMENTO!X$15,$E86,0),IF($E87&lt;&gt;-1,OFFSET(QCI!$O$13,$E87,0),""))</f>
        <v/>
      </c>
      <c r="S86" s="211" t="s">
        <v>270</v>
      </c>
      <c r="T86" s="212" t="e">
        <f t="shared" ref="T86:AE86" ca="1" si="174">IF(AND($Q86=2,ACOMPANHAMENTO="BM"),T87,T88/$R86)</f>
        <v>#VALUE!</v>
      </c>
      <c r="U86" s="204" t="e">
        <f t="shared" ca="1" si="174"/>
        <v>#VALUE!</v>
      </c>
      <c r="V86" s="204" t="e">
        <f t="shared" ca="1" si="174"/>
        <v>#VALUE!</v>
      </c>
      <c r="W86" s="204" t="e">
        <f t="shared" ca="1" si="174"/>
        <v>#VALUE!</v>
      </c>
      <c r="X86" s="204" t="e">
        <f t="shared" ca="1" si="174"/>
        <v>#VALUE!</v>
      </c>
      <c r="Y86" s="204" t="e">
        <f t="shared" ca="1" si="174"/>
        <v>#VALUE!</v>
      </c>
      <c r="Z86" s="204" t="e">
        <f t="shared" ca="1" si="174"/>
        <v>#VALUE!</v>
      </c>
      <c r="AA86" s="204" t="e">
        <f t="shared" ca="1" si="174"/>
        <v>#VALUE!</v>
      </c>
      <c r="AB86" s="204" t="e">
        <f t="shared" ca="1" si="174"/>
        <v>#VALUE!</v>
      </c>
      <c r="AC86" s="204" t="e">
        <f t="shared" ca="1" si="174"/>
        <v>#VALUE!</v>
      </c>
      <c r="AD86" s="204" t="e">
        <f t="shared" ca="1" si="174"/>
        <v>#VALUE!</v>
      </c>
      <c r="AE86" s="213" t="e">
        <f t="shared" ca="1" si="174"/>
        <v>#VALUE!</v>
      </c>
    </row>
    <row r="87" spans="1:32" ht="12.75" hidden="1" customHeight="1" x14ac:dyDescent="0.2">
      <c r="D87" s="566"/>
      <c r="E87" s="201">
        <f ca="1">IF(ISERROR(E86),IF(1+COUNTIF($L$13:OFFSET(L86,-1,0),1)&lt;=MAX(QCI!$D$13:$D$24),1+COUNTIF($L$13:OFFSET(L86,-1,0),1),-1),0)</f>
        <v>-1</v>
      </c>
      <c r="F87" s="201" t="str">
        <f t="shared" ref="F87" ca="1" si="175">IF(AND($E87&lt;&gt;-1,$R86&gt;0),"F","")</f>
        <v/>
      </c>
      <c r="G87" s="214" t="str">
        <f ca="1">IF(OR(R86=0,R86=""),"vazia",IF(AND(OR(ACOMPANHAMENTO="PLE",$Q86&lt;&gt;2),$E87=0),"calculada","--&gt;"))</f>
        <v>vazia</v>
      </c>
      <c r="H87" s="215"/>
      <c r="I87" s="216" t="str">
        <f t="shared" ref="I87" ca="1" si="176">IF(AND(G86&lt;&gt;0,ISNUMBER(G86)),"PREENCHA ESTA LINHA --&gt;","")</f>
        <v/>
      </c>
      <c r="J87" s="216"/>
      <c r="K87" s="216"/>
      <c r="L87" s="217"/>
      <c r="M87" s="217"/>
      <c r="N87" s="217"/>
      <c r="O87" s="217"/>
      <c r="P87" s="217"/>
      <c r="Q87" s="217"/>
      <c r="R87" s="218"/>
      <c r="S87" s="219"/>
      <c r="T87" s="567"/>
      <c r="U87" s="566"/>
      <c r="V87" s="566"/>
      <c r="W87" s="566"/>
      <c r="X87" s="566"/>
      <c r="Y87" s="566"/>
      <c r="Z87" s="566"/>
      <c r="AA87" s="566"/>
      <c r="AB87" s="566"/>
      <c r="AC87" s="566"/>
      <c r="AD87" s="566"/>
      <c r="AE87" s="568"/>
      <c r="AF87" s="530"/>
    </row>
    <row r="88" spans="1:32" ht="0.2" hidden="1" customHeight="1" x14ac:dyDescent="0.2">
      <c r="D88" s="220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$120,"="&amp;CRONO!D$12,CÁLCULO!$AB$15:$AL$120)/(ORÇAMENTO!$X$15-CÁLCULO.TotalAdmLocal)*CRONO!$E88,0),D87*$R86),SUMIF(OFFSET($R88,1,0,$Q86-2),($L86+1)&amp;"$",OFFSET(D88,1,0,$Q86-2)))</f>
        <v>0</v>
      </c>
      <c r="E88" s="201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21"/>
      <c r="R88" s="222" t="str">
        <f t="shared" ref="R88" ca="1" si="177">L86&amp;"$"</f>
        <v>1$</v>
      </c>
      <c r="S88" s="223"/>
      <c r="T88" s="224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$120,"&lt;="&amp;CRONO!T$12,CÁLCULO!$AB$15:$AL$120)/(ORÇAMENTO!$X$15-CÁLCULO.TotalAdmLocal)*CRONO!$E88,0),T87*$R86),SUMIF(OFFSET($R88,1,0,$Q86-2),($L86+1)&amp;"$",OFFSET(T88,1,0,$Q86-2)))</f>
        <v>0</v>
      </c>
      <c r="U88" s="220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$120,"="&amp;CRONO!U$12,CÁLCULO!$AB$15:$AL$120)/(ORÇAMENTO!$X$15-CÁLCULO.TotalAdmLocal)*CRONO!$E88,0),U87*$R86),SUMIF(OFFSET($R88,1,0,$Q86-2),($L86+1)&amp;"$",OFFSET(U88,1,0,$Q86-2)))</f>
        <v>0</v>
      </c>
      <c r="V88" s="220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$120,"="&amp;CRONO!V$12,CÁLCULO!$AB$15:$AL$120)/(ORÇAMENTO!$X$15-CÁLCULO.TotalAdmLocal)*CRONO!$E88,0),V87*$R86),SUMIF(OFFSET($R88,1,0,$Q86-2),($L86+1)&amp;"$",OFFSET(V88,1,0,$Q86-2)))</f>
        <v>0</v>
      </c>
      <c r="W88" s="220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$120,"="&amp;CRONO!W$12,CÁLCULO!$AB$15:$AL$120)/(ORÇAMENTO!$X$15-CÁLCULO.TotalAdmLocal)*CRONO!$E88,0),W87*$R86),SUMIF(OFFSET($R88,1,0,$Q86-2),($L86+1)&amp;"$",OFFSET(W88,1,0,$Q86-2)))</f>
        <v>0</v>
      </c>
      <c r="X88" s="220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$120,"="&amp;CRONO!X$12,CÁLCULO!$AB$15:$AL$120)/(ORÇAMENTO!$X$15-CÁLCULO.TotalAdmLocal)*CRONO!$E88,0),X87*$R86),SUMIF(OFFSET($R88,1,0,$Q86-2),($L86+1)&amp;"$",OFFSET(X88,1,0,$Q86-2)))</f>
        <v>0</v>
      </c>
      <c r="Y88" s="220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$120,"="&amp;CRONO!Y$12,CÁLCULO!$AB$15:$AL$120)/(ORÇAMENTO!$X$15-CÁLCULO.TotalAdmLocal)*CRONO!$E88,0),Y87*$R86),SUMIF(OFFSET($R88,1,0,$Q86-2),($L86+1)&amp;"$",OFFSET(Y88,1,0,$Q86-2)))</f>
        <v>0</v>
      </c>
      <c r="Z88" s="220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$120,"="&amp;CRONO!Z$12,CÁLCULO!$AB$15:$AL$120)/(ORÇAMENTO!$X$15-CÁLCULO.TotalAdmLocal)*CRONO!$E88,0),Z87*$R86),SUMIF(OFFSET($R88,1,0,$Q86-2),($L86+1)&amp;"$",OFFSET(Z88,1,0,$Q86-2)))</f>
        <v>0</v>
      </c>
      <c r="AA88" s="220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$120,"="&amp;CRONO!AA$12,CÁLCULO!$AB$15:$AL$120)/(ORÇAMENTO!$X$15-CÁLCULO.TotalAdmLocal)*CRONO!$E88,0),AA87*$R86),SUMIF(OFFSET($R88,1,0,$Q86-2),($L86+1)&amp;"$",OFFSET(AA88,1,0,$Q86-2)))</f>
        <v>0</v>
      </c>
      <c r="AB88" s="220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$120,"="&amp;CRONO!AB$12,CÁLCULO!$AB$15:$AL$120)/(ORÇAMENTO!$X$15-CÁLCULO.TotalAdmLocal)*CRONO!$E88,0),AB87*$R86),SUMIF(OFFSET($R88,1,0,$Q86-2),($L86+1)&amp;"$",OFFSET(AB88,1,0,$Q86-2)))</f>
        <v>0</v>
      </c>
      <c r="AC88" s="220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$120,"="&amp;CRONO!AC$12,CÁLCULO!$AB$15:$AL$120)/(ORÇAMENTO!$X$15-CÁLCULO.TotalAdmLocal)*CRONO!$E88,0),AC87*$R86),SUMIF(OFFSET($R88,1,0,$Q86-2),($L86+1)&amp;"$",OFFSET(AC88,1,0,$Q86-2)))</f>
        <v>0</v>
      </c>
      <c r="AD88" s="220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$120,"="&amp;CRONO!AD$12,CÁLCULO!$AB$15:$AL$120)/(ORÇAMENTO!$X$15-CÁLCULO.TotalAdmLocal)*CRONO!$E88,0),AD87*$R86),SUMIF(OFFSET($R88,1,0,$Q86-2),($L86+1)&amp;"$",OFFSET(AD88,1,0,$Q86-2)))</f>
        <v>0</v>
      </c>
      <c r="AE88" s="225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$120,"="&amp;CRONO!AE$12,CÁLCULO!$AB$15:$AL$120)/(ORÇAMENTO!$X$15-CÁLCULO.TotalAdmLocal)*CRONO!$E88,0),AE87*$R86),SUMIF(OFFSET($R88,1,0,$Q86-2),($L86+1)&amp;"$",OFFSET(AE88,1,0,$Q86-2)))</f>
        <v>0</v>
      </c>
    </row>
    <row r="89" spans="1:32" hidden="1" x14ac:dyDescent="0.2">
      <c r="A89" s="201">
        <f t="shared" ref="A89" ca="1" si="178">OFFSET(A89,-3,0)+1</f>
        <v>26</v>
      </c>
      <c r="B89" s="201">
        <f ca="1">IF($Q89&lt;&gt;2,0,IF($R89=0,1,IF(E90&gt;0,OFFSET(QCI!$M$13,SUBSTITUTE(E90,".",""),0),OFFSET(ORÇAMENTO!$AA$15,CRONO!$E89,0))/$R89))</f>
        <v>0</v>
      </c>
      <c r="C89" s="201">
        <f ca="1">IF($Q89&lt;&gt;2,0,IF($R89=0,1,IF(E90&gt;0,OFFSET(QCI!$N$13,SUBSTITUTE(E90,".",""),0),OFFSET(ORÇAMENTO!$AB$15,CRONO!$E89,0))/$R89))</f>
        <v>0</v>
      </c>
      <c r="D89" s="204" t="e">
        <f ca="1">IF(AND($Q89=2,ACOMPANHAMENTO="BM"),D90,D91/$R89)</f>
        <v>#VALUE!</v>
      </c>
      <c r="E89" s="201" t="e">
        <f ca="1">IF(A89&lt;=ORÇAMENTO.MáximoListaCrono,MATCH(A89,ORÇAMENTO.ListaCrono,0),NA())</f>
        <v>#N/A</v>
      </c>
      <c r="F89" s="201" t="str">
        <f t="shared" ref="F89" ca="1" si="179">IF(AND($E90&lt;&gt;-1,$R89&gt;0),"F","")</f>
        <v/>
      </c>
      <c r="G89" s="205" t="str">
        <f ca="1">IF(OR(R89=0,R89=""),"Linha",IF(AND(OR(ACOMPANHAMENTO="PLE",$Q89&lt;&gt;2),$E90=0),"Linha",1-SUM(T89:AF89)))</f>
        <v>Linha</v>
      </c>
      <c r="H89" s="206" t="str">
        <f ca="1">IF($E90=0,OFFSET(ORÇAMENTO!O$15,$E89,0),IF($E90&lt;&gt;-1,OFFSET(QCI!$D$13,$E90,0),""))</f>
        <v/>
      </c>
      <c r="I89" s="207" t="str">
        <f ca="1">IF($E90=0,OFFSET(ORÇAMENTO!R$15,$E89,0),IF($E90&lt;&gt;-1,OFFSET(QCI!$G$13,$E90,0),""))</f>
        <v/>
      </c>
      <c r="J89" s="207"/>
      <c r="K89" s="207"/>
      <c r="L89" s="208">
        <f ca="1">IF($E90=0,OFFSET(ORÇAMENTO!C$15,$E89,0),1)</f>
        <v>1</v>
      </c>
      <c r="M89" s="209">
        <f ca="1">IF($E90=-1,0,IF(M$13&lt;=$L89,IF(ISERROR(MATCH(M$13,OFFSET($L89,1,0,ROW($L$164)-ROW($L89)-1),0)),ROW($L$164)-ROW($L89)-1,MATCH(M$13,OFFSET($L89,1,0,ROW($L$164)-ROW($L89)-1),0)-1),0))</f>
        <v>0</v>
      </c>
      <c r="N89" s="209">
        <f ca="1">IF($E90=-1,0,IF(N$13&lt;=$L89,IF(ISERROR(MATCH(N$13,OFFSET($L89,1,0,ROW($L$164)-ROW($L89)-1),0)),ROW($L$164)-ROW($L89)-1,MATCH(N$13,OFFSET($L89,1,0,ROW($L$164)-ROW($L89)-1),0)-1),0))</f>
        <v>0</v>
      </c>
      <c r="O89" s="209">
        <f ca="1">IF($E90=-1,0,IF(O$13&lt;=$L89,IF(ISERROR(MATCH(O$13,OFFSET($L89,1,0,ROW($L$164)-ROW($L89)-1),0)),ROW($L$164)-ROW($L89)-1,MATCH(O$13,OFFSET($L89,1,0,ROW($L$164)-ROW($L89)-1),0)-1),0))</f>
        <v>0</v>
      </c>
      <c r="P89" s="209">
        <f ca="1">IF($E90=-1,0,IF(P$13&lt;=$L89,IF(ISERROR(MATCH(P$13,OFFSET($L89,1,0,ROW($L$164)-ROW($L89)-1),0)),ROW($L$164)-ROW($L89)-1,MATCH(P$13,OFFSET($L89,1,0,ROW($L$164)-ROW($L89)-1),0)-1),0))</f>
        <v>0</v>
      </c>
      <c r="Q89" s="209">
        <f t="shared" ref="Q89" ca="1" si="180">MIN(OFFSET(L89,0,1,,L89))</f>
        <v>0</v>
      </c>
      <c r="R89" s="210" t="str">
        <f ca="1">IF($E90=0,OFFSET(ORÇAMENTO!X$15,$E89,0),IF($E90&lt;&gt;-1,OFFSET(QCI!$O$13,$E90,0),""))</f>
        <v/>
      </c>
      <c r="S89" s="211" t="s">
        <v>270</v>
      </c>
      <c r="T89" s="212" t="e">
        <f t="shared" ref="T89:AE89" ca="1" si="181">IF(AND($Q89=2,ACOMPANHAMENTO="BM"),T90,T91/$R89)</f>
        <v>#VALUE!</v>
      </c>
      <c r="U89" s="204" t="e">
        <f t="shared" ca="1" si="181"/>
        <v>#VALUE!</v>
      </c>
      <c r="V89" s="204" t="e">
        <f t="shared" ca="1" si="181"/>
        <v>#VALUE!</v>
      </c>
      <c r="W89" s="204" t="e">
        <f t="shared" ca="1" si="181"/>
        <v>#VALUE!</v>
      </c>
      <c r="X89" s="204" t="e">
        <f t="shared" ca="1" si="181"/>
        <v>#VALUE!</v>
      </c>
      <c r="Y89" s="204" t="e">
        <f t="shared" ca="1" si="181"/>
        <v>#VALUE!</v>
      </c>
      <c r="Z89" s="204" t="e">
        <f t="shared" ca="1" si="181"/>
        <v>#VALUE!</v>
      </c>
      <c r="AA89" s="204" t="e">
        <f t="shared" ca="1" si="181"/>
        <v>#VALUE!</v>
      </c>
      <c r="AB89" s="204" t="e">
        <f t="shared" ca="1" si="181"/>
        <v>#VALUE!</v>
      </c>
      <c r="AC89" s="204" t="e">
        <f t="shared" ca="1" si="181"/>
        <v>#VALUE!</v>
      </c>
      <c r="AD89" s="204" t="e">
        <f t="shared" ca="1" si="181"/>
        <v>#VALUE!</v>
      </c>
      <c r="AE89" s="213" t="e">
        <f t="shared" ca="1" si="181"/>
        <v>#VALUE!</v>
      </c>
    </row>
    <row r="90" spans="1:32" ht="12.75" hidden="1" customHeight="1" x14ac:dyDescent="0.2">
      <c r="D90" s="566"/>
      <c r="E90" s="201">
        <f ca="1">IF(ISERROR(E89),IF(1+COUNTIF($L$13:OFFSET(L89,-1,0),1)&lt;=MAX(QCI!$D$13:$D$24),1+COUNTIF($L$13:OFFSET(L89,-1,0),1),-1),0)</f>
        <v>-1</v>
      </c>
      <c r="F90" s="201" t="str">
        <f t="shared" ref="F90" ca="1" si="182">IF(AND($E90&lt;&gt;-1,$R89&gt;0),"F","")</f>
        <v/>
      </c>
      <c r="G90" s="214" t="str">
        <f ca="1">IF(OR(R89=0,R89=""),"vazia",IF(AND(OR(ACOMPANHAMENTO="PLE",$Q89&lt;&gt;2),$E90=0),"calculada","--&gt;"))</f>
        <v>vazia</v>
      </c>
      <c r="H90" s="215"/>
      <c r="I90" s="216" t="str">
        <f t="shared" ref="I90" ca="1" si="183">IF(AND(G89&lt;&gt;0,ISNUMBER(G89)),"PREENCHA ESTA LINHA --&gt;","")</f>
        <v/>
      </c>
      <c r="J90" s="216"/>
      <c r="K90" s="216"/>
      <c r="L90" s="217"/>
      <c r="M90" s="217"/>
      <c r="N90" s="217"/>
      <c r="O90" s="217"/>
      <c r="P90" s="217"/>
      <c r="Q90" s="217"/>
      <c r="R90" s="218"/>
      <c r="S90" s="219"/>
      <c r="T90" s="567"/>
      <c r="U90" s="566"/>
      <c r="V90" s="566"/>
      <c r="W90" s="566"/>
      <c r="X90" s="566"/>
      <c r="Y90" s="566"/>
      <c r="Z90" s="566"/>
      <c r="AA90" s="566"/>
      <c r="AB90" s="566"/>
      <c r="AC90" s="566"/>
      <c r="AD90" s="566"/>
      <c r="AE90" s="568"/>
      <c r="AF90" s="530"/>
    </row>
    <row r="91" spans="1:32" ht="0.2" hidden="1" customHeight="1" x14ac:dyDescent="0.2">
      <c r="D91" s="220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$120,"="&amp;CRONO!D$12,CÁLCULO!$AB$15:$AL$120)/(ORÇAMENTO!$X$15-CÁLCULO.TotalAdmLocal)*CRONO!$E91,0),D90*$R89),SUMIF(OFFSET($R91,1,0,$Q89-2),($L89+1)&amp;"$",OFFSET(D91,1,0,$Q89-2)))</f>
        <v>0</v>
      </c>
      <c r="E91" s="201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21"/>
      <c r="R91" s="222" t="str">
        <f t="shared" ref="R91" ca="1" si="184">L89&amp;"$"</f>
        <v>1$</v>
      </c>
      <c r="S91" s="223"/>
      <c r="T91" s="224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$120,"&lt;="&amp;CRONO!T$12,CÁLCULO!$AB$15:$AL$120)/(ORÇAMENTO!$X$15-CÁLCULO.TotalAdmLocal)*CRONO!$E91,0),T90*$R89),SUMIF(OFFSET($R91,1,0,$Q89-2),($L89+1)&amp;"$",OFFSET(T91,1,0,$Q89-2)))</f>
        <v>0</v>
      </c>
      <c r="U91" s="220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$120,"="&amp;CRONO!U$12,CÁLCULO!$AB$15:$AL$120)/(ORÇAMENTO!$X$15-CÁLCULO.TotalAdmLocal)*CRONO!$E91,0),U90*$R89),SUMIF(OFFSET($R91,1,0,$Q89-2),($L89+1)&amp;"$",OFFSET(U91,1,0,$Q89-2)))</f>
        <v>0</v>
      </c>
      <c r="V91" s="220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$120,"="&amp;CRONO!V$12,CÁLCULO!$AB$15:$AL$120)/(ORÇAMENTO!$X$15-CÁLCULO.TotalAdmLocal)*CRONO!$E91,0),V90*$R89),SUMIF(OFFSET($R91,1,0,$Q89-2),($L89+1)&amp;"$",OFFSET(V91,1,0,$Q89-2)))</f>
        <v>0</v>
      </c>
      <c r="W91" s="220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$120,"="&amp;CRONO!W$12,CÁLCULO!$AB$15:$AL$120)/(ORÇAMENTO!$X$15-CÁLCULO.TotalAdmLocal)*CRONO!$E91,0),W90*$R89),SUMIF(OFFSET($R91,1,0,$Q89-2),($L89+1)&amp;"$",OFFSET(W91,1,0,$Q89-2)))</f>
        <v>0</v>
      </c>
      <c r="X91" s="220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$120,"="&amp;CRONO!X$12,CÁLCULO!$AB$15:$AL$120)/(ORÇAMENTO!$X$15-CÁLCULO.TotalAdmLocal)*CRONO!$E91,0),X90*$R89),SUMIF(OFFSET($R91,1,0,$Q89-2),($L89+1)&amp;"$",OFFSET(X91,1,0,$Q89-2)))</f>
        <v>0</v>
      </c>
      <c r="Y91" s="220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$120,"="&amp;CRONO!Y$12,CÁLCULO!$AB$15:$AL$120)/(ORÇAMENTO!$X$15-CÁLCULO.TotalAdmLocal)*CRONO!$E91,0),Y90*$R89),SUMIF(OFFSET($R91,1,0,$Q89-2),($L89+1)&amp;"$",OFFSET(Y91,1,0,$Q89-2)))</f>
        <v>0</v>
      </c>
      <c r="Z91" s="220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$120,"="&amp;CRONO!Z$12,CÁLCULO!$AB$15:$AL$120)/(ORÇAMENTO!$X$15-CÁLCULO.TotalAdmLocal)*CRONO!$E91,0),Z90*$R89),SUMIF(OFFSET($R91,1,0,$Q89-2),($L89+1)&amp;"$",OFFSET(Z91,1,0,$Q89-2)))</f>
        <v>0</v>
      </c>
      <c r="AA91" s="220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$120,"="&amp;CRONO!AA$12,CÁLCULO!$AB$15:$AL$120)/(ORÇAMENTO!$X$15-CÁLCULO.TotalAdmLocal)*CRONO!$E91,0),AA90*$R89),SUMIF(OFFSET($R91,1,0,$Q89-2),($L89+1)&amp;"$",OFFSET(AA91,1,0,$Q89-2)))</f>
        <v>0</v>
      </c>
      <c r="AB91" s="220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$120,"="&amp;CRONO!AB$12,CÁLCULO!$AB$15:$AL$120)/(ORÇAMENTO!$X$15-CÁLCULO.TotalAdmLocal)*CRONO!$E91,0),AB90*$R89),SUMIF(OFFSET($R91,1,0,$Q89-2),($L89+1)&amp;"$",OFFSET(AB91,1,0,$Q89-2)))</f>
        <v>0</v>
      </c>
      <c r="AC91" s="220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$120,"="&amp;CRONO!AC$12,CÁLCULO!$AB$15:$AL$120)/(ORÇAMENTO!$X$15-CÁLCULO.TotalAdmLocal)*CRONO!$E91,0),AC90*$R89),SUMIF(OFFSET($R91,1,0,$Q89-2),($L89+1)&amp;"$",OFFSET(AC91,1,0,$Q89-2)))</f>
        <v>0</v>
      </c>
      <c r="AD91" s="220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$120,"="&amp;CRONO!AD$12,CÁLCULO!$AB$15:$AL$120)/(ORÇAMENTO!$X$15-CÁLCULO.TotalAdmLocal)*CRONO!$E91,0),AD90*$R89),SUMIF(OFFSET($R91,1,0,$Q89-2),($L89+1)&amp;"$",OFFSET(AD91,1,0,$Q89-2)))</f>
        <v>0</v>
      </c>
      <c r="AE91" s="225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$120,"="&amp;CRONO!AE$12,CÁLCULO!$AB$15:$AL$120)/(ORÇAMENTO!$X$15-CÁLCULO.TotalAdmLocal)*CRONO!$E91,0),AE90*$R89),SUMIF(OFFSET($R91,1,0,$Q89-2),($L89+1)&amp;"$",OFFSET(AE91,1,0,$Q89-2)))</f>
        <v>0</v>
      </c>
    </row>
    <row r="92" spans="1:32" hidden="1" x14ac:dyDescent="0.2">
      <c r="A92" s="201">
        <f t="shared" ref="A92" ca="1" si="185">OFFSET(A92,-3,0)+1</f>
        <v>27</v>
      </c>
      <c r="B92" s="201">
        <f ca="1">IF($Q92&lt;&gt;2,0,IF($R92=0,1,IF(E93&gt;0,OFFSET(QCI!$M$13,SUBSTITUTE(E93,".",""),0),OFFSET(ORÇAMENTO!$AA$15,CRONO!$E92,0))/$R92))</f>
        <v>0</v>
      </c>
      <c r="C92" s="201">
        <f ca="1">IF($Q92&lt;&gt;2,0,IF($R92=0,1,IF(E93&gt;0,OFFSET(QCI!$N$13,SUBSTITUTE(E93,".",""),0),OFFSET(ORÇAMENTO!$AB$15,CRONO!$E92,0))/$R92))</f>
        <v>0</v>
      </c>
      <c r="D92" s="204" t="e">
        <f ca="1">IF(AND($Q92=2,ACOMPANHAMENTO="BM"),D93,D94/$R92)</f>
        <v>#VALUE!</v>
      </c>
      <c r="E92" s="201" t="e">
        <f ca="1">IF(A92&lt;=ORÇAMENTO.MáximoListaCrono,MATCH(A92,ORÇAMENTO.ListaCrono,0),NA())</f>
        <v>#N/A</v>
      </c>
      <c r="F92" s="201" t="str">
        <f t="shared" ref="F92" ca="1" si="186">IF(AND($E93&lt;&gt;-1,$R92&gt;0),"F","")</f>
        <v/>
      </c>
      <c r="G92" s="205" t="str">
        <f ca="1">IF(OR(R92=0,R92=""),"Linha",IF(AND(OR(ACOMPANHAMENTO="PLE",$Q92&lt;&gt;2),$E93=0),"Linha",1-SUM(T92:AF92)))</f>
        <v>Linha</v>
      </c>
      <c r="H92" s="206" t="str">
        <f ca="1">IF($E93=0,OFFSET(ORÇAMENTO!O$15,$E92,0),IF($E93&lt;&gt;-1,OFFSET(QCI!$D$13,$E93,0),""))</f>
        <v/>
      </c>
      <c r="I92" s="207" t="str">
        <f ca="1">IF($E93=0,OFFSET(ORÇAMENTO!R$15,$E92,0),IF($E93&lt;&gt;-1,OFFSET(QCI!$G$13,$E93,0),""))</f>
        <v/>
      </c>
      <c r="J92" s="207"/>
      <c r="K92" s="207"/>
      <c r="L92" s="208">
        <f ca="1">IF($E93=0,OFFSET(ORÇAMENTO!C$15,$E92,0),1)</f>
        <v>1</v>
      </c>
      <c r="M92" s="209">
        <f ca="1">IF($E93=-1,0,IF(M$13&lt;=$L92,IF(ISERROR(MATCH(M$13,OFFSET($L92,1,0,ROW($L$164)-ROW($L92)-1),0)),ROW($L$164)-ROW($L92)-1,MATCH(M$13,OFFSET($L92,1,0,ROW($L$164)-ROW($L92)-1),0)-1),0))</f>
        <v>0</v>
      </c>
      <c r="N92" s="209">
        <f ca="1">IF($E93=-1,0,IF(N$13&lt;=$L92,IF(ISERROR(MATCH(N$13,OFFSET($L92,1,0,ROW($L$164)-ROW($L92)-1),0)),ROW($L$164)-ROW($L92)-1,MATCH(N$13,OFFSET($L92,1,0,ROW($L$164)-ROW($L92)-1),0)-1),0))</f>
        <v>0</v>
      </c>
      <c r="O92" s="209">
        <f ca="1">IF($E93=-1,0,IF(O$13&lt;=$L92,IF(ISERROR(MATCH(O$13,OFFSET($L92,1,0,ROW($L$164)-ROW($L92)-1),0)),ROW($L$164)-ROW($L92)-1,MATCH(O$13,OFFSET($L92,1,0,ROW($L$164)-ROW($L92)-1),0)-1),0))</f>
        <v>0</v>
      </c>
      <c r="P92" s="209">
        <f ca="1">IF($E93=-1,0,IF(P$13&lt;=$L92,IF(ISERROR(MATCH(P$13,OFFSET($L92,1,0,ROW($L$164)-ROW($L92)-1),0)),ROW($L$164)-ROW($L92)-1,MATCH(P$13,OFFSET($L92,1,0,ROW($L$164)-ROW($L92)-1),0)-1),0))</f>
        <v>0</v>
      </c>
      <c r="Q92" s="209">
        <f t="shared" ref="Q92" ca="1" si="187">MIN(OFFSET(L92,0,1,,L92))</f>
        <v>0</v>
      </c>
      <c r="R92" s="210" t="str">
        <f ca="1">IF($E93=0,OFFSET(ORÇAMENTO!X$15,$E92,0),IF($E93&lt;&gt;-1,OFFSET(QCI!$O$13,$E93,0),""))</f>
        <v/>
      </c>
      <c r="S92" s="211" t="s">
        <v>270</v>
      </c>
      <c r="T92" s="212" t="e">
        <f t="shared" ref="T92:AE92" ca="1" si="188">IF(AND($Q92=2,ACOMPANHAMENTO="BM"),T93,T94/$R92)</f>
        <v>#VALUE!</v>
      </c>
      <c r="U92" s="204" t="e">
        <f t="shared" ca="1" si="188"/>
        <v>#VALUE!</v>
      </c>
      <c r="V92" s="204" t="e">
        <f t="shared" ca="1" si="188"/>
        <v>#VALUE!</v>
      </c>
      <c r="W92" s="204" t="e">
        <f t="shared" ca="1" si="188"/>
        <v>#VALUE!</v>
      </c>
      <c r="X92" s="204" t="e">
        <f t="shared" ca="1" si="188"/>
        <v>#VALUE!</v>
      </c>
      <c r="Y92" s="204" t="e">
        <f t="shared" ca="1" si="188"/>
        <v>#VALUE!</v>
      </c>
      <c r="Z92" s="204" t="e">
        <f t="shared" ca="1" si="188"/>
        <v>#VALUE!</v>
      </c>
      <c r="AA92" s="204" t="e">
        <f t="shared" ca="1" si="188"/>
        <v>#VALUE!</v>
      </c>
      <c r="AB92" s="204" t="e">
        <f t="shared" ca="1" si="188"/>
        <v>#VALUE!</v>
      </c>
      <c r="AC92" s="204" t="e">
        <f t="shared" ca="1" si="188"/>
        <v>#VALUE!</v>
      </c>
      <c r="AD92" s="204" t="e">
        <f t="shared" ca="1" si="188"/>
        <v>#VALUE!</v>
      </c>
      <c r="AE92" s="213" t="e">
        <f t="shared" ca="1" si="188"/>
        <v>#VALUE!</v>
      </c>
    </row>
    <row r="93" spans="1:32" ht="12.75" hidden="1" customHeight="1" x14ac:dyDescent="0.2">
      <c r="D93" s="566"/>
      <c r="E93" s="201">
        <f ca="1">IF(ISERROR(E92),IF(1+COUNTIF($L$13:OFFSET(L92,-1,0),1)&lt;=MAX(QCI!$D$13:$D$24),1+COUNTIF($L$13:OFFSET(L92,-1,0),1),-1),0)</f>
        <v>-1</v>
      </c>
      <c r="F93" s="201" t="str">
        <f t="shared" ref="F93" ca="1" si="189">IF(AND($E93&lt;&gt;-1,$R92&gt;0),"F","")</f>
        <v/>
      </c>
      <c r="G93" s="214" t="str">
        <f ca="1">IF(OR(R92=0,R92=""),"vazia",IF(AND(OR(ACOMPANHAMENTO="PLE",$Q92&lt;&gt;2),$E93=0),"calculada","--&gt;"))</f>
        <v>vazia</v>
      </c>
      <c r="H93" s="215"/>
      <c r="I93" s="216" t="str">
        <f t="shared" ref="I93" ca="1" si="190">IF(AND(G92&lt;&gt;0,ISNUMBER(G92)),"PREENCHA ESTA LINHA --&gt;","")</f>
        <v/>
      </c>
      <c r="J93" s="216"/>
      <c r="K93" s="216"/>
      <c r="L93" s="217"/>
      <c r="M93" s="217"/>
      <c r="N93" s="217"/>
      <c r="O93" s="217"/>
      <c r="P93" s="217"/>
      <c r="Q93" s="217"/>
      <c r="R93" s="218"/>
      <c r="S93" s="219"/>
      <c r="T93" s="567"/>
      <c r="U93" s="566"/>
      <c r="V93" s="566"/>
      <c r="W93" s="566"/>
      <c r="X93" s="566"/>
      <c r="Y93" s="566"/>
      <c r="Z93" s="566"/>
      <c r="AA93" s="566"/>
      <c r="AB93" s="566"/>
      <c r="AC93" s="566"/>
      <c r="AD93" s="566"/>
      <c r="AE93" s="568"/>
      <c r="AF93" s="530"/>
    </row>
    <row r="94" spans="1:32" ht="0.2" hidden="1" customHeight="1" x14ac:dyDescent="0.2">
      <c r="D94" s="220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$120,"="&amp;CRONO!D$12,CÁLCULO!$AB$15:$AL$120)/(ORÇAMENTO!$X$15-CÁLCULO.TotalAdmLocal)*CRONO!$E94,0),D93*$R92),SUMIF(OFFSET($R94,1,0,$Q92-2),($L92+1)&amp;"$",OFFSET(D94,1,0,$Q92-2)))</f>
        <v>0</v>
      </c>
      <c r="E94" s="201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21"/>
      <c r="R94" s="222" t="str">
        <f t="shared" ref="R94" ca="1" si="191">L92&amp;"$"</f>
        <v>1$</v>
      </c>
      <c r="S94" s="223"/>
      <c r="T94" s="224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$120,"&lt;="&amp;CRONO!T$12,CÁLCULO!$AB$15:$AL$120)/(ORÇAMENTO!$X$15-CÁLCULO.TotalAdmLocal)*CRONO!$E94,0),T93*$R92),SUMIF(OFFSET($R94,1,0,$Q92-2),($L92+1)&amp;"$",OFFSET(T94,1,0,$Q92-2)))</f>
        <v>0</v>
      </c>
      <c r="U94" s="220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$120,"="&amp;CRONO!U$12,CÁLCULO!$AB$15:$AL$120)/(ORÇAMENTO!$X$15-CÁLCULO.TotalAdmLocal)*CRONO!$E94,0),U93*$R92),SUMIF(OFFSET($R94,1,0,$Q92-2),($L92+1)&amp;"$",OFFSET(U94,1,0,$Q92-2)))</f>
        <v>0</v>
      </c>
      <c r="V94" s="220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$120,"="&amp;CRONO!V$12,CÁLCULO!$AB$15:$AL$120)/(ORÇAMENTO!$X$15-CÁLCULO.TotalAdmLocal)*CRONO!$E94,0),V93*$R92),SUMIF(OFFSET($R94,1,0,$Q92-2),($L92+1)&amp;"$",OFFSET(V94,1,0,$Q92-2)))</f>
        <v>0</v>
      </c>
      <c r="W94" s="220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$120,"="&amp;CRONO!W$12,CÁLCULO!$AB$15:$AL$120)/(ORÇAMENTO!$X$15-CÁLCULO.TotalAdmLocal)*CRONO!$E94,0),W93*$R92),SUMIF(OFFSET($R94,1,0,$Q92-2),($L92+1)&amp;"$",OFFSET(W94,1,0,$Q92-2)))</f>
        <v>0</v>
      </c>
      <c r="X94" s="220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$120,"="&amp;CRONO!X$12,CÁLCULO!$AB$15:$AL$120)/(ORÇAMENTO!$X$15-CÁLCULO.TotalAdmLocal)*CRONO!$E94,0),X93*$R92),SUMIF(OFFSET($R94,1,0,$Q92-2),($L92+1)&amp;"$",OFFSET(X94,1,0,$Q92-2)))</f>
        <v>0</v>
      </c>
      <c r="Y94" s="220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$120,"="&amp;CRONO!Y$12,CÁLCULO!$AB$15:$AL$120)/(ORÇAMENTO!$X$15-CÁLCULO.TotalAdmLocal)*CRONO!$E94,0),Y93*$R92),SUMIF(OFFSET($R94,1,0,$Q92-2),($L92+1)&amp;"$",OFFSET(Y94,1,0,$Q92-2)))</f>
        <v>0</v>
      </c>
      <c r="Z94" s="220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$120,"="&amp;CRONO!Z$12,CÁLCULO!$AB$15:$AL$120)/(ORÇAMENTO!$X$15-CÁLCULO.TotalAdmLocal)*CRONO!$E94,0),Z93*$R92),SUMIF(OFFSET($R94,1,0,$Q92-2),($L92+1)&amp;"$",OFFSET(Z94,1,0,$Q92-2)))</f>
        <v>0</v>
      </c>
      <c r="AA94" s="220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$120,"="&amp;CRONO!AA$12,CÁLCULO!$AB$15:$AL$120)/(ORÇAMENTO!$X$15-CÁLCULO.TotalAdmLocal)*CRONO!$E94,0),AA93*$R92),SUMIF(OFFSET($R94,1,0,$Q92-2),($L92+1)&amp;"$",OFFSET(AA94,1,0,$Q92-2)))</f>
        <v>0</v>
      </c>
      <c r="AB94" s="220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$120,"="&amp;CRONO!AB$12,CÁLCULO!$AB$15:$AL$120)/(ORÇAMENTO!$X$15-CÁLCULO.TotalAdmLocal)*CRONO!$E94,0),AB93*$R92),SUMIF(OFFSET($R94,1,0,$Q92-2),($L92+1)&amp;"$",OFFSET(AB94,1,0,$Q92-2)))</f>
        <v>0</v>
      </c>
      <c r="AC94" s="220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$120,"="&amp;CRONO!AC$12,CÁLCULO!$AB$15:$AL$120)/(ORÇAMENTO!$X$15-CÁLCULO.TotalAdmLocal)*CRONO!$E94,0),AC93*$R92),SUMIF(OFFSET($R94,1,0,$Q92-2),($L92+1)&amp;"$",OFFSET(AC94,1,0,$Q92-2)))</f>
        <v>0</v>
      </c>
      <c r="AD94" s="220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$120,"="&amp;CRONO!AD$12,CÁLCULO!$AB$15:$AL$120)/(ORÇAMENTO!$X$15-CÁLCULO.TotalAdmLocal)*CRONO!$E94,0),AD93*$R92),SUMIF(OFFSET($R94,1,0,$Q92-2),($L92+1)&amp;"$",OFFSET(AD94,1,0,$Q92-2)))</f>
        <v>0</v>
      </c>
      <c r="AE94" s="225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$120,"="&amp;CRONO!AE$12,CÁLCULO!$AB$15:$AL$120)/(ORÇAMENTO!$X$15-CÁLCULO.TotalAdmLocal)*CRONO!$E94,0),AE93*$R92),SUMIF(OFFSET($R94,1,0,$Q92-2),($L92+1)&amp;"$",OFFSET(AE94,1,0,$Q92-2)))</f>
        <v>0</v>
      </c>
    </row>
    <row r="95" spans="1:32" hidden="1" x14ac:dyDescent="0.2">
      <c r="A95" s="201">
        <f t="shared" ref="A95" ca="1" si="192">OFFSET(A95,-3,0)+1</f>
        <v>28</v>
      </c>
      <c r="B95" s="201">
        <f ca="1">IF($Q95&lt;&gt;2,0,IF($R95=0,1,IF(E96&gt;0,OFFSET(QCI!$M$13,SUBSTITUTE(E96,".",""),0),OFFSET(ORÇAMENTO!$AA$15,CRONO!$E95,0))/$R95))</f>
        <v>0</v>
      </c>
      <c r="C95" s="201">
        <f ca="1">IF($Q95&lt;&gt;2,0,IF($R95=0,1,IF(E96&gt;0,OFFSET(QCI!$N$13,SUBSTITUTE(E96,".",""),0),OFFSET(ORÇAMENTO!$AB$15,CRONO!$E95,0))/$R95))</f>
        <v>0</v>
      </c>
      <c r="D95" s="204" t="e">
        <f ca="1">IF(AND($Q95=2,ACOMPANHAMENTO="BM"),D96,D97/$R95)</f>
        <v>#VALUE!</v>
      </c>
      <c r="E95" s="201" t="e">
        <f ca="1">IF(A95&lt;=ORÇAMENTO.MáximoListaCrono,MATCH(A95,ORÇAMENTO.ListaCrono,0),NA())</f>
        <v>#N/A</v>
      </c>
      <c r="F95" s="201" t="str">
        <f t="shared" ref="F95" ca="1" si="193">IF(AND($E96&lt;&gt;-1,$R95&gt;0),"F","")</f>
        <v/>
      </c>
      <c r="G95" s="205" t="str">
        <f ca="1">IF(OR(R95=0,R95=""),"Linha",IF(AND(OR(ACOMPANHAMENTO="PLE",$Q95&lt;&gt;2),$E96=0),"Linha",1-SUM(T95:AF95)))</f>
        <v>Linha</v>
      </c>
      <c r="H95" s="206" t="str">
        <f ca="1">IF($E96=0,OFFSET(ORÇAMENTO!O$15,$E95,0),IF($E96&lt;&gt;-1,OFFSET(QCI!$D$13,$E96,0),""))</f>
        <v/>
      </c>
      <c r="I95" s="207" t="str">
        <f ca="1">IF($E96=0,OFFSET(ORÇAMENTO!R$15,$E95,0),IF($E96&lt;&gt;-1,OFFSET(QCI!$G$13,$E96,0),""))</f>
        <v/>
      </c>
      <c r="J95" s="207"/>
      <c r="K95" s="207"/>
      <c r="L95" s="208">
        <f ca="1">IF($E96=0,OFFSET(ORÇAMENTO!C$15,$E95,0),1)</f>
        <v>1</v>
      </c>
      <c r="M95" s="209">
        <f ca="1">IF($E96=-1,0,IF(M$13&lt;=$L95,IF(ISERROR(MATCH(M$13,OFFSET($L95,1,0,ROW($L$164)-ROW($L95)-1),0)),ROW($L$164)-ROW($L95)-1,MATCH(M$13,OFFSET($L95,1,0,ROW($L$164)-ROW($L95)-1),0)-1),0))</f>
        <v>0</v>
      </c>
      <c r="N95" s="209">
        <f ca="1">IF($E96=-1,0,IF(N$13&lt;=$L95,IF(ISERROR(MATCH(N$13,OFFSET($L95,1,0,ROW($L$164)-ROW($L95)-1),0)),ROW($L$164)-ROW($L95)-1,MATCH(N$13,OFFSET($L95,1,0,ROW($L$164)-ROW($L95)-1),0)-1),0))</f>
        <v>0</v>
      </c>
      <c r="O95" s="209">
        <f ca="1">IF($E96=-1,0,IF(O$13&lt;=$L95,IF(ISERROR(MATCH(O$13,OFFSET($L95,1,0,ROW($L$164)-ROW($L95)-1),0)),ROW($L$164)-ROW($L95)-1,MATCH(O$13,OFFSET($L95,1,0,ROW($L$164)-ROW($L95)-1),0)-1),0))</f>
        <v>0</v>
      </c>
      <c r="P95" s="209">
        <f ca="1">IF($E96=-1,0,IF(P$13&lt;=$L95,IF(ISERROR(MATCH(P$13,OFFSET($L95,1,0,ROW($L$164)-ROW($L95)-1),0)),ROW($L$164)-ROW($L95)-1,MATCH(P$13,OFFSET($L95,1,0,ROW($L$164)-ROW($L95)-1),0)-1),0))</f>
        <v>0</v>
      </c>
      <c r="Q95" s="209">
        <f t="shared" ref="Q95" ca="1" si="194">MIN(OFFSET(L95,0,1,,L95))</f>
        <v>0</v>
      </c>
      <c r="R95" s="210" t="str">
        <f ca="1">IF($E96=0,OFFSET(ORÇAMENTO!X$15,$E95,0),IF($E96&lt;&gt;-1,OFFSET(QCI!$O$13,$E96,0),""))</f>
        <v/>
      </c>
      <c r="S95" s="211" t="s">
        <v>270</v>
      </c>
      <c r="T95" s="212" t="e">
        <f t="shared" ref="T95:AE95" ca="1" si="195">IF(AND($Q95=2,ACOMPANHAMENTO="BM"),T96,T97/$R95)</f>
        <v>#VALUE!</v>
      </c>
      <c r="U95" s="204" t="e">
        <f t="shared" ca="1" si="195"/>
        <v>#VALUE!</v>
      </c>
      <c r="V95" s="204" t="e">
        <f t="shared" ca="1" si="195"/>
        <v>#VALUE!</v>
      </c>
      <c r="W95" s="204" t="e">
        <f t="shared" ca="1" si="195"/>
        <v>#VALUE!</v>
      </c>
      <c r="X95" s="204" t="e">
        <f t="shared" ca="1" si="195"/>
        <v>#VALUE!</v>
      </c>
      <c r="Y95" s="204" t="e">
        <f t="shared" ca="1" si="195"/>
        <v>#VALUE!</v>
      </c>
      <c r="Z95" s="204" t="e">
        <f t="shared" ca="1" si="195"/>
        <v>#VALUE!</v>
      </c>
      <c r="AA95" s="204" t="e">
        <f t="shared" ca="1" si="195"/>
        <v>#VALUE!</v>
      </c>
      <c r="AB95" s="204" t="e">
        <f t="shared" ca="1" si="195"/>
        <v>#VALUE!</v>
      </c>
      <c r="AC95" s="204" t="e">
        <f t="shared" ca="1" si="195"/>
        <v>#VALUE!</v>
      </c>
      <c r="AD95" s="204" t="e">
        <f t="shared" ca="1" si="195"/>
        <v>#VALUE!</v>
      </c>
      <c r="AE95" s="213" t="e">
        <f t="shared" ca="1" si="195"/>
        <v>#VALUE!</v>
      </c>
    </row>
    <row r="96" spans="1:32" ht="12.75" hidden="1" customHeight="1" x14ac:dyDescent="0.2">
      <c r="D96" s="566"/>
      <c r="E96" s="201">
        <f ca="1">IF(ISERROR(E95),IF(1+COUNTIF($L$13:OFFSET(L95,-1,0),1)&lt;=MAX(QCI!$D$13:$D$24),1+COUNTIF($L$13:OFFSET(L95,-1,0),1),-1),0)</f>
        <v>-1</v>
      </c>
      <c r="F96" s="201" t="str">
        <f t="shared" ref="F96" ca="1" si="196">IF(AND($E96&lt;&gt;-1,$R95&gt;0),"F","")</f>
        <v/>
      </c>
      <c r="G96" s="214" t="str">
        <f ca="1">IF(OR(R95=0,R95=""),"vazia",IF(AND(OR(ACOMPANHAMENTO="PLE",$Q95&lt;&gt;2),$E96=0),"calculada","--&gt;"))</f>
        <v>vazia</v>
      </c>
      <c r="H96" s="215"/>
      <c r="I96" s="216" t="str">
        <f t="shared" ref="I96" ca="1" si="197">IF(AND(G95&lt;&gt;0,ISNUMBER(G95)),"PREENCHA ESTA LINHA --&gt;","")</f>
        <v/>
      </c>
      <c r="J96" s="216"/>
      <c r="K96" s="216"/>
      <c r="L96" s="217"/>
      <c r="M96" s="217"/>
      <c r="N96" s="217"/>
      <c r="O96" s="217"/>
      <c r="P96" s="217"/>
      <c r="Q96" s="217"/>
      <c r="R96" s="218"/>
      <c r="S96" s="219"/>
      <c r="T96" s="567"/>
      <c r="U96" s="566"/>
      <c r="V96" s="566"/>
      <c r="W96" s="566"/>
      <c r="X96" s="566"/>
      <c r="Y96" s="566"/>
      <c r="Z96" s="566"/>
      <c r="AA96" s="566"/>
      <c r="AB96" s="566"/>
      <c r="AC96" s="566"/>
      <c r="AD96" s="566"/>
      <c r="AE96" s="568"/>
      <c r="AF96" s="530"/>
    </row>
    <row r="97" spans="1:32" ht="0.2" hidden="1" customHeight="1" x14ac:dyDescent="0.2">
      <c r="D97" s="220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$120,"="&amp;CRONO!D$12,CÁLCULO!$AB$15:$AL$120)/(ORÇAMENTO!$X$15-CÁLCULO.TotalAdmLocal)*CRONO!$E97,0),D96*$R95),SUMIF(OFFSET($R97,1,0,$Q95-2),($L95+1)&amp;"$",OFFSET(D97,1,0,$Q95-2)))</f>
        <v>0</v>
      </c>
      <c r="E97" s="201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21"/>
      <c r="R97" s="222" t="str">
        <f t="shared" ref="R97" ca="1" si="198">L95&amp;"$"</f>
        <v>1$</v>
      </c>
      <c r="S97" s="223"/>
      <c r="T97" s="224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$120,"&lt;="&amp;CRONO!T$12,CÁLCULO!$AB$15:$AL$120)/(ORÇAMENTO!$X$15-CÁLCULO.TotalAdmLocal)*CRONO!$E97,0),T96*$R95),SUMIF(OFFSET($R97,1,0,$Q95-2),($L95+1)&amp;"$",OFFSET(T97,1,0,$Q95-2)))</f>
        <v>0</v>
      </c>
      <c r="U97" s="220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$120,"="&amp;CRONO!U$12,CÁLCULO!$AB$15:$AL$120)/(ORÇAMENTO!$X$15-CÁLCULO.TotalAdmLocal)*CRONO!$E97,0),U96*$R95),SUMIF(OFFSET($R97,1,0,$Q95-2),($L95+1)&amp;"$",OFFSET(U97,1,0,$Q95-2)))</f>
        <v>0</v>
      </c>
      <c r="V97" s="220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$120,"="&amp;CRONO!V$12,CÁLCULO!$AB$15:$AL$120)/(ORÇAMENTO!$X$15-CÁLCULO.TotalAdmLocal)*CRONO!$E97,0),V96*$R95),SUMIF(OFFSET($R97,1,0,$Q95-2),($L95+1)&amp;"$",OFFSET(V97,1,0,$Q95-2)))</f>
        <v>0</v>
      </c>
      <c r="W97" s="220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$120,"="&amp;CRONO!W$12,CÁLCULO!$AB$15:$AL$120)/(ORÇAMENTO!$X$15-CÁLCULO.TotalAdmLocal)*CRONO!$E97,0),W96*$R95),SUMIF(OFFSET($R97,1,0,$Q95-2),($L95+1)&amp;"$",OFFSET(W97,1,0,$Q95-2)))</f>
        <v>0</v>
      </c>
      <c r="X97" s="220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$120,"="&amp;CRONO!X$12,CÁLCULO!$AB$15:$AL$120)/(ORÇAMENTO!$X$15-CÁLCULO.TotalAdmLocal)*CRONO!$E97,0),X96*$R95),SUMIF(OFFSET($R97,1,0,$Q95-2),($L95+1)&amp;"$",OFFSET(X97,1,0,$Q95-2)))</f>
        <v>0</v>
      </c>
      <c r="Y97" s="220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$120,"="&amp;CRONO!Y$12,CÁLCULO!$AB$15:$AL$120)/(ORÇAMENTO!$X$15-CÁLCULO.TotalAdmLocal)*CRONO!$E97,0),Y96*$R95),SUMIF(OFFSET($R97,1,0,$Q95-2),($L95+1)&amp;"$",OFFSET(Y97,1,0,$Q95-2)))</f>
        <v>0</v>
      </c>
      <c r="Z97" s="220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$120,"="&amp;CRONO!Z$12,CÁLCULO!$AB$15:$AL$120)/(ORÇAMENTO!$X$15-CÁLCULO.TotalAdmLocal)*CRONO!$E97,0),Z96*$R95),SUMIF(OFFSET($R97,1,0,$Q95-2),($L95+1)&amp;"$",OFFSET(Z97,1,0,$Q95-2)))</f>
        <v>0</v>
      </c>
      <c r="AA97" s="220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$120,"="&amp;CRONO!AA$12,CÁLCULO!$AB$15:$AL$120)/(ORÇAMENTO!$X$15-CÁLCULO.TotalAdmLocal)*CRONO!$E97,0),AA96*$R95),SUMIF(OFFSET($R97,1,0,$Q95-2),($L95+1)&amp;"$",OFFSET(AA97,1,0,$Q95-2)))</f>
        <v>0</v>
      </c>
      <c r="AB97" s="220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$120,"="&amp;CRONO!AB$12,CÁLCULO!$AB$15:$AL$120)/(ORÇAMENTO!$X$15-CÁLCULO.TotalAdmLocal)*CRONO!$E97,0),AB96*$R95),SUMIF(OFFSET($R97,1,0,$Q95-2),($L95+1)&amp;"$",OFFSET(AB97,1,0,$Q95-2)))</f>
        <v>0</v>
      </c>
      <c r="AC97" s="220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$120,"="&amp;CRONO!AC$12,CÁLCULO!$AB$15:$AL$120)/(ORÇAMENTO!$X$15-CÁLCULO.TotalAdmLocal)*CRONO!$E97,0),AC96*$R95),SUMIF(OFFSET($R97,1,0,$Q95-2),($L95+1)&amp;"$",OFFSET(AC97,1,0,$Q95-2)))</f>
        <v>0</v>
      </c>
      <c r="AD97" s="220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$120,"="&amp;CRONO!AD$12,CÁLCULO!$AB$15:$AL$120)/(ORÇAMENTO!$X$15-CÁLCULO.TotalAdmLocal)*CRONO!$E97,0),AD96*$R95),SUMIF(OFFSET($R97,1,0,$Q95-2),($L95+1)&amp;"$",OFFSET(AD97,1,0,$Q95-2)))</f>
        <v>0</v>
      </c>
      <c r="AE97" s="225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$120,"="&amp;CRONO!AE$12,CÁLCULO!$AB$15:$AL$120)/(ORÇAMENTO!$X$15-CÁLCULO.TotalAdmLocal)*CRONO!$E97,0),AE96*$R95),SUMIF(OFFSET($R97,1,0,$Q95-2),($L95+1)&amp;"$",OFFSET(AE97,1,0,$Q95-2)))</f>
        <v>0</v>
      </c>
    </row>
    <row r="98" spans="1:32" hidden="1" x14ac:dyDescent="0.2">
      <c r="A98" s="201">
        <f t="shared" ref="A98" ca="1" si="199">OFFSET(A98,-3,0)+1</f>
        <v>29</v>
      </c>
      <c r="B98" s="201">
        <f ca="1">IF($Q98&lt;&gt;2,0,IF($R98=0,1,IF(E99&gt;0,OFFSET(QCI!$M$13,SUBSTITUTE(E99,".",""),0),OFFSET(ORÇAMENTO!$AA$15,CRONO!$E98,0))/$R98))</f>
        <v>0</v>
      </c>
      <c r="C98" s="201">
        <f ca="1">IF($Q98&lt;&gt;2,0,IF($R98=0,1,IF(E99&gt;0,OFFSET(QCI!$N$13,SUBSTITUTE(E99,".",""),0),OFFSET(ORÇAMENTO!$AB$15,CRONO!$E98,0))/$R98))</f>
        <v>0</v>
      </c>
      <c r="D98" s="204" t="e">
        <f ca="1">IF(AND($Q98=2,ACOMPANHAMENTO="BM"),D99,D100/$R98)</f>
        <v>#VALUE!</v>
      </c>
      <c r="E98" s="201" t="e">
        <f ca="1">IF(A98&lt;=ORÇAMENTO.MáximoListaCrono,MATCH(A98,ORÇAMENTO.ListaCrono,0),NA())</f>
        <v>#N/A</v>
      </c>
      <c r="F98" s="201" t="str">
        <f t="shared" ref="F98" ca="1" si="200">IF(AND($E99&lt;&gt;-1,$R98&gt;0),"F","")</f>
        <v/>
      </c>
      <c r="G98" s="205" t="str">
        <f ca="1">IF(OR(R98=0,R98=""),"Linha",IF(AND(OR(ACOMPANHAMENTO="PLE",$Q98&lt;&gt;2),$E99=0),"Linha",1-SUM(T98:AF98)))</f>
        <v>Linha</v>
      </c>
      <c r="H98" s="206" t="str">
        <f ca="1">IF($E99=0,OFFSET(ORÇAMENTO!O$15,$E98,0),IF($E99&lt;&gt;-1,OFFSET(QCI!$D$13,$E99,0),""))</f>
        <v/>
      </c>
      <c r="I98" s="207" t="str">
        <f ca="1">IF($E99=0,OFFSET(ORÇAMENTO!R$15,$E98,0),IF($E99&lt;&gt;-1,OFFSET(QCI!$G$13,$E99,0),""))</f>
        <v/>
      </c>
      <c r="J98" s="207"/>
      <c r="K98" s="207"/>
      <c r="L98" s="208">
        <f ca="1">IF($E99=0,OFFSET(ORÇAMENTO!C$15,$E98,0),1)</f>
        <v>1</v>
      </c>
      <c r="M98" s="209">
        <f ca="1">IF($E99=-1,0,IF(M$13&lt;=$L98,IF(ISERROR(MATCH(M$13,OFFSET($L98,1,0,ROW($L$164)-ROW($L98)-1),0)),ROW($L$164)-ROW($L98)-1,MATCH(M$13,OFFSET($L98,1,0,ROW($L$164)-ROW($L98)-1),0)-1),0))</f>
        <v>0</v>
      </c>
      <c r="N98" s="209">
        <f ca="1">IF($E99=-1,0,IF(N$13&lt;=$L98,IF(ISERROR(MATCH(N$13,OFFSET($L98,1,0,ROW($L$164)-ROW($L98)-1),0)),ROW($L$164)-ROW($L98)-1,MATCH(N$13,OFFSET($L98,1,0,ROW($L$164)-ROW($L98)-1),0)-1),0))</f>
        <v>0</v>
      </c>
      <c r="O98" s="209">
        <f ca="1">IF($E99=-1,0,IF(O$13&lt;=$L98,IF(ISERROR(MATCH(O$13,OFFSET($L98,1,0,ROW($L$164)-ROW($L98)-1),0)),ROW($L$164)-ROW($L98)-1,MATCH(O$13,OFFSET($L98,1,0,ROW($L$164)-ROW($L98)-1),0)-1),0))</f>
        <v>0</v>
      </c>
      <c r="P98" s="209">
        <f ca="1">IF($E99=-1,0,IF(P$13&lt;=$L98,IF(ISERROR(MATCH(P$13,OFFSET($L98,1,0,ROW($L$164)-ROW($L98)-1),0)),ROW($L$164)-ROW($L98)-1,MATCH(P$13,OFFSET($L98,1,0,ROW($L$164)-ROW($L98)-1),0)-1),0))</f>
        <v>0</v>
      </c>
      <c r="Q98" s="209">
        <f t="shared" ref="Q98" ca="1" si="201">MIN(OFFSET(L98,0,1,,L98))</f>
        <v>0</v>
      </c>
      <c r="R98" s="210" t="str">
        <f ca="1">IF($E99=0,OFFSET(ORÇAMENTO!X$15,$E98,0),IF($E99&lt;&gt;-1,OFFSET(QCI!$O$13,$E99,0),""))</f>
        <v/>
      </c>
      <c r="S98" s="211" t="s">
        <v>270</v>
      </c>
      <c r="T98" s="212" t="e">
        <f t="shared" ref="T98:AE98" ca="1" si="202">IF(AND($Q98=2,ACOMPANHAMENTO="BM"),T99,T100/$R98)</f>
        <v>#VALUE!</v>
      </c>
      <c r="U98" s="204" t="e">
        <f t="shared" ca="1" si="202"/>
        <v>#VALUE!</v>
      </c>
      <c r="V98" s="204" t="e">
        <f t="shared" ca="1" si="202"/>
        <v>#VALUE!</v>
      </c>
      <c r="W98" s="204" t="e">
        <f t="shared" ca="1" si="202"/>
        <v>#VALUE!</v>
      </c>
      <c r="X98" s="204" t="e">
        <f t="shared" ca="1" si="202"/>
        <v>#VALUE!</v>
      </c>
      <c r="Y98" s="204" t="e">
        <f t="shared" ca="1" si="202"/>
        <v>#VALUE!</v>
      </c>
      <c r="Z98" s="204" t="e">
        <f t="shared" ca="1" si="202"/>
        <v>#VALUE!</v>
      </c>
      <c r="AA98" s="204" t="e">
        <f t="shared" ca="1" si="202"/>
        <v>#VALUE!</v>
      </c>
      <c r="AB98" s="204" t="e">
        <f t="shared" ca="1" si="202"/>
        <v>#VALUE!</v>
      </c>
      <c r="AC98" s="204" t="e">
        <f t="shared" ca="1" si="202"/>
        <v>#VALUE!</v>
      </c>
      <c r="AD98" s="204" t="e">
        <f t="shared" ca="1" si="202"/>
        <v>#VALUE!</v>
      </c>
      <c r="AE98" s="213" t="e">
        <f t="shared" ca="1" si="202"/>
        <v>#VALUE!</v>
      </c>
    </row>
    <row r="99" spans="1:32" ht="12.75" hidden="1" customHeight="1" x14ac:dyDescent="0.2">
      <c r="D99" s="566"/>
      <c r="E99" s="201">
        <f ca="1">IF(ISERROR(E98),IF(1+COUNTIF($L$13:OFFSET(L98,-1,0),1)&lt;=MAX(QCI!$D$13:$D$24),1+COUNTIF($L$13:OFFSET(L98,-1,0),1),-1),0)</f>
        <v>-1</v>
      </c>
      <c r="F99" s="201" t="str">
        <f t="shared" ref="F99" ca="1" si="203">IF(AND($E99&lt;&gt;-1,$R98&gt;0),"F","")</f>
        <v/>
      </c>
      <c r="G99" s="214" t="str">
        <f ca="1">IF(OR(R98=0,R98=""),"vazia",IF(AND(OR(ACOMPANHAMENTO="PLE",$Q98&lt;&gt;2),$E99=0),"calculada","--&gt;"))</f>
        <v>vazia</v>
      </c>
      <c r="H99" s="215"/>
      <c r="I99" s="216" t="str">
        <f t="shared" ref="I99" ca="1" si="204">IF(AND(G98&lt;&gt;0,ISNUMBER(G98)),"PREENCHA ESTA LINHA --&gt;","")</f>
        <v/>
      </c>
      <c r="J99" s="216"/>
      <c r="K99" s="216"/>
      <c r="L99" s="217"/>
      <c r="M99" s="217"/>
      <c r="N99" s="217"/>
      <c r="O99" s="217"/>
      <c r="P99" s="217"/>
      <c r="Q99" s="217"/>
      <c r="R99" s="218"/>
      <c r="S99" s="219"/>
      <c r="T99" s="567"/>
      <c r="U99" s="566"/>
      <c r="V99" s="566"/>
      <c r="W99" s="566"/>
      <c r="X99" s="566"/>
      <c r="Y99" s="566"/>
      <c r="Z99" s="566"/>
      <c r="AA99" s="566"/>
      <c r="AB99" s="566"/>
      <c r="AC99" s="566"/>
      <c r="AD99" s="566"/>
      <c r="AE99" s="568"/>
      <c r="AF99" s="530"/>
    </row>
    <row r="100" spans="1:32" ht="0.2" hidden="1" customHeight="1" x14ac:dyDescent="0.2">
      <c r="D100" s="220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$120,"="&amp;CRONO!D$12,CÁLCULO!$AB$15:$AL$120)/(ORÇAMENTO!$X$15-CÁLCULO.TotalAdmLocal)*CRONO!$E100,0),D99*$R98),SUMIF(OFFSET($R100,1,0,$Q98-2),($L98+1)&amp;"$",OFFSET(D100,1,0,$Q98-2)))</f>
        <v>0</v>
      </c>
      <c r="E100" s="201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21"/>
      <c r="R100" s="222" t="str">
        <f t="shared" ref="R100" ca="1" si="205">L98&amp;"$"</f>
        <v>1$</v>
      </c>
      <c r="S100" s="223"/>
      <c r="T100" s="224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$120,"&lt;="&amp;CRONO!T$12,CÁLCULO!$AB$15:$AL$120)/(ORÇAMENTO!$X$15-CÁLCULO.TotalAdmLocal)*CRONO!$E100,0),T99*$R98),SUMIF(OFFSET($R100,1,0,$Q98-2),($L98+1)&amp;"$",OFFSET(T100,1,0,$Q98-2)))</f>
        <v>0</v>
      </c>
      <c r="U100" s="220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$120,"="&amp;CRONO!U$12,CÁLCULO!$AB$15:$AL$120)/(ORÇAMENTO!$X$15-CÁLCULO.TotalAdmLocal)*CRONO!$E100,0),U99*$R98),SUMIF(OFFSET($R100,1,0,$Q98-2),($L98+1)&amp;"$",OFFSET(U100,1,0,$Q98-2)))</f>
        <v>0</v>
      </c>
      <c r="V100" s="220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$120,"="&amp;CRONO!V$12,CÁLCULO!$AB$15:$AL$120)/(ORÇAMENTO!$X$15-CÁLCULO.TotalAdmLocal)*CRONO!$E100,0),V99*$R98),SUMIF(OFFSET($R100,1,0,$Q98-2),($L98+1)&amp;"$",OFFSET(V100,1,0,$Q98-2)))</f>
        <v>0</v>
      </c>
      <c r="W100" s="220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$120,"="&amp;CRONO!W$12,CÁLCULO!$AB$15:$AL$120)/(ORÇAMENTO!$X$15-CÁLCULO.TotalAdmLocal)*CRONO!$E100,0),W99*$R98),SUMIF(OFFSET($R100,1,0,$Q98-2),($L98+1)&amp;"$",OFFSET(W100,1,0,$Q98-2)))</f>
        <v>0</v>
      </c>
      <c r="X100" s="220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$120,"="&amp;CRONO!X$12,CÁLCULO!$AB$15:$AL$120)/(ORÇAMENTO!$X$15-CÁLCULO.TotalAdmLocal)*CRONO!$E100,0),X99*$R98),SUMIF(OFFSET($R100,1,0,$Q98-2),($L98+1)&amp;"$",OFFSET(X100,1,0,$Q98-2)))</f>
        <v>0</v>
      </c>
      <c r="Y100" s="220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$120,"="&amp;CRONO!Y$12,CÁLCULO!$AB$15:$AL$120)/(ORÇAMENTO!$X$15-CÁLCULO.TotalAdmLocal)*CRONO!$E100,0),Y99*$R98),SUMIF(OFFSET($R100,1,0,$Q98-2),($L98+1)&amp;"$",OFFSET(Y100,1,0,$Q98-2)))</f>
        <v>0</v>
      </c>
      <c r="Z100" s="220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$120,"="&amp;CRONO!Z$12,CÁLCULO!$AB$15:$AL$120)/(ORÇAMENTO!$X$15-CÁLCULO.TotalAdmLocal)*CRONO!$E100,0),Z99*$R98),SUMIF(OFFSET($R100,1,0,$Q98-2),($L98+1)&amp;"$",OFFSET(Z100,1,0,$Q98-2)))</f>
        <v>0</v>
      </c>
      <c r="AA100" s="220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$120,"="&amp;CRONO!AA$12,CÁLCULO!$AB$15:$AL$120)/(ORÇAMENTO!$X$15-CÁLCULO.TotalAdmLocal)*CRONO!$E100,0),AA99*$R98),SUMIF(OFFSET($R100,1,0,$Q98-2),($L98+1)&amp;"$",OFFSET(AA100,1,0,$Q98-2)))</f>
        <v>0</v>
      </c>
      <c r="AB100" s="220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$120,"="&amp;CRONO!AB$12,CÁLCULO!$AB$15:$AL$120)/(ORÇAMENTO!$X$15-CÁLCULO.TotalAdmLocal)*CRONO!$E100,0),AB99*$R98),SUMIF(OFFSET($R100,1,0,$Q98-2),($L98+1)&amp;"$",OFFSET(AB100,1,0,$Q98-2)))</f>
        <v>0</v>
      </c>
      <c r="AC100" s="220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$120,"="&amp;CRONO!AC$12,CÁLCULO!$AB$15:$AL$120)/(ORÇAMENTO!$X$15-CÁLCULO.TotalAdmLocal)*CRONO!$E100,0),AC99*$R98),SUMIF(OFFSET($R100,1,0,$Q98-2),($L98+1)&amp;"$",OFFSET(AC100,1,0,$Q98-2)))</f>
        <v>0</v>
      </c>
      <c r="AD100" s="220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$120,"="&amp;CRONO!AD$12,CÁLCULO!$AB$15:$AL$120)/(ORÇAMENTO!$X$15-CÁLCULO.TotalAdmLocal)*CRONO!$E100,0),AD99*$R98),SUMIF(OFFSET($R100,1,0,$Q98-2),($L98+1)&amp;"$",OFFSET(AD100,1,0,$Q98-2)))</f>
        <v>0</v>
      </c>
      <c r="AE100" s="225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$120,"="&amp;CRONO!AE$12,CÁLCULO!$AB$15:$AL$120)/(ORÇAMENTO!$X$15-CÁLCULO.TotalAdmLocal)*CRONO!$E100,0),AE99*$R98),SUMIF(OFFSET($R100,1,0,$Q98-2),($L98+1)&amp;"$",OFFSET(AE100,1,0,$Q98-2)))</f>
        <v>0</v>
      </c>
    </row>
    <row r="101" spans="1:32" hidden="1" x14ac:dyDescent="0.2">
      <c r="A101" s="201">
        <f t="shared" ref="A101" ca="1" si="206">OFFSET(A101,-3,0)+1</f>
        <v>30</v>
      </c>
      <c r="B101" s="201">
        <f ca="1">IF($Q101&lt;&gt;2,0,IF($R101=0,1,IF(E102&gt;0,OFFSET(QCI!$M$13,SUBSTITUTE(E102,".",""),0),OFFSET(ORÇAMENTO!$AA$15,CRONO!$E101,0))/$R101))</f>
        <v>0</v>
      </c>
      <c r="C101" s="201">
        <f ca="1">IF($Q101&lt;&gt;2,0,IF($R101=0,1,IF(E102&gt;0,OFFSET(QCI!$N$13,SUBSTITUTE(E102,".",""),0),OFFSET(ORÇAMENTO!$AB$15,CRONO!$E101,0))/$R101))</f>
        <v>0</v>
      </c>
      <c r="D101" s="204" t="e">
        <f ca="1">IF(AND($Q101=2,ACOMPANHAMENTO="BM"),D102,D103/$R101)</f>
        <v>#VALUE!</v>
      </c>
      <c r="E101" s="201" t="e">
        <f ca="1">IF(A101&lt;=ORÇAMENTO.MáximoListaCrono,MATCH(A101,ORÇAMENTO.ListaCrono,0),NA())</f>
        <v>#N/A</v>
      </c>
      <c r="F101" s="201" t="str">
        <f t="shared" ref="F101" ca="1" si="207">IF(AND($E102&lt;&gt;-1,$R101&gt;0),"F","")</f>
        <v/>
      </c>
      <c r="G101" s="205" t="str">
        <f ca="1">IF(OR(R101=0,R101=""),"Linha",IF(AND(OR(ACOMPANHAMENTO="PLE",$Q101&lt;&gt;2),$E102=0),"Linha",1-SUM(T101:AF101)))</f>
        <v>Linha</v>
      </c>
      <c r="H101" s="206" t="str">
        <f ca="1">IF($E102=0,OFFSET(ORÇAMENTO!O$15,$E101,0),IF($E102&lt;&gt;-1,OFFSET(QCI!$D$13,$E102,0),""))</f>
        <v/>
      </c>
      <c r="I101" s="207" t="str">
        <f ca="1">IF($E102=0,OFFSET(ORÇAMENTO!R$15,$E101,0),IF($E102&lt;&gt;-1,OFFSET(QCI!$G$13,$E102,0),""))</f>
        <v/>
      </c>
      <c r="J101" s="207"/>
      <c r="K101" s="207"/>
      <c r="L101" s="208">
        <f ca="1">IF($E102=0,OFFSET(ORÇAMENTO!C$15,$E101,0),1)</f>
        <v>1</v>
      </c>
      <c r="M101" s="209">
        <f ca="1">IF($E102=-1,0,IF(M$13&lt;=$L101,IF(ISERROR(MATCH(M$13,OFFSET($L101,1,0,ROW($L$164)-ROW($L101)-1),0)),ROW($L$164)-ROW($L101)-1,MATCH(M$13,OFFSET($L101,1,0,ROW($L$164)-ROW($L101)-1),0)-1),0))</f>
        <v>0</v>
      </c>
      <c r="N101" s="209">
        <f ca="1">IF($E102=-1,0,IF(N$13&lt;=$L101,IF(ISERROR(MATCH(N$13,OFFSET($L101,1,0,ROW($L$164)-ROW($L101)-1),0)),ROW($L$164)-ROW($L101)-1,MATCH(N$13,OFFSET($L101,1,0,ROW($L$164)-ROW($L101)-1),0)-1),0))</f>
        <v>0</v>
      </c>
      <c r="O101" s="209">
        <f ca="1">IF($E102=-1,0,IF(O$13&lt;=$L101,IF(ISERROR(MATCH(O$13,OFFSET($L101,1,0,ROW($L$164)-ROW($L101)-1),0)),ROW($L$164)-ROW($L101)-1,MATCH(O$13,OFFSET($L101,1,0,ROW($L$164)-ROW($L101)-1),0)-1),0))</f>
        <v>0</v>
      </c>
      <c r="P101" s="209">
        <f ca="1">IF($E102=-1,0,IF(P$13&lt;=$L101,IF(ISERROR(MATCH(P$13,OFFSET($L101,1,0,ROW($L$164)-ROW($L101)-1),0)),ROW($L$164)-ROW($L101)-1,MATCH(P$13,OFFSET($L101,1,0,ROW($L$164)-ROW($L101)-1),0)-1),0))</f>
        <v>0</v>
      </c>
      <c r="Q101" s="209">
        <f t="shared" ref="Q101" ca="1" si="208">MIN(OFFSET(L101,0,1,,L101))</f>
        <v>0</v>
      </c>
      <c r="R101" s="210" t="str">
        <f ca="1">IF($E102=0,OFFSET(ORÇAMENTO!X$15,$E101,0),IF($E102&lt;&gt;-1,OFFSET(QCI!$O$13,$E102,0),""))</f>
        <v/>
      </c>
      <c r="S101" s="211" t="s">
        <v>270</v>
      </c>
      <c r="T101" s="212" t="e">
        <f t="shared" ref="T101:AE101" ca="1" si="209">IF(AND($Q101=2,ACOMPANHAMENTO="BM"),T102,T103/$R101)</f>
        <v>#VALUE!</v>
      </c>
      <c r="U101" s="204" t="e">
        <f t="shared" ca="1" si="209"/>
        <v>#VALUE!</v>
      </c>
      <c r="V101" s="204" t="e">
        <f t="shared" ca="1" si="209"/>
        <v>#VALUE!</v>
      </c>
      <c r="W101" s="204" t="e">
        <f t="shared" ca="1" si="209"/>
        <v>#VALUE!</v>
      </c>
      <c r="X101" s="204" t="e">
        <f t="shared" ca="1" si="209"/>
        <v>#VALUE!</v>
      </c>
      <c r="Y101" s="204" t="e">
        <f t="shared" ca="1" si="209"/>
        <v>#VALUE!</v>
      </c>
      <c r="Z101" s="204" t="e">
        <f t="shared" ca="1" si="209"/>
        <v>#VALUE!</v>
      </c>
      <c r="AA101" s="204" t="e">
        <f t="shared" ca="1" si="209"/>
        <v>#VALUE!</v>
      </c>
      <c r="AB101" s="204" t="e">
        <f t="shared" ca="1" si="209"/>
        <v>#VALUE!</v>
      </c>
      <c r="AC101" s="204" t="e">
        <f t="shared" ca="1" si="209"/>
        <v>#VALUE!</v>
      </c>
      <c r="AD101" s="204" t="e">
        <f t="shared" ca="1" si="209"/>
        <v>#VALUE!</v>
      </c>
      <c r="AE101" s="213" t="e">
        <f t="shared" ca="1" si="209"/>
        <v>#VALUE!</v>
      </c>
    </row>
    <row r="102" spans="1:32" ht="12.75" hidden="1" customHeight="1" x14ac:dyDescent="0.2">
      <c r="D102" s="566"/>
      <c r="E102" s="201">
        <f ca="1">IF(ISERROR(E101),IF(1+COUNTIF($L$13:OFFSET(L101,-1,0),1)&lt;=MAX(QCI!$D$13:$D$24),1+COUNTIF($L$13:OFFSET(L101,-1,0),1),-1),0)</f>
        <v>-1</v>
      </c>
      <c r="F102" s="201" t="str">
        <f t="shared" ref="F102" ca="1" si="210">IF(AND($E102&lt;&gt;-1,$R101&gt;0),"F","")</f>
        <v/>
      </c>
      <c r="G102" s="214" t="str">
        <f ca="1">IF(OR(R101=0,R101=""),"vazia",IF(AND(OR(ACOMPANHAMENTO="PLE",$Q101&lt;&gt;2),$E102=0),"calculada","--&gt;"))</f>
        <v>vazia</v>
      </c>
      <c r="H102" s="215"/>
      <c r="I102" s="216" t="str">
        <f t="shared" ref="I102" ca="1" si="211">IF(AND(G101&lt;&gt;0,ISNUMBER(G101)),"PREENCHA ESTA LINHA --&gt;","")</f>
        <v/>
      </c>
      <c r="J102" s="216"/>
      <c r="K102" s="216"/>
      <c r="L102" s="217"/>
      <c r="M102" s="217"/>
      <c r="N102" s="217"/>
      <c r="O102" s="217"/>
      <c r="P102" s="217"/>
      <c r="Q102" s="217"/>
      <c r="R102" s="218"/>
      <c r="S102" s="219"/>
      <c r="T102" s="567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8"/>
      <c r="AF102" s="530"/>
    </row>
    <row r="103" spans="1:32" ht="0.2" hidden="1" customHeight="1" x14ac:dyDescent="0.2">
      <c r="D103" s="220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$120,"="&amp;CRONO!D$12,CÁLCULO!$AB$15:$AL$120)/(ORÇAMENTO!$X$15-CÁLCULO.TotalAdmLocal)*CRONO!$E103,0),D102*$R101),SUMIF(OFFSET($R103,1,0,$Q101-2),($L101+1)&amp;"$",OFFSET(D103,1,0,$Q101-2)))</f>
        <v>0</v>
      </c>
      <c r="E103" s="201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21"/>
      <c r="R103" s="222" t="str">
        <f t="shared" ref="R103" ca="1" si="212">L101&amp;"$"</f>
        <v>1$</v>
      </c>
      <c r="S103" s="223"/>
      <c r="T103" s="224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$120,"&lt;="&amp;CRONO!T$12,CÁLCULO!$AB$15:$AL$120)/(ORÇAMENTO!$X$15-CÁLCULO.TotalAdmLocal)*CRONO!$E103,0),T102*$R101),SUMIF(OFFSET($R103,1,0,$Q101-2),($L101+1)&amp;"$",OFFSET(T103,1,0,$Q101-2)))</f>
        <v>0</v>
      </c>
      <c r="U103" s="220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$120,"="&amp;CRONO!U$12,CÁLCULO!$AB$15:$AL$120)/(ORÇAMENTO!$X$15-CÁLCULO.TotalAdmLocal)*CRONO!$E103,0),U102*$R101),SUMIF(OFFSET($R103,1,0,$Q101-2),($L101+1)&amp;"$",OFFSET(U103,1,0,$Q101-2)))</f>
        <v>0</v>
      </c>
      <c r="V103" s="220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$120,"="&amp;CRONO!V$12,CÁLCULO!$AB$15:$AL$120)/(ORÇAMENTO!$X$15-CÁLCULO.TotalAdmLocal)*CRONO!$E103,0),V102*$R101),SUMIF(OFFSET($R103,1,0,$Q101-2),($L101+1)&amp;"$",OFFSET(V103,1,0,$Q101-2)))</f>
        <v>0</v>
      </c>
      <c r="W103" s="220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$120,"="&amp;CRONO!W$12,CÁLCULO!$AB$15:$AL$120)/(ORÇAMENTO!$X$15-CÁLCULO.TotalAdmLocal)*CRONO!$E103,0),W102*$R101),SUMIF(OFFSET($R103,1,0,$Q101-2),($L101+1)&amp;"$",OFFSET(W103,1,0,$Q101-2)))</f>
        <v>0</v>
      </c>
      <c r="X103" s="220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$120,"="&amp;CRONO!X$12,CÁLCULO!$AB$15:$AL$120)/(ORÇAMENTO!$X$15-CÁLCULO.TotalAdmLocal)*CRONO!$E103,0),X102*$R101),SUMIF(OFFSET($R103,1,0,$Q101-2),($L101+1)&amp;"$",OFFSET(X103,1,0,$Q101-2)))</f>
        <v>0</v>
      </c>
      <c r="Y103" s="220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$120,"="&amp;CRONO!Y$12,CÁLCULO!$AB$15:$AL$120)/(ORÇAMENTO!$X$15-CÁLCULO.TotalAdmLocal)*CRONO!$E103,0),Y102*$R101),SUMIF(OFFSET($R103,1,0,$Q101-2),($L101+1)&amp;"$",OFFSET(Y103,1,0,$Q101-2)))</f>
        <v>0</v>
      </c>
      <c r="Z103" s="220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$120,"="&amp;CRONO!Z$12,CÁLCULO!$AB$15:$AL$120)/(ORÇAMENTO!$X$15-CÁLCULO.TotalAdmLocal)*CRONO!$E103,0),Z102*$R101),SUMIF(OFFSET($R103,1,0,$Q101-2),($L101+1)&amp;"$",OFFSET(Z103,1,0,$Q101-2)))</f>
        <v>0</v>
      </c>
      <c r="AA103" s="220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$120,"="&amp;CRONO!AA$12,CÁLCULO!$AB$15:$AL$120)/(ORÇAMENTO!$X$15-CÁLCULO.TotalAdmLocal)*CRONO!$E103,0),AA102*$R101),SUMIF(OFFSET($R103,1,0,$Q101-2),($L101+1)&amp;"$",OFFSET(AA103,1,0,$Q101-2)))</f>
        <v>0</v>
      </c>
      <c r="AB103" s="220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$120,"="&amp;CRONO!AB$12,CÁLCULO!$AB$15:$AL$120)/(ORÇAMENTO!$X$15-CÁLCULO.TotalAdmLocal)*CRONO!$E103,0),AB102*$R101),SUMIF(OFFSET($R103,1,0,$Q101-2),($L101+1)&amp;"$",OFFSET(AB103,1,0,$Q101-2)))</f>
        <v>0</v>
      </c>
      <c r="AC103" s="220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$120,"="&amp;CRONO!AC$12,CÁLCULO!$AB$15:$AL$120)/(ORÇAMENTO!$X$15-CÁLCULO.TotalAdmLocal)*CRONO!$E103,0),AC102*$R101),SUMIF(OFFSET($R103,1,0,$Q101-2),($L101+1)&amp;"$",OFFSET(AC103,1,0,$Q101-2)))</f>
        <v>0</v>
      </c>
      <c r="AD103" s="220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$120,"="&amp;CRONO!AD$12,CÁLCULO!$AB$15:$AL$120)/(ORÇAMENTO!$X$15-CÁLCULO.TotalAdmLocal)*CRONO!$E103,0),AD102*$R101),SUMIF(OFFSET($R103,1,0,$Q101-2),($L101+1)&amp;"$",OFFSET(AD103,1,0,$Q101-2)))</f>
        <v>0</v>
      </c>
      <c r="AE103" s="225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$120,"="&amp;CRONO!AE$12,CÁLCULO!$AB$15:$AL$120)/(ORÇAMENTO!$X$15-CÁLCULO.TotalAdmLocal)*CRONO!$E103,0),AE102*$R101),SUMIF(OFFSET($R103,1,0,$Q101-2),($L101+1)&amp;"$",OFFSET(AE103,1,0,$Q101-2)))</f>
        <v>0</v>
      </c>
    </row>
    <row r="104" spans="1:32" hidden="1" x14ac:dyDescent="0.2">
      <c r="A104" s="201">
        <f t="shared" ref="A104" ca="1" si="213">OFFSET(A104,-3,0)+1</f>
        <v>31</v>
      </c>
      <c r="B104" s="201">
        <f ca="1">IF($Q104&lt;&gt;2,0,IF($R104=0,1,IF(E105&gt;0,OFFSET(QCI!$M$13,SUBSTITUTE(E105,".",""),0),OFFSET(ORÇAMENTO!$AA$15,CRONO!$E104,0))/$R104))</f>
        <v>0</v>
      </c>
      <c r="C104" s="201">
        <f ca="1">IF($Q104&lt;&gt;2,0,IF($R104=0,1,IF(E105&gt;0,OFFSET(QCI!$N$13,SUBSTITUTE(E105,".",""),0),OFFSET(ORÇAMENTO!$AB$15,CRONO!$E104,0))/$R104))</f>
        <v>0</v>
      </c>
      <c r="D104" s="204" t="e">
        <f ca="1">IF(AND($Q104=2,ACOMPANHAMENTO="BM"),D105,D106/$R104)</f>
        <v>#VALUE!</v>
      </c>
      <c r="E104" s="201" t="e">
        <f ca="1">IF(A104&lt;=ORÇAMENTO.MáximoListaCrono,MATCH(A104,ORÇAMENTO.ListaCrono,0),NA())</f>
        <v>#N/A</v>
      </c>
      <c r="F104" s="201" t="str">
        <f t="shared" ref="F104" ca="1" si="214">IF(AND($E105&lt;&gt;-1,$R104&gt;0),"F","")</f>
        <v/>
      </c>
      <c r="G104" s="205" t="str">
        <f ca="1">IF(OR(R104=0,R104=""),"Linha",IF(AND(OR(ACOMPANHAMENTO="PLE",$Q104&lt;&gt;2),$E105=0),"Linha",1-SUM(T104:AF104)))</f>
        <v>Linha</v>
      </c>
      <c r="H104" s="206" t="str">
        <f ca="1">IF($E105=0,OFFSET(ORÇAMENTO!O$15,$E104,0),IF($E105&lt;&gt;-1,OFFSET(QCI!$D$13,$E105,0),""))</f>
        <v/>
      </c>
      <c r="I104" s="207" t="str">
        <f ca="1">IF($E105=0,OFFSET(ORÇAMENTO!R$15,$E104,0),IF($E105&lt;&gt;-1,OFFSET(QCI!$G$13,$E105,0),""))</f>
        <v/>
      </c>
      <c r="J104" s="207"/>
      <c r="K104" s="207"/>
      <c r="L104" s="208">
        <f ca="1">IF($E105=0,OFFSET(ORÇAMENTO!C$15,$E104,0),1)</f>
        <v>1</v>
      </c>
      <c r="M104" s="209">
        <f ca="1">IF($E105=-1,0,IF(M$13&lt;=$L104,IF(ISERROR(MATCH(M$13,OFFSET($L104,1,0,ROW($L$164)-ROW($L104)-1),0)),ROW($L$164)-ROW($L104)-1,MATCH(M$13,OFFSET($L104,1,0,ROW($L$164)-ROW($L104)-1),0)-1),0))</f>
        <v>0</v>
      </c>
      <c r="N104" s="209">
        <f ca="1">IF($E105=-1,0,IF(N$13&lt;=$L104,IF(ISERROR(MATCH(N$13,OFFSET($L104,1,0,ROW($L$164)-ROW($L104)-1),0)),ROW($L$164)-ROW($L104)-1,MATCH(N$13,OFFSET($L104,1,0,ROW($L$164)-ROW($L104)-1),0)-1),0))</f>
        <v>0</v>
      </c>
      <c r="O104" s="209">
        <f ca="1">IF($E105=-1,0,IF(O$13&lt;=$L104,IF(ISERROR(MATCH(O$13,OFFSET($L104,1,0,ROW($L$164)-ROW($L104)-1),0)),ROW($L$164)-ROW($L104)-1,MATCH(O$13,OFFSET($L104,1,0,ROW($L$164)-ROW($L104)-1),0)-1),0))</f>
        <v>0</v>
      </c>
      <c r="P104" s="209">
        <f ca="1">IF($E105=-1,0,IF(P$13&lt;=$L104,IF(ISERROR(MATCH(P$13,OFFSET($L104,1,0,ROW($L$164)-ROW($L104)-1),0)),ROW($L$164)-ROW($L104)-1,MATCH(P$13,OFFSET($L104,1,0,ROW($L$164)-ROW($L104)-1),0)-1),0))</f>
        <v>0</v>
      </c>
      <c r="Q104" s="209">
        <f t="shared" ref="Q104" ca="1" si="215">MIN(OFFSET(L104,0,1,,L104))</f>
        <v>0</v>
      </c>
      <c r="R104" s="210" t="str">
        <f ca="1">IF($E105=0,OFFSET(ORÇAMENTO!X$15,$E104,0),IF($E105&lt;&gt;-1,OFFSET(QCI!$O$13,$E105,0),""))</f>
        <v/>
      </c>
      <c r="S104" s="211" t="s">
        <v>270</v>
      </c>
      <c r="T104" s="212" t="e">
        <f t="shared" ref="T104:AE104" ca="1" si="216">IF(AND($Q104=2,ACOMPANHAMENTO="BM"),T105,T106/$R104)</f>
        <v>#VALUE!</v>
      </c>
      <c r="U104" s="204" t="e">
        <f t="shared" ca="1" si="216"/>
        <v>#VALUE!</v>
      </c>
      <c r="V104" s="204" t="e">
        <f t="shared" ca="1" si="216"/>
        <v>#VALUE!</v>
      </c>
      <c r="W104" s="204" t="e">
        <f t="shared" ca="1" si="216"/>
        <v>#VALUE!</v>
      </c>
      <c r="X104" s="204" t="e">
        <f t="shared" ca="1" si="216"/>
        <v>#VALUE!</v>
      </c>
      <c r="Y104" s="204" t="e">
        <f t="shared" ca="1" si="216"/>
        <v>#VALUE!</v>
      </c>
      <c r="Z104" s="204" t="e">
        <f t="shared" ca="1" si="216"/>
        <v>#VALUE!</v>
      </c>
      <c r="AA104" s="204" t="e">
        <f t="shared" ca="1" si="216"/>
        <v>#VALUE!</v>
      </c>
      <c r="AB104" s="204" t="e">
        <f t="shared" ca="1" si="216"/>
        <v>#VALUE!</v>
      </c>
      <c r="AC104" s="204" t="e">
        <f t="shared" ca="1" si="216"/>
        <v>#VALUE!</v>
      </c>
      <c r="AD104" s="204" t="e">
        <f t="shared" ca="1" si="216"/>
        <v>#VALUE!</v>
      </c>
      <c r="AE104" s="213" t="e">
        <f t="shared" ca="1" si="216"/>
        <v>#VALUE!</v>
      </c>
    </row>
    <row r="105" spans="1:32" ht="12.75" hidden="1" customHeight="1" x14ac:dyDescent="0.2">
      <c r="D105" s="566"/>
      <c r="E105" s="201">
        <f ca="1">IF(ISERROR(E104),IF(1+COUNTIF($L$13:OFFSET(L104,-1,0),1)&lt;=MAX(QCI!$D$13:$D$24),1+COUNTIF($L$13:OFFSET(L104,-1,0),1),-1),0)</f>
        <v>-1</v>
      </c>
      <c r="F105" s="201" t="str">
        <f t="shared" ref="F105" ca="1" si="217">IF(AND($E105&lt;&gt;-1,$R104&gt;0),"F","")</f>
        <v/>
      </c>
      <c r="G105" s="214" t="str">
        <f ca="1">IF(OR(R104=0,R104=""),"vazia",IF(AND(OR(ACOMPANHAMENTO="PLE",$Q104&lt;&gt;2),$E105=0),"calculada","--&gt;"))</f>
        <v>vazia</v>
      </c>
      <c r="H105" s="215"/>
      <c r="I105" s="216" t="str">
        <f t="shared" ref="I105" ca="1" si="218">IF(AND(G104&lt;&gt;0,ISNUMBER(G104)),"PREENCHA ESTA LINHA --&gt;","")</f>
        <v/>
      </c>
      <c r="J105" s="216"/>
      <c r="K105" s="216"/>
      <c r="L105" s="217"/>
      <c r="M105" s="217"/>
      <c r="N105" s="217"/>
      <c r="O105" s="217"/>
      <c r="P105" s="217"/>
      <c r="Q105" s="217"/>
      <c r="R105" s="218"/>
      <c r="S105" s="219"/>
      <c r="T105" s="567"/>
      <c r="U105" s="566"/>
      <c r="V105" s="566"/>
      <c r="W105" s="566"/>
      <c r="X105" s="566"/>
      <c r="Y105" s="566"/>
      <c r="Z105" s="566"/>
      <c r="AA105" s="566"/>
      <c r="AB105" s="566"/>
      <c r="AC105" s="566"/>
      <c r="AD105" s="566"/>
      <c r="AE105" s="568"/>
      <c r="AF105" s="530"/>
    </row>
    <row r="106" spans="1:32" ht="0.2" hidden="1" customHeight="1" x14ac:dyDescent="0.2">
      <c r="D106" s="220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$120,"="&amp;CRONO!D$12,CÁLCULO!$AB$15:$AL$120)/(ORÇAMENTO!$X$15-CÁLCULO.TotalAdmLocal)*CRONO!$E106,0),D105*$R104),SUMIF(OFFSET($R106,1,0,$Q104-2),($L104+1)&amp;"$",OFFSET(D106,1,0,$Q104-2)))</f>
        <v>0</v>
      </c>
      <c r="E106" s="201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21"/>
      <c r="R106" s="222" t="str">
        <f t="shared" ref="R106" ca="1" si="219">L104&amp;"$"</f>
        <v>1$</v>
      </c>
      <c r="S106" s="223"/>
      <c r="T106" s="224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$120,"&lt;="&amp;CRONO!T$12,CÁLCULO!$AB$15:$AL$120)/(ORÇAMENTO!$X$15-CÁLCULO.TotalAdmLocal)*CRONO!$E106,0),T105*$R104),SUMIF(OFFSET($R106,1,0,$Q104-2),($L104+1)&amp;"$",OFFSET(T106,1,0,$Q104-2)))</f>
        <v>0</v>
      </c>
      <c r="U106" s="220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$120,"="&amp;CRONO!U$12,CÁLCULO!$AB$15:$AL$120)/(ORÇAMENTO!$X$15-CÁLCULO.TotalAdmLocal)*CRONO!$E106,0),U105*$R104),SUMIF(OFFSET($R106,1,0,$Q104-2),($L104+1)&amp;"$",OFFSET(U106,1,0,$Q104-2)))</f>
        <v>0</v>
      </c>
      <c r="V106" s="220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$120,"="&amp;CRONO!V$12,CÁLCULO!$AB$15:$AL$120)/(ORÇAMENTO!$X$15-CÁLCULO.TotalAdmLocal)*CRONO!$E106,0),V105*$R104),SUMIF(OFFSET($R106,1,0,$Q104-2),($L104+1)&amp;"$",OFFSET(V106,1,0,$Q104-2)))</f>
        <v>0</v>
      </c>
      <c r="W106" s="220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$120,"="&amp;CRONO!W$12,CÁLCULO!$AB$15:$AL$120)/(ORÇAMENTO!$X$15-CÁLCULO.TotalAdmLocal)*CRONO!$E106,0),W105*$R104),SUMIF(OFFSET($R106,1,0,$Q104-2),($L104+1)&amp;"$",OFFSET(W106,1,0,$Q104-2)))</f>
        <v>0</v>
      </c>
      <c r="X106" s="220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$120,"="&amp;CRONO!X$12,CÁLCULO!$AB$15:$AL$120)/(ORÇAMENTO!$X$15-CÁLCULO.TotalAdmLocal)*CRONO!$E106,0),X105*$R104),SUMIF(OFFSET($R106,1,0,$Q104-2),($L104+1)&amp;"$",OFFSET(X106,1,0,$Q104-2)))</f>
        <v>0</v>
      </c>
      <c r="Y106" s="220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$120,"="&amp;CRONO!Y$12,CÁLCULO!$AB$15:$AL$120)/(ORÇAMENTO!$X$15-CÁLCULO.TotalAdmLocal)*CRONO!$E106,0),Y105*$R104),SUMIF(OFFSET($R106,1,0,$Q104-2),($L104+1)&amp;"$",OFFSET(Y106,1,0,$Q104-2)))</f>
        <v>0</v>
      </c>
      <c r="Z106" s="220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$120,"="&amp;CRONO!Z$12,CÁLCULO!$AB$15:$AL$120)/(ORÇAMENTO!$X$15-CÁLCULO.TotalAdmLocal)*CRONO!$E106,0),Z105*$R104),SUMIF(OFFSET($R106,1,0,$Q104-2),($L104+1)&amp;"$",OFFSET(Z106,1,0,$Q104-2)))</f>
        <v>0</v>
      </c>
      <c r="AA106" s="220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$120,"="&amp;CRONO!AA$12,CÁLCULO!$AB$15:$AL$120)/(ORÇAMENTO!$X$15-CÁLCULO.TotalAdmLocal)*CRONO!$E106,0),AA105*$R104),SUMIF(OFFSET($R106,1,0,$Q104-2),($L104+1)&amp;"$",OFFSET(AA106,1,0,$Q104-2)))</f>
        <v>0</v>
      </c>
      <c r="AB106" s="220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$120,"="&amp;CRONO!AB$12,CÁLCULO!$AB$15:$AL$120)/(ORÇAMENTO!$X$15-CÁLCULO.TotalAdmLocal)*CRONO!$E106,0),AB105*$R104),SUMIF(OFFSET($R106,1,0,$Q104-2),($L104+1)&amp;"$",OFFSET(AB106,1,0,$Q104-2)))</f>
        <v>0</v>
      </c>
      <c r="AC106" s="220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$120,"="&amp;CRONO!AC$12,CÁLCULO!$AB$15:$AL$120)/(ORÇAMENTO!$X$15-CÁLCULO.TotalAdmLocal)*CRONO!$E106,0),AC105*$R104),SUMIF(OFFSET($R106,1,0,$Q104-2),($L104+1)&amp;"$",OFFSET(AC106,1,0,$Q104-2)))</f>
        <v>0</v>
      </c>
      <c r="AD106" s="220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$120,"="&amp;CRONO!AD$12,CÁLCULO!$AB$15:$AL$120)/(ORÇAMENTO!$X$15-CÁLCULO.TotalAdmLocal)*CRONO!$E106,0),AD105*$R104),SUMIF(OFFSET($R106,1,0,$Q104-2),($L104+1)&amp;"$",OFFSET(AD106,1,0,$Q104-2)))</f>
        <v>0</v>
      </c>
      <c r="AE106" s="225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$120,"="&amp;CRONO!AE$12,CÁLCULO!$AB$15:$AL$120)/(ORÇAMENTO!$X$15-CÁLCULO.TotalAdmLocal)*CRONO!$E106,0),AE105*$R104),SUMIF(OFFSET($R106,1,0,$Q104-2),($L104+1)&amp;"$",OFFSET(AE106,1,0,$Q104-2)))</f>
        <v>0</v>
      </c>
    </row>
    <row r="107" spans="1:32" hidden="1" x14ac:dyDescent="0.2">
      <c r="A107" s="201">
        <f t="shared" ref="A107" ca="1" si="220">OFFSET(A107,-3,0)+1</f>
        <v>32</v>
      </c>
      <c r="B107" s="201">
        <f ca="1">IF($Q107&lt;&gt;2,0,IF($R107=0,1,IF(E108&gt;0,OFFSET(QCI!$M$13,SUBSTITUTE(E108,".",""),0),OFFSET(ORÇAMENTO!$AA$15,CRONO!$E107,0))/$R107))</f>
        <v>0</v>
      </c>
      <c r="C107" s="201">
        <f ca="1">IF($Q107&lt;&gt;2,0,IF($R107=0,1,IF(E108&gt;0,OFFSET(QCI!$N$13,SUBSTITUTE(E108,".",""),0),OFFSET(ORÇAMENTO!$AB$15,CRONO!$E107,0))/$R107))</f>
        <v>0</v>
      </c>
      <c r="D107" s="204" t="e">
        <f ca="1">IF(AND($Q107=2,ACOMPANHAMENTO="BM"),D108,D109/$R107)</f>
        <v>#VALUE!</v>
      </c>
      <c r="E107" s="201" t="e">
        <f ca="1">IF(A107&lt;=ORÇAMENTO.MáximoListaCrono,MATCH(A107,ORÇAMENTO.ListaCrono,0),NA())</f>
        <v>#N/A</v>
      </c>
      <c r="F107" s="201" t="str">
        <f t="shared" ref="F107" ca="1" si="221">IF(AND($E108&lt;&gt;-1,$R107&gt;0),"F","")</f>
        <v/>
      </c>
      <c r="G107" s="205" t="str">
        <f ca="1">IF(OR(R107=0,R107=""),"Linha",IF(AND(OR(ACOMPANHAMENTO="PLE",$Q107&lt;&gt;2),$E108=0),"Linha",1-SUM(T107:AF107)))</f>
        <v>Linha</v>
      </c>
      <c r="H107" s="206" t="str">
        <f ca="1">IF($E108=0,OFFSET(ORÇAMENTO!O$15,$E107,0),IF($E108&lt;&gt;-1,OFFSET(QCI!$D$13,$E108,0),""))</f>
        <v/>
      </c>
      <c r="I107" s="207" t="str">
        <f ca="1">IF($E108=0,OFFSET(ORÇAMENTO!R$15,$E107,0),IF($E108&lt;&gt;-1,OFFSET(QCI!$G$13,$E108,0),""))</f>
        <v/>
      </c>
      <c r="J107" s="207"/>
      <c r="K107" s="207"/>
      <c r="L107" s="208">
        <f ca="1">IF($E108=0,OFFSET(ORÇAMENTO!C$15,$E107,0),1)</f>
        <v>1</v>
      </c>
      <c r="M107" s="209">
        <f ca="1">IF($E108=-1,0,IF(M$13&lt;=$L107,IF(ISERROR(MATCH(M$13,OFFSET($L107,1,0,ROW($L$164)-ROW($L107)-1),0)),ROW($L$164)-ROW($L107)-1,MATCH(M$13,OFFSET($L107,1,0,ROW($L$164)-ROW($L107)-1),0)-1),0))</f>
        <v>0</v>
      </c>
      <c r="N107" s="209">
        <f ca="1">IF($E108=-1,0,IF(N$13&lt;=$L107,IF(ISERROR(MATCH(N$13,OFFSET($L107,1,0,ROW($L$164)-ROW($L107)-1),0)),ROW($L$164)-ROW($L107)-1,MATCH(N$13,OFFSET($L107,1,0,ROW($L$164)-ROW($L107)-1),0)-1),0))</f>
        <v>0</v>
      </c>
      <c r="O107" s="209">
        <f ca="1">IF($E108=-1,0,IF(O$13&lt;=$L107,IF(ISERROR(MATCH(O$13,OFFSET($L107,1,0,ROW($L$164)-ROW($L107)-1),0)),ROW($L$164)-ROW($L107)-1,MATCH(O$13,OFFSET($L107,1,0,ROW($L$164)-ROW($L107)-1),0)-1),0))</f>
        <v>0</v>
      </c>
      <c r="P107" s="209">
        <f ca="1">IF($E108=-1,0,IF(P$13&lt;=$L107,IF(ISERROR(MATCH(P$13,OFFSET($L107,1,0,ROW($L$164)-ROW($L107)-1),0)),ROW($L$164)-ROW($L107)-1,MATCH(P$13,OFFSET($L107,1,0,ROW($L$164)-ROW($L107)-1),0)-1),0))</f>
        <v>0</v>
      </c>
      <c r="Q107" s="209">
        <f t="shared" ref="Q107" ca="1" si="222">MIN(OFFSET(L107,0,1,,L107))</f>
        <v>0</v>
      </c>
      <c r="R107" s="210" t="str">
        <f ca="1">IF($E108=0,OFFSET(ORÇAMENTO!X$15,$E107,0),IF($E108&lt;&gt;-1,OFFSET(QCI!$O$13,$E108,0),""))</f>
        <v/>
      </c>
      <c r="S107" s="211" t="s">
        <v>270</v>
      </c>
      <c r="T107" s="212" t="e">
        <f t="shared" ref="T107:AE107" ca="1" si="223">IF(AND($Q107=2,ACOMPANHAMENTO="BM"),T108,T109/$R107)</f>
        <v>#VALUE!</v>
      </c>
      <c r="U107" s="204" t="e">
        <f t="shared" ca="1" si="223"/>
        <v>#VALUE!</v>
      </c>
      <c r="V107" s="204" t="e">
        <f t="shared" ca="1" si="223"/>
        <v>#VALUE!</v>
      </c>
      <c r="W107" s="204" t="e">
        <f t="shared" ca="1" si="223"/>
        <v>#VALUE!</v>
      </c>
      <c r="X107" s="204" t="e">
        <f t="shared" ca="1" si="223"/>
        <v>#VALUE!</v>
      </c>
      <c r="Y107" s="204" t="e">
        <f t="shared" ca="1" si="223"/>
        <v>#VALUE!</v>
      </c>
      <c r="Z107" s="204" t="e">
        <f t="shared" ca="1" si="223"/>
        <v>#VALUE!</v>
      </c>
      <c r="AA107" s="204" t="e">
        <f t="shared" ca="1" si="223"/>
        <v>#VALUE!</v>
      </c>
      <c r="AB107" s="204" t="e">
        <f t="shared" ca="1" si="223"/>
        <v>#VALUE!</v>
      </c>
      <c r="AC107" s="204" t="e">
        <f t="shared" ca="1" si="223"/>
        <v>#VALUE!</v>
      </c>
      <c r="AD107" s="204" t="e">
        <f t="shared" ca="1" si="223"/>
        <v>#VALUE!</v>
      </c>
      <c r="AE107" s="213" t="e">
        <f t="shared" ca="1" si="223"/>
        <v>#VALUE!</v>
      </c>
    </row>
    <row r="108" spans="1:32" ht="12.75" hidden="1" customHeight="1" x14ac:dyDescent="0.2">
      <c r="D108" s="566"/>
      <c r="E108" s="201">
        <f ca="1">IF(ISERROR(E107),IF(1+COUNTIF($L$13:OFFSET(L107,-1,0),1)&lt;=MAX(QCI!$D$13:$D$24),1+COUNTIF($L$13:OFFSET(L107,-1,0),1),-1),0)</f>
        <v>-1</v>
      </c>
      <c r="F108" s="201" t="str">
        <f t="shared" ref="F108" ca="1" si="224">IF(AND($E108&lt;&gt;-1,$R107&gt;0),"F","")</f>
        <v/>
      </c>
      <c r="G108" s="214" t="str">
        <f ca="1">IF(OR(R107=0,R107=""),"vazia",IF(AND(OR(ACOMPANHAMENTO="PLE",$Q107&lt;&gt;2),$E108=0),"calculada","--&gt;"))</f>
        <v>vazia</v>
      </c>
      <c r="H108" s="215"/>
      <c r="I108" s="216" t="str">
        <f t="shared" ref="I108" ca="1" si="225">IF(AND(G107&lt;&gt;0,ISNUMBER(G107)),"PREENCHA ESTA LINHA --&gt;","")</f>
        <v/>
      </c>
      <c r="J108" s="216"/>
      <c r="K108" s="216"/>
      <c r="L108" s="217"/>
      <c r="M108" s="217"/>
      <c r="N108" s="217"/>
      <c r="O108" s="217"/>
      <c r="P108" s="217"/>
      <c r="Q108" s="217"/>
      <c r="R108" s="218"/>
      <c r="S108" s="219"/>
      <c r="T108" s="567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8"/>
      <c r="AF108" s="530"/>
    </row>
    <row r="109" spans="1:32" ht="0.2" hidden="1" customHeight="1" x14ac:dyDescent="0.2">
      <c r="D109" s="220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$120,"="&amp;CRONO!D$12,CÁLCULO!$AB$15:$AL$120)/(ORÇAMENTO!$X$15-CÁLCULO.TotalAdmLocal)*CRONO!$E109,0),D108*$R107),SUMIF(OFFSET($R109,1,0,$Q107-2),($L107+1)&amp;"$",OFFSET(D109,1,0,$Q107-2)))</f>
        <v>0</v>
      </c>
      <c r="E109" s="201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21"/>
      <c r="R109" s="222" t="str">
        <f t="shared" ref="R109" ca="1" si="226">L107&amp;"$"</f>
        <v>1$</v>
      </c>
      <c r="S109" s="223"/>
      <c r="T109" s="224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$120,"&lt;="&amp;CRONO!T$12,CÁLCULO!$AB$15:$AL$120)/(ORÇAMENTO!$X$15-CÁLCULO.TotalAdmLocal)*CRONO!$E109,0),T108*$R107),SUMIF(OFFSET($R109,1,0,$Q107-2),($L107+1)&amp;"$",OFFSET(T109,1,0,$Q107-2)))</f>
        <v>0</v>
      </c>
      <c r="U109" s="220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$120,"="&amp;CRONO!U$12,CÁLCULO!$AB$15:$AL$120)/(ORÇAMENTO!$X$15-CÁLCULO.TotalAdmLocal)*CRONO!$E109,0),U108*$R107),SUMIF(OFFSET($R109,1,0,$Q107-2),($L107+1)&amp;"$",OFFSET(U109,1,0,$Q107-2)))</f>
        <v>0</v>
      </c>
      <c r="V109" s="220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$120,"="&amp;CRONO!V$12,CÁLCULO!$AB$15:$AL$120)/(ORÇAMENTO!$X$15-CÁLCULO.TotalAdmLocal)*CRONO!$E109,0),V108*$R107),SUMIF(OFFSET($R109,1,0,$Q107-2),($L107+1)&amp;"$",OFFSET(V109,1,0,$Q107-2)))</f>
        <v>0</v>
      </c>
      <c r="W109" s="220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$120,"="&amp;CRONO!W$12,CÁLCULO!$AB$15:$AL$120)/(ORÇAMENTO!$X$15-CÁLCULO.TotalAdmLocal)*CRONO!$E109,0),W108*$R107),SUMIF(OFFSET($R109,1,0,$Q107-2),($L107+1)&amp;"$",OFFSET(W109,1,0,$Q107-2)))</f>
        <v>0</v>
      </c>
      <c r="X109" s="220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$120,"="&amp;CRONO!X$12,CÁLCULO!$AB$15:$AL$120)/(ORÇAMENTO!$X$15-CÁLCULO.TotalAdmLocal)*CRONO!$E109,0),X108*$R107),SUMIF(OFFSET($R109,1,0,$Q107-2),($L107+1)&amp;"$",OFFSET(X109,1,0,$Q107-2)))</f>
        <v>0</v>
      </c>
      <c r="Y109" s="220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$120,"="&amp;CRONO!Y$12,CÁLCULO!$AB$15:$AL$120)/(ORÇAMENTO!$X$15-CÁLCULO.TotalAdmLocal)*CRONO!$E109,0),Y108*$R107),SUMIF(OFFSET($R109,1,0,$Q107-2),($L107+1)&amp;"$",OFFSET(Y109,1,0,$Q107-2)))</f>
        <v>0</v>
      </c>
      <c r="Z109" s="220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$120,"="&amp;CRONO!Z$12,CÁLCULO!$AB$15:$AL$120)/(ORÇAMENTO!$X$15-CÁLCULO.TotalAdmLocal)*CRONO!$E109,0),Z108*$R107),SUMIF(OFFSET($R109,1,0,$Q107-2),($L107+1)&amp;"$",OFFSET(Z109,1,0,$Q107-2)))</f>
        <v>0</v>
      </c>
      <c r="AA109" s="220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$120,"="&amp;CRONO!AA$12,CÁLCULO!$AB$15:$AL$120)/(ORÇAMENTO!$X$15-CÁLCULO.TotalAdmLocal)*CRONO!$E109,0),AA108*$R107),SUMIF(OFFSET($R109,1,0,$Q107-2),($L107+1)&amp;"$",OFFSET(AA109,1,0,$Q107-2)))</f>
        <v>0</v>
      </c>
      <c r="AB109" s="220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$120,"="&amp;CRONO!AB$12,CÁLCULO!$AB$15:$AL$120)/(ORÇAMENTO!$X$15-CÁLCULO.TotalAdmLocal)*CRONO!$E109,0),AB108*$R107),SUMIF(OFFSET($R109,1,0,$Q107-2),($L107+1)&amp;"$",OFFSET(AB109,1,0,$Q107-2)))</f>
        <v>0</v>
      </c>
      <c r="AC109" s="220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$120,"="&amp;CRONO!AC$12,CÁLCULO!$AB$15:$AL$120)/(ORÇAMENTO!$X$15-CÁLCULO.TotalAdmLocal)*CRONO!$E109,0),AC108*$R107),SUMIF(OFFSET($R109,1,0,$Q107-2),($L107+1)&amp;"$",OFFSET(AC109,1,0,$Q107-2)))</f>
        <v>0</v>
      </c>
      <c r="AD109" s="220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$120,"="&amp;CRONO!AD$12,CÁLCULO!$AB$15:$AL$120)/(ORÇAMENTO!$X$15-CÁLCULO.TotalAdmLocal)*CRONO!$E109,0),AD108*$R107),SUMIF(OFFSET($R109,1,0,$Q107-2),($L107+1)&amp;"$",OFFSET(AD109,1,0,$Q107-2)))</f>
        <v>0</v>
      </c>
      <c r="AE109" s="225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$120,"="&amp;CRONO!AE$12,CÁLCULO!$AB$15:$AL$120)/(ORÇAMENTO!$X$15-CÁLCULO.TotalAdmLocal)*CRONO!$E109,0),AE108*$R107),SUMIF(OFFSET($R109,1,0,$Q107-2),($L107+1)&amp;"$",OFFSET(AE109,1,0,$Q107-2)))</f>
        <v>0</v>
      </c>
    </row>
    <row r="110" spans="1:32" hidden="1" x14ac:dyDescent="0.2">
      <c r="A110" s="201">
        <f t="shared" ref="A110" ca="1" si="227">OFFSET(A110,-3,0)+1</f>
        <v>33</v>
      </c>
      <c r="B110" s="201">
        <f ca="1">IF($Q110&lt;&gt;2,0,IF($R110=0,1,IF(E111&gt;0,OFFSET(QCI!$M$13,SUBSTITUTE(E111,".",""),0),OFFSET(ORÇAMENTO!$AA$15,CRONO!$E110,0))/$R110))</f>
        <v>0</v>
      </c>
      <c r="C110" s="201">
        <f ca="1">IF($Q110&lt;&gt;2,0,IF($R110=0,1,IF(E111&gt;0,OFFSET(QCI!$N$13,SUBSTITUTE(E111,".",""),0),OFFSET(ORÇAMENTO!$AB$15,CRONO!$E110,0))/$R110))</f>
        <v>0</v>
      </c>
      <c r="D110" s="204" t="e">
        <f ca="1">IF(AND($Q110=2,ACOMPANHAMENTO="BM"),D111,D112/$R110)</f>
        <v>#VALUE!</v>
      </c>
      <c r="E110" s="201" t="e">
        <f ca="1">IF(A110&lt;=ORÇAMENTO.MáximoListaCrono,MATCH(A110,ORÇAMENTO.ListaCrono,0),NA())</f>
        <v>#N/A</v>
      </c>
      <c r="F110" s="201" t="str">
        <f t="shared" ref="F110" ca="1" si="228">IF(AND($E111&lt;&gt;-1,$R110&gt;0),"F","")</f>
        <v/>
      </c>
      <c r="G110" s="205" t="str">
        <f ca="1">IF(OR(R110=0,R110=""),"Linha",IF(AND(OR(ACOMPANHAMENTO="PLE",$Q110&lt;&gt;2),$E111=0),"Linha",1-SUM(T110:AF110)))</f>
        <v>Linha</v>
      </c>
      <c r="H110" s="206" t="str">
        <f ca="1">IF($E111=0,OFFSET(ORÇAMENTO!O$15,$E110,0),IF($E111&lt;&gt;-1,OFFSET(QCI!$D$13,$E111,0),""))</f>
        <v/>
      </c>
      <c r="I110" s="207" t="str">
        <f ca="1">IF($E111=0,OFFSET(ORÇAMENTO!R$15,$E110,0),IF($E111&lt;&gt;-1,OFFSET(QCI!$G$13,$E111,0),""))</f>
        <v/>
      </c>
      <c r="J110" s="207"/>
      <c r="K110" s="207"/>
      <c r="L110" s="208">
        <f ca="1">IF($E111=0,OFFSET(ORÇAMENTO!C$15,$E110,0),1)</f>
        <v>1</v>
      </c>
      <c r="M110" s="209">
        <f ca="1">IF($E111=-1,0,IF(M$13&lt;=$L110,IF(ISERROR(MATCH(M$13,OFFSET($L110,1,0,ROW($L$164)-ROW($L110)-1),0)),ROW($L$164)-ROW($L110)-1,MATCH(M$13,OFFSET($L110,1,0,ROW($L$164)-ROW($L110)-1),0)-1),0))</f>
        <v>0</v>
      </c>
      <c r="N110" s="209">
        <f ca="1">IF($E111=-1,0,IF(N$13&lt;=$L110,IF(ISERROR(MATCH(N$13,OFFSET($L110,1,0,ROW($L$164)-ROW($L110)-1),0)),ROW($L$164)-ROW($L110)-1,MATCH(N$13,OFFSET($L110,1,0,ROW($L$164)-ROW($L110)-1),0)-1),0))</f>
        <v>0</v>
      </c>
      <c r="O110" s="209">
        <f ca="1">IF($E111=-1,0,IF(O$13&lt;=$L110,IF(ISERROR(MATCH(O$13,OFFSET($L110,1,0,ROW($L$164)-ROW($L110)-1),0)),ROW($L$164)-ROW($L110)-1,MATCH(O$13,OFFSET($L110,1,0,ROW($L$164)-ROW($L110)-1),0)-1),0))</f>
        <v>0</v>
      </c>
      <c r="P110" s="209">
        <f ca="1">IF($E111=-1,0,IF(P$13&lt;=$L110,IF(ISERROR(MATCH(P$13,OFFSET($L110,1,0,ROW($L$164)-ROW($L110)-1),0)),ROW($L$164)-ROW($L110)-1,MATCH(P$13,OFFSET($L110,1,0,ROW($L$164)-ROW($L110)-1),0)-1),0))</f>
        <v>0</v>
      </c>
      <c r="Q110" s="209">
        <f t="shared" ref="Q110" ca="1" si="229">MIN(OFFSET(L110,0,1,,L110))</f>
        <v>0</v>
      </c>
      <c r="R110" s="210" t="str">
        <f ca="1">IF($E111=0,OFFSET(ORÇAMENTO!X$15,$E110,0),IF($E111&lt;&gt;-1,OFFSET(QCI!$O$13,$E111,0),""))</f>
        <v/>
      </c>
      <c r="S110" s="211" t="s">
        <v>270</v>
      </c>
      <c r="T110" s="212" t="e">
        <f t="shared" ref="T110:AE110" ca="1" si="230">IF(AND($Q110=2,ACOMPANHAMENTO="BM"),T111,T112/$R110)</f>
        <v>#VALUE!</v>
      </c>
      <c r="U110" s="204" t="e">
        <f t="shared" ca="1" si="230"/>
        <v>#VALUE!</v>
      </c>
      <c r="V110" s="204" t="e">
        <f t="shared" ca="1" si="230"/>
        <v>#VALUE!</v>
      </c>
      <c r="W110" s="204" t="e">
        <f t="shared" ca="1" si="230"/>
        <v>#VALUE!</v>
      </c>
      <c r="X110" s="204" t="e">
        <f t="shared" ca="1" si="230"/>
        <v>#VALUE!</v>
      </c>
      <c r="Y110" s="204" t="e">
        <f t="shared" ca="1" si="230"/>
        <v>#VALUE!</v>
      </c>
      <c r="Z110" s="204" t="e">
        <f t="shared" ca="1" si="230"/>
        <v>#VALUE!</v>
      </c>
      <c r="AA110" s="204" t="e">
        <f t="shared" ca="1" si="230"/>
        <v>#VALUE!</v>
      </c>
      <c r="AB110" s="204" t="e">
        <f t="shared" ca="1" si="230"/>
        <v>#VALUE!</v>
      </c>
      <c r="AC110" s="204" t="e">
        <f t="shared" ca="1" si="230"/>
        <v>#VALUE!</v>
      </c>
      <c r="AD110" s="204" t="e">
        <f t="shared" ca="1" si="230"/>
        <v>#VALUE!</v>
      </c>
      <c r="AE110" s="213" t="e">
        <f t="shared" ca="1" si="230"/>
        <v>#VALUE!</v>
      </c>
    </row>
    <row r="111" spans="1:32" ht="12.75" hidden="1" customHeight="1" x14ac:dyDescent="0.2">
      <c r="D111" s="566"/>
      <c r="E111" s="201">
        <f ca="1">IF(ISERROR(E110),IF(1+COUNTIF($L$13:OFFSET(L110,-1,0),1)&lt;=MAX(QCI!$D$13:$D$24),1+COUNTIF($L$13:OFFSET(L110,-1,0),1),-1),0)</f>
        <v>-1</v>
      </c>
      <c r="F111" s="201" t="str">
        <f t="shared" ref="F111" ca="1" si="231">IF(AND($E111&lt;&gt;-1,$R110&gt;0),"F","")</f>
        <v/>
      </c>
      <c r="G111" s="214" t="str">
        <f ca="1">IF(OR(R110=0,R110=""),"vazia",IF(AND(OR(ACOMPANHAMENTO="PLE",$Q110&lt;&gt;2),$E111=0),"calculada","--&gt;"))</f>
        <v>vazia</v>
      </c>
      <c r="H111" s="215"/>
      <c r="I111" s="216" t="str">
        <f t="shared" ref="I111" ca="1" si="232">IF(AND(G110&lt;&gt;0,ISNUMBER(G110)),"PREENCHA ESTA LINHA --&gt;","")</f>
        <v/>
      </c>
      <c r="J111" s="216"/>
      <c r="K111" s="216"/>
      <c r="L111" s="217"/>
      <c r="M111" s="217"/>
      <c r="N111" s="217"/>
      <c r="O111" s="217"/>
      <c r="P111" s="217"/>
      <c r="Q111" s="217"/>
      <c r="R111" s="218"/>
      <c r="S111" s="219"/>
      <c r="T111" s="567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8"/>
      <c r="AF111" s="530"/>
    </row>
    <row r="112" spans="1:32" ht="0.2" hidden="1" customHeight="1" x14ac:dyDescent="0.2">
      <c r="D112" s="220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$120,"="&amp;CRONO!D$12,CÁLCULO!$AB$15:$AL$120)/(ORÇAMENTO!$X$15-CÁLCULO.TotalAdmLocal)*CRONO!$E112,0),D111*$R110),SUMIF(OFFSET($R112,1,0,$Q110-2),($L110+1)&amp;"$",OFFSET(D112,1,0,$Q110-2)))</f>
        <v>0</v>
      </c>
      <c r="E112" s="201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21"/>
      <c r="R112" s="222" t="str">
        <f t="shared" ref="R112" ca="1" si="233">L110&amp;"$"</f>
        <v>1$</v>
      </c>
      <c r="S112" s="223"/>
      <c r="T112" s="224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$120,"&lt;="&amp;CRONO!T$12,CÁLCULO!$AB$15:$AL$120)/(ORÇAMENTO!$X$15-CÁLCULO.TotalAdmLocal)*CRONO!$E112,0),T111*$R110),SUMIF(OFFSET($R112,1,0,$Q110-2),($L110+1)&amp;"$",OFFSET(T112,1,0,$Q110-2)))</f>
        <v>0</v>
      </c>
      <c r="U112" s="220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$120,"="&amp;CRONO!U$12,CÁLCULO!$AB$15:$AL$120)/(ORÇAMENTO!$X$15-CÁLCULO.TotalAdmLocal)*CRONO!$E112,0),U111*$R110),SUMIF(OFFSET($R112,1,0,$Q110-2),($L110+1)&amp;"$",OFFSET(U112,1,0,$Q110-2)))</f>
        <v>0</v>
      </c>
      <c r="V112" s="220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$120,"="&amp;CRONO!V$12,CÁLCULO!$AB$15:$AL$120)/(ORÇAMENTO!$X$15-CÁLCULO.TotalAdmLocal)*CRONO!$E112,0),V111*$R110),SUMIF(OFFSET($R112,1,0,$Q110-2),($L110+1)&amp;"$",OFFSET(V112,1,0,$Q110-2)))</f>
        <v>0</v>
      </c>
      <c r="W112" s="220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$120,"="&amp;CRONO!W$12,CÁLCULO!$AB$15:$AL$120)/(ORÇAMENTO!$X$15-CÁLCULO.TotalAdmLocal)*CRONO!$E112,0),W111*$R110),SUMIF(OFFSET($R112,1,0,$Q110-2),($L110+1)&amp;"$",OFFSET(W112,1,0,$Q110-2)))</f>
        <v>0</v>
      </c>
      <c r="X112" s="220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$120,"="&amp;CRONO!X$12,CÁLCULO!$AB$15:$AL$120)/(ORÇAMENTO!$X$15-CÁLCULO.TotalAdmLocal)*CRONO!$E112,0),X111*$R110),SUMIF(OFFSET($R112,1,0,$Q110-2),($L110+1)&amp;"$",OFFSET(X112,1,0,$Q110-2)))</f>
        <v>0</v>
      </c>
      <c r="Y112" s="220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$120,"="&amp;CRONO!Y$12,CÁLCULO!$AB$15:$AL$120)/(ORÇAMENTO!$X$15-CÁLCULO.TotalAdmLocal)*CRONO!$E112,0),Y111*$R110),SUMIF(OFFSET($R112,1,0,$Q110-2),($L110+1)&amp;"$",OFFSET(Y112,1,0,$Q110-2)))</f>
        <v>0</v>
      </c>
      <c r="Z112" s="220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$120,"="&amp;CRONO!Z$12,CÁLCULO!$AB$15:$AL$120)/(ORÇAMENTO!$X$15-CÁLCULO.TotalAdmLocal)*CRONO!$E112,0),Z111*$R110),SUMIF(OFFSET($R112,1,0,$Q110-2),($L110+1)&amp;"$",OFFSET(Z112,1,0,$Q110-2)))</f>
        <v>0</v>
      </c>
      <c r="AA112" s="220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$120,"="&amp;CRONO!AA$12,CÁLCULO!$AB$15:$AL$120)/(ORÇAMENTO!$X$15-CÁLCULO.TotalAdmLocal)*CRONO!$E112,0),AA111*$R110),SUMIF(OFFSET($R112,1,0,$Q110-2),($L110+1)&amp;"$",OFFSET(AA112,1,0,$Q110-2)))</f>
        <v>0</v>
      </c>
      <c r="AB112" s="220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$120,"="&amp;CRONO!AB$12,CÁLCULO!$AB$15:$AL$120)/(ORÇAMENTO!$X$15-CÁLCULO.TotalAdmLocal)*CRONO!$E112,0),AB111*$R110),SUMIF(OFFSET($R112,1,0,$Q110-2),($L110+1)&amp;"$",OFFSET(AB112,1,0,$Q110-2)))</f>
        <v>0</v>
      </c>
      <c r="AC112" s="220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$120,"="&amp;CRONO!AC$12,CÁLCULO!$AB$15:$AL$120)/(ORÇAMENTO!$X$15-CÁLCULO.TotalAdmLocal)*CRONO!$E112,0),AC111*$R110),SUMIF(OFFSET($R112,1,0,$Q110-2),($L110+1)&amp;"$",OFFSET(AC112,1,0,$Q110-2)))</f>
        <v>0</v>
      </c>
      <c r="AD112" s="220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$120,"="&amp;CRONO!AD$12,CÁLCULO!$AB$15:$AL$120)/(ORÇAMENTO!$X$15-CÁLCULO.TotalAdmLocal)*CRONO!$E112,0),AD111*$R110),SUMIF(OFFSET($R112,1,0,$Q110-2),($L110+1)&amp;"$",OFFSET(AD112,1,0,$Q110-2)))</f>
        <v>0</v>
      </c>
      <c r="AE112" s="225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$120,"="&amp;CRONO!AE$12,CÁLCULO!$AB$15:$AL$120)/(ORÇAMENTO!$X$15-CÁLCULO.TotalAdmLocal)*CRONO!$E112,0),AE111*$R110),SUMIF(OFFSET($R112,1,0,$Q110-2),($L110+1)&amp;"$",OFFSET(AE112,1,0,$Q110-2)))</f>
        <v>0</v>
      </c>
    </row>
    <row r="113" spans="1:32" hidden="1" x14ac:dyDescent="0.2">
      <c r="A113" s="201">
        <f t="shared" ref="A113" ca="1" si="234">OFFSET(A113,-3,0)+1</f>
        <v>34</v>
      </c>
      <c r="B113" s="201">
        <f ca="1">IF($Q113&lt;&gt;2,0,IF($R113=0,1,IF(E114&gt;0,OFFSET(QCI!$M$13,SUBSTITUTE(E114,".",""),0),OFFSET(ORÇAMENTO!$AA$15,CRONO!$E113,0))/$R113))</f>
        <v>0</v>
      </c>
      <c r="C113" s="201">
        <f ca="1">IF($Q113&lt;&gt;2,0,IF($R113=0,1,IF(E114&gt;0,OFFSET(QCI!$N$13,SUBSTITUTE(E114,".",""),0),OFFSET(ORÇAMENTO!$AB$15,CRONO!$E113,0))/$R113))</f>
        <v>0</v>
      </c>
      <c r="D113" s="204" t="e">
        <f ca="1">IF(AND($Q113=2,ACOMPANHAMENTO="BM"),D114,D115/$R113)</f>
        <v>#VALUE!</v>
      </c>
      <c r="E113" s="201" t="e">
        <f ca="1">IF(A113&lt;=ORÇAMENTO.MáximoListaCrono,MATCH(A113,ORÇAMENTO.ListaCrono,0),NA())</f>
        <v>#N/A</v>
      </c>
      <c r="F113" s="201" t="str">
        <f t="shared" ref="F113" ca="1" si="235">IF(AND($E114&lt;&gt;-1,$R113&gt;0),"F","")</f>
        <v/>
      </c>
      <c r="G113" s="205" t="str">
        <f ca="1">IF(OR(R113=0,R113=""),"Linha",IF(AND(OR(ACOMPANHAMENTO="PLE",$Q113&lt;&gt;2),$E114=0),"Linha",1-SUM(T113:AF113)))</f>
        <v>Linha</v>
      </c>
      <c r="H113" s="206" t="str">
        <f ca="1">IF($E114=0,OFFSET(ORÇAMENTO!O$15,$E113,0),IF($E114&lt;&gt;-1,OFFSET(QCI!$D$13,$E114,0),""))</f>
        <v/>
      </c>
      <c r="I113" s="207" t="str">
        <f ca="1">IF($E114=0,OFFSET(ORÇAMENTO!R$15,$E113,0),IF($E114&lt;&gt;-1,OFFSET(QCI!$G$13,$E114,0),""))</f>
        <v/>
      </c>
      <c r="J113" s="207"/>
      <c r="K113" s="207"/>
      <c r="L113" s="208">
        <f ca="1">IF($E114=0,OFFSET(ORÇAMENTO!C$15,$E113,0),1)</f>
        <v>1</v>
      </c>
      <c r="M113" s="209">
        <f ca="1">IF($E114=-1,0,IF(M$13&lt;=$L113,IF(ISERROR(MATCH(M$13,OFFSET($L113,1,0,ROW($L$164)-ROW($L113)-1),0)),ROW($L$164)-ROW($L113)-1,MATCH(M$13,OFFSET($L113,1,0,ROW($L$164)-ROW($L113)-1),0)-1),0))</f>
        <v>0</v>
      </c>
      <c r="N113" s="209">
        <f ca="1">IF($E114=-1,0,IF(N$13&lt;=$L113,IF(ISERROR(MATCH(N$13,OFFSET($L113,1,0,ROW($L$164)-ROW($L113)-1),0)),ROW($L$164)-ROW($L113)-1,MATCH(N$13,OFFSET($L113,1,0,ROW($L$164)-ROW($L113)-1),0)-1),0))</f>
        <v>0</v>
      </c>
      <c r="O113" s="209">
        <f ca="1">IF($E114=-1,0,IF(O$13&lt;=$L113,IF(ISERROR(MATCH(O$13,OFFSET($L113,1,0,ROW($L$164)-ROW($L113)-1),0)),ROW($L$164)-ROW($L113)-1,MATCH(O$13,OFFSET($L113,1,0,ROW($L$164)-ROW($L113)-1),0)-1),0))</f>
        <v>0</v>
      </c>
      <c r="P113" s="209">
        <f ca="1">IF($E114=-1,0,IF(P$13&lt;=$L113,IF(ISERROR(MATCH(P$13,OFFSET($L113,1,0,ROW($L$164)-ROW($L113)-1),0)),ROW($L$164)-ROW($L113)-1,MATCH(P$13,OFFSET($L113,1,0,ROW($L$164)-ROW($L113)-1),0)-1),0))</f>
        <v>0</v>
      </c>
      <c r="Q113" s="209">
        <f t="shared" ref="Q113" ca="1" si="236">MIN(OFFSET(L113,0,1,,L113))</f>
        <v>0</v>
      </c>
      <c r="R113" s="210" t="str">
        <f ca="1">IF($E114=0,OFFSET(ORÇAMENTO!X$15,$E113,0),IF($E114&lt;&gt;-1,OFFSET(QCI!$O$13,$E114,0),""))</f>
        <v/>
      </c>
      <c r="S113" s="211" t="s">
        <v>270</v>
      </c>
      <c r="T113" s="212" t="e">
        <f t="shared" ref="T113:AE113" ca="1" si="237">IF(AND($Q113=2,ACOMPANHAMENTO="BM"),T114,T115/$R113)</f>
        <v>#VALUE!</v>
      </c>
      <c r="U113" s="204" t="e">
        <f t="shared" ca="1" si="237"/>
        <v>#VALUE!</v>
      </c>
      <c r="V113" s="204" t="e">
        <f t="shared" ca="1" si="237"/>
        <v>#VALUE!</v>
      </c>
      <c r="W113" s="204" t="e">
        <f t="shared" ca="1" si="237"/>
        <v>#VALUE!</v>
      </c>
      <c r="X113" s="204" t="e">
        <f t="shared" ca="1" si="237"/>
        <v>#VALUE!</v>
      </c>
      <c r="Y113" s="204" t="e">
        <f t="shared" ca="1" si="237"/>
        <v>#VALUE!</v>
      </c>
      <c r="Z113" s="204" t="e">
        <f t="shared" ca="1" si="237"/>
        <v>#VALUE!</v>
      </c>
      <c r="AA113" s="204" t="e">
        <f t="shared" ca="1" si="237"/>
        <v>#VALUE!</v>
      </c>
      <c r="AB113" s="204" t="e">
        <f t="shared" ca="1" si="237"/>
        <v>#VALUE!</v>
      </c>
      <c r="AC113" s="204" t="e">
        <f t="shared" ca="1" si="237"/>
        <v>#VALUE!</v>
      </c>
      <c r="AD113" s="204" t="e">
        <f t="shared" ca="1" si="237"/>
        <v>#VALUE!</v>
      </c>
      <c r="AE113" s="213" t="e">
        <f t="shared" ca="1" si="237"/>
        <v>#VALUE!</v>
      </c>
    </row>
    <row r="114" spans="1:32" ht="12.75" hidden="1" customHeight="1" x14ac:dyDescent="0.2">
      <c r="D114" s="566"/>
      <c r="E114" s="201">
        <f ca="1">IF(ISERROR(E113),IF(1+COUNTIF($L$13:OFFSET(L113,-1,0),1)&lt;=MAX(QCI!$D$13:$D$24),1+COUNTIF($L$13:OFFSET(L113,-1,0),1),-1),0)</f>
        <v>-1</v>
      </c>
      <c r="F114" s="201" t="str">
        <f t="shared" ref="F114" ca="1" si="238">IF(AND($E114&lt;&gt;-1,$R113&gt;0),"F","")</f>
        <v/>
      </c>
      <c r="G114" s="214" t="str">
        <f ca="1">IF(OR(R113=0,R113=""),"vazia",IF(AND(OR(ACOMPANHAMENTO="PLE",$Q113&lt;&gt;2),$E114=0),"calculada","--&gt;"))</f>
        <v>vazia</v>
      </c>
      <c r="H114" s="215"/>
      <c r="I114" s="216" t="str">
        <f t="shared" ref="I114" ca="1" si="239">IF(AND(G113&lt;&gt;0,ISNUMBER(G113)),"PREENCHA ESTA LINHA --&gt;","")</f>
        <v/>
      </c>
      <c r="J114" s="216"/>
      <c r="K114" s="216"/>
      <c r="L114" s="217"/>
      <c r="M114" s="217"/>
      <c r="N114" s="217"/>
      <c r="O114" s="217"/>
      <c r="P114" s="217"/>
      <c r="Q114" s="217"/>
      <c r="R114" s="218"/>
      <c r="S114" s="219"/>
      <c r="T114" s="567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8"/>
      <c r="AF114" s="530"/>
    </row>
    <row r="115" spans="1:32" ht="0.2" hidden="1" customHeight="1" x14ac:dyDescent="0.2">
      <c r="D115" s="220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$120,"="&amp;CRONO!D$12,CÁLCULO!$AB$15:$AL$120)/(ORÇAMENTO!$X$15-CÁLCULO.TotalAdmLocal)*CRONO!$E115,0),D114*$R113),SUMIF(OFFSET($R115,1,0,$Q113-2),($L113+1)&amp;"$",OFFSET(D115,1,0,$Q113-2)))</f>
        <v>0</v>
      </c>
      <c r="E115" s="201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21"/>
      <c r="R115" s="222" t="str">
        <f t="shared" ref="R115" ca="1" si="240">L113&amp;"$"</f>
        <v>1$</v>
      </c>
      <c r="S115" s="223"/>
      <c r="T115" s="224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$120,"&lt;="&amp;CRONO!T$12,CÁLCULO!$AB$15:$AL$120)/(ORÇAMENTO!$X$15-CÁLCULO.TotalAdmLocal)*CRONO!$E115,0),T114*$R113),SUMIF(OFFSET($R115,1,0,$Q113-2),($L113+1)&amp;"$",OFFSET(T115,1,0,$Q113-2)))</f>
        <v>0</v>
      </c>
      <c r="U115" s="220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$120,"="&amp;CRONO!U$12,CÁLCULO!$AB$15:$AL$120)/(ORÇAMENTO!$X$15-CÁLCULO.TotalAdmLocal)*CRONO!$E115,0),U114*$R113),SUMIF(OFFSET($R115,1,0,$Q113-2),($L113+1)&amp;"$",OFFSET(U115,1,0,$Q113-2)))</f>
        <v>0</v>
      </c>
      <c r="V115" s="220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$120,"="&amp;CRONO!V$12,CÁLCULO!$AB$15:$AL$120)/(ORÇAMENTO!$X$15-CÁLCULO.TotalAdmLocal)*CRONO!$E115,0),V114*$R113),SUMIF(OFFSET($R115,1,0,$Q113-2),($L113+1)&amp;"$",OFFSET(V115,1,0,$Q113-2)))</f>
        <v>0</v>
      </c>
      <c r="W115" s="220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$120,"="&amp;CRONO!W$12,CÁLCULO!$AB$15:$AL$120)/(ORÇAMENTO!$X$15-CÁLCULO.TotalAdmLocal)*CRONO!$E115,0),W114*$R113),SUMIF(OFFSET($R115,1,0,$Q113-2),($L113+1)&amp;"$",OFFSET(W115,1,0,$Q113-2)))</f>
        <v>0</v>
      </c>
      <c r="X115" s="220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$120,"="&amp;CRONO!X$12,CÁLCULO!$AB$15:$AL$120)/(ORÇAMENTO!$X$15-CÁLCULO.TotalAdmLocal)*CRONO!$E115,0),X114*$R113),SUMIF(OFFSET($R115,1,0,$Q113-2),($L113+1)&amp;"$",OFFSET(X115,1,0,$Q113-2)))</f>
        <v>0</v>
      </c>
      <c r="Y115" s="220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$120,"="&amp;CRONO!Y$12,CÁLCULO!$AB$15:$AL$120)/(ORÇAMENTO!$X$15-CÁLCULO.TotalAdmLocal)*CRONO!$E115,0),Y114*$R113),SUMIF(OFFSET($R115,1,0,$Q113-2),($L113+1)&amp;"$",OFFSET(Y115,1,0,$Q113-2)))</f>
        <v>0</v>
      </c>
      <c r="Z115" s="220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$120,"="&amp;CRONO!Z$12,CÁLCULO!$AB$15:$AL$120)/(ORÇAMENTO!$X$15-CÁLCULO.TotalAdmLocal)*CRONO!$E115,0),Z114*$R113),SUMIF(OFFSET($R115,1,0,$Q113-2),($L113+1)&amp;"$",OFFSET(Z115,1,0,$Q113-2)))</f>
        <v>0</v>
      </c>
      <c r="AA115" s="220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$120,"="&amp;CRONO!AA$12,CÁLCULO!$AB$15:$AL$120)/(ORÇAMENTO!$X$15-CÁLCULO.TotalAdmLocal)*CRONO!$E115,0),AA114*$R113),SUMIF(OFFSET($R115,1,0,$Q113-2),($L113+1)&amp;"$",OFFSET(AA115,1,0,$Q113-2)))</f>
        <v>0</v>
      </c>
      <c r="AB115" s="220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$120,"="&amp;CRONO!AB$12,CÁLCULO!$AB$15:$AL$120)/(ORÇAMENTO!$X$15-CÁLCULO.TotalAdmLocal)*CRONO!$E115,0),AB114*$R113),SUMIF(OFFSET($R115,1,0,$Q113-2),($L113+1)&amp;"$",OFFSET(AB115,1,0,$Q113-2)))</f>
        <v>0</v>
      </c>
      <c r="AC115" s="220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$120,"="&amp;CRONO!AC$12,CÁLCULO!$AB$15:$AL$120)/(ORÇAMENTO!$X$15-CÁLCULO.TotalAdmLocal)*CRONO!$E115,0),AC114*$R113),SUMIF(OFFSET($R115,1,0,$Q113-2),($L113+1)&amp;"$",OFFSET(AC115,1,0,$Q113-2)))</f>
        <v>0</v>
      </c>
      <c r="AD115" s="220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$120,"="&amp;CRONO!AD$12,CÁLCULO!$AB$15:$AL$120)/(ORÇAMENTO!$X$15-CÁLCULO.TotalAdmLocal)*CRONO!$E115,0),AD114*$R113),SUMIF(OFFSET($R115,1,0,$Q113-2),($L113+1)&amp;"$",OFFSET(AD115,1,0,$Q113-2)))</f>
        <v>0</v>
      </c>
      <c r="AE115" s="225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$120,"="&amp;CRONO!AE$12,CÁLCULO!$AB$15:$AL$120)/(ORÇAMENTO!$X$15-CÁLCULO.TotalAdmLocal)*CRONO!$E115,0),AE114*$R113),SUMIF(OFFSET($R115,1,0,$Q113-2),($L113+1)&amp;"$",OFFSET(AE115,1,0,$Q113-2)))</f>
        <v>0</v>
      </c>
    </row>
    <row r="116" spans="1:32" hidden="1" x14ac:dyDescent="0.2">
      <c r="A116" s="201">
        <f t="shared" ref="A116" ca="1" si="241">OFFSET(A116,-3,0)+1</f>
        <v>35</v>
      </c>
      <c r="B116" s="201">
        <f ca="1">IF($Q116&lt;&gt;2,0,IF($R116=0,1,IF(E117&gt;0,OFFSET(QCI!$M$13,SUBSTITUTE(E117,".",""),0),OFFSET(ORÇAMENTO!$AA$15,CRONO!$E116,0))/$R116))</f>
        <v>0</v>
      </c>
      <c r="C116" s="201">
        <f ca="1">IF($Q116&lt;&gt;2,0,IF($R116=0,1,IF(E117&gt;0,OFFSET(QCI!$N$13,SUBSTITUTE(E117,".",""),0),OFFSET(ORÇAMENTO!$AB$15,CRONO!$E116,0))/$R116))</f>
        <v>0</v>
      </c>
      <c r="D116" s="204" t="e">
        <f ca="1">IF(AND($Q116=2,ACOMPANHAMENTO="BM"),D117,D118/$R116)</f>
        <v>#VALUE!</v>
      </c>
      <c r="E116" s="201" t="e">
        <f ca="1">IF(A116&lt;=ORÇAMENTO.MáximoListaCrono,MATCH(A116,ORÇAMENTO.ListaCrono,0),NA())</f>
        <v>#N/A</v>
      </c>
      <c r="F116" s="201" t="str">
        <f t="shared" ref="F116" ca="1" si="242">IF(AND($E117&lt;&gt;-1,$R116&gt;0),"F","")</f>
        <v/>
      </c>
      <c r="G116" s="205" t="str">
        <f ca="1">IF(OR(R116=0,R116=""),"Linha",IF(AND(OR(ACOMPANHAMENTO="PLE",$Q116&lt;&gt;2),$E117=0),"Linha",1-SUM(T116:AF116)))</f>
        <v>Linha</v>
      </c>
      <c r="H116" s="206" t="str">
        <f ca="1">IF($E117=0,OFFSET(ORÇAMENTO!O$15,$E116,0),IF($E117&lt;&gt;-1,OFFSET(QCI!$D$13,$E117,0),""))</f>
        <v/>
      </c>
      <c r="I116" s="207" t="str">
        <f ca="1">IF($E117=0,OFFSET(ORÇAMENTO!R$15,$E116,0),IF($E117&lt;&gt;-1,OFFSET(QCI!$G$13,$E117,0),""))</f>
        <v/>
      </c>
      <c r="J116" s="207"/>
      <c r="K116" s="207"/>
      <c r="L116" s="208">
        <f ca="1">IF($E117=0,OFFSET(ORÇAMENTO!C$15,$E116,0),1)</f>
        <v>1</v>
      </c>
      <c r="M116" s="209">
        <f ca="1">IF($E117=-1,0,IF(M$13&lt;=$L116,IF(ISERROR(MATCH(M$13,OFFSET($L116,1,0,ROW($L$164)-ROW($L116)-1),0)),ROW($L$164)-ROW($L116)-1,MATCH(M$13,OFFSET($L116,1,0,ROW($L$164)-ROW($L116)-1),0)-1),0))</f>
        <v>0</v>
      </c>
      <c r="N116" s="209">
        <f ca="1">IF($E117=-1,0,IF(N$13&lt;=$L116,IF(ISERROR(MATCH(N$13,OFFSET($L116,1,0,ROW($L$164)-ROW($L116)-1),0)),ROW($L$164)-ROW($L116)-1,MATCH(N$13,OFFSET($L116,1,0,ROW($L$164)-ROW($L116)-1),0)-1),0))</f>
        <v>0</v>
      </c>
      <c r="O116" s="209">
        <f ca="1">IF($E117=-1,0,IF(O$13&lt;=$L116,IF(ISERROR(MATCH(O$13,OFFSET($L116,1,0,ROW($L$164)-ROW($L116)-1),0)),ROW($L$164)-ROW($L116)-1,MATCH(O$13,OFFSET($L116,1,0,ROW($L$164)-ROW($L116)-1),0)-1),0))</f>
        <v>0</v>
      </c>
      <c r="P116" s="209">
        <f ca="1">IF($E117=-1,0,IF(P$13&lt;=$L116,IF(ISERROR(MATCH(P$13,OFFSET($L116,1,0,ROW($L$164)-ROW($L116)-1),0)),ROW($L$164)-ROW($L116)-1,MATCH(P$13,OFFSET($L116,1,0,ROW($L$164)-ROW($L116)-1),0)-1),0))</f>
        <v>0</v>
      </c>
      <c r="Q116" s="209">
        <f t="shared" ref="Q116" ca="1" si="243">MIN(OFFSET(L116,0,1,,L116))</f>
        <v>0</v>
      </c>
      <c r="R116" s="210" t="str">
        <f ca="1">IF($E117=0,OFFSET(ORÇAMENTO!X$15,$E116,0),IF($E117&lt;&gt;-1,OFFSET(QCI!$O$13,$E117,0),""))</f>
        <v/>
      </c>
      <c r="S116" s="211" t="s">
        <v>270</v>
      </c>
      <c r="T116" s="212" t="e">
        <f t="shared" ref="T116:AE116" ca="1" si="244">IF(AND($Q116=2,ACOMPANHAMENTO="BM"),T117,T118/$R116)</f>
        <v>#VALUE!</v>
      </c>
      <c r="U116" s="204" t="e">
        <f t="shared" ca="1" si="244"/>
        <v>#VALUE!</v>
      </c>
      <c r="V116" s="204" t="e">
        <f t="shared" ca="1" si="244"/>
        <v>#VALUE!</v>
      </c>
      <c r="W116" s="204" t="e">
        <f t="shared" ca="1" si="244"/>
        <v>#VALUE!</v>
      </c>
      <c r="X116" s="204" t="e">
        <f t="shared" ca="1" si="244"/>
        <v>#VALUE!</v>
      </c>
      <c r="Y116" s="204" t="e">
        <f t="shared" ca="1" si="244"/>
        <v>#VALUE!</v>
      </c>
      <c r="Z116" s="204" t="e">
        <f t="shared" ca="1" si="244"/>
        <v>#VALUE!</v>
      </c>
      <c r="AA116" s="204" t="e">
        <f t="shared" ca="1" si="244"/>
        <v>#VALUE!</v>
      </c>
      <c r="AB116" s="204" t="e">
        <f t="shared" ca="1" si="244"/>
        <v>#VALUE!</v>
      </c>
      <c r="AC116" s="204" t="e">
        <f t="shared" ca="1" si="244"/>
        <v>#VALUE!</v>
      </c>
      <c r="AD116" s="204" t="e">
        <f t="shared" ca="1" si="244"/>
        <v>#VALUE!</v>
      </c>
      <c r="AE116" s="213" t="e">
        <f t="shared" ca="1" si="244"/>
        <v>#VALUE!</v>
      </c>
    </row>
    <row r="117" spans="1:32" ht="12.75" hidden="1" customHeight="1" x14ac:dyDescent="0.2">
      <c r="D117" s="566"/>
      <c r="E117" s="201">
        <f ca="1">IF(ISERROR(E116),IF(1+COUNTIF($L$13:OFFSET(L116,-1,0),1)&lt;=MAX(QCI!$D$13:$D$24),1+COUNTIF($L$13:OFFSET(L116,-1,0),1),-1),0)</f>
        <v>-1</v>
      </c>
      <c r="F117" s="201" t="str">
        <f t="shared" ref="F117" ca="1" si="245">IF(AND($E117&lt;&gt;-1,$R116&gt;0),"F","")</f>
        <v/>
      </c>
      <c r="G117" s="214" t="str">
        <f ca="1">IF(OR(R116=0,R116=""),"vazia",IF(AND(OR(ACOMPANHAMENTO="PLE",$Q116&lt;&gt;2),$E117=0),"calculada","--&gt;"))</f>
        <v>vazia</v>
      </c>
      <c r="H117" s="215"/>
      <c r="I117" s="216" t="str">
        <f t="shared" ref="I117" ca="1" si="246">IF(AND(G116&lt;&gt;0,ISNUMBER(G116)),"PREENCHA ESTA LINHA --&gt;","")</f>
        <v/>
      </c>
      <c r="J117" s="216"/>
      <c r="K117" s="216"/>
      <c r="L117" s="217"/>
      <c r="M117" s="217"/>
      <c r="N117" s="217"/>
      <c r="O117" s="217"/>
      <c r="P117" s="217"/>
      <c r="Q117" s="217"/>
      <c r="R117" s="218"/>
      <c r="S117" s="219"/>
      <c r="T117" s="567"/>
      <c r="U117" s="566"/>
      <c r="V117" s="566"/>
      <c r="W117" s="566"/>
      <c r="X117" s="566"/>
      <c r="Y117" s="566"/>
      <c r="Z117" s="566"/>
      <c r="AA117" s="566"/>
      <c r="AB117" s="566"/>
      <c r="AC117" s="566"/>
      <c r="AD117" s="566"/>
      <c r="AE117" s="568"/>
      <c r="AF117" s="530"/>
    </row>
    <row r="118" spans="1:32" ht="0.2" hidden="1" customHeight="1" x14ac:dyDescent="0.2">
      <c r="D118" s="220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$120,"="&amp;CRONO!D$12,CÁLCULO!$AB$15:$AL$120)/(ORÇAMENTO!$X$15-CÁLCULO.TotalAdmLocal)*CRONO!$E118,0),D117*$R116),SUMIF(OFFSET($R118,1,0,$Q116-2),($L116+1)&amp;"$",OFFSET(D118,1,0,$Q116-2)))</f>
        <v>0</v>
      </c>
      <c r="E118" s="201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21"/>
      <c r="R118" s="222" t="str">
        <f t="shared" ref="R118" ca="1" si="247">L116&amp;"$"</f>
        <v>1$</v>
      </c>
      <c r="S118" s="223"/>
      <c r="T118" s="224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$120,"&lt;="&amp;CRONO!T$12,CÁLCULO!$AB$15:$AL$120)/(ORÇAMENTO!$X$15-CÁLCULO.TotalAdmLocal)*CRONO!$E118,0),T117*$R116),SUMIF(OFFSET($R118,1,0,$Q116-2),($L116+1)&amp;"$",OFFSET(T118,1,0,$Q116-2)))</f>
        <v>0</v>
      </c>
      <c r="U118" s="220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$120,"="&amp;CRONO!U$12,CÁLCULO!$AB$15:$AL$120)/(ORÇAMENTO!$X$15-CÁLCULO.TotalAdmLocal)*CRONO!$E118,0),U117*$R116),SUMIF(OFFSET($R118,1,0,$Q116-2),($L116+1)&amp;"$",OFFSET(U118,1,0,$Q116-2)))</f>
        <v>0</v>
      </c>
      <c r="V118" s="220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$120,"="&amp;CRONO!V$12,CÁLCULO!$AB$15:$AL$120)/(ORÇAMENTO!$X$15-CÁLCULO.TotalAdmLocal)*CRONO!$E118,0),V117*$R116),SUMIF(OFFSET($R118,1,0,$Q116-2),($L116+1)&amp;"$",OFFSET(V118,1,0,$Q116-2)))</f>
        <v>0</v>
      </c>
      <c r="W118" s="220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$120,"="&amp;CRONO!W$12,CÁLCULO!$AB$15:$AL$120)/(ORÇAMENTO!$X$15-CÁLCULO.TotalAdmLocal)*CRONO!$E118,0),W117*$R116),SUMIF(OFFSET($R118,1,0,$Q116-2),($L116+1)&amp;"$",OFFSET(W118,1,0,$Q116-2)))</f>
        <v>0</v>
      </c>
      <c r="X118" s="220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$120,"="&amp;CRONO!X$12,CÁLCULO!$AB$15:$AL$120)/(ORÇAMENTO!$X$15-CÁLCULO.TotalAdmLocal)*CRONO!$E118,0),X117*$R116),SUMIF(OFFSET($R118,1,0,$Q116-2),($L116+1)&amp;"$",OFFSET(X118,1,0,$Q116-2)))</f>
        <v>0</v>
      </c>
      <c r="Y118" s="220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$120,"="&amp;CRONO!Y$12,CÁLCULO!$AB$15:$AL$120)/(ORÇAMENTO!$X$15-CÁLCULO.TotalAdmLocal)*CRONO!$E118,0),Y117*$R116),SUMIF(OFFSET($R118,1,0,$Q116-2),($L116+1)&amp;"$",OFFSET(Y118,1,0,$Q116-2)))</f>
        <v>0</v>
      </c>
      <c r="Z118" s="220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$120,"="&amp;CRONO!Z$12,CÁLCULO!$AB$15:$AL$120)/(ORÇAMENTO!$X$15-CÁLCULO.TotalAdmLocal)*CRONO!$E118,0),Z117*$R116),SUMIF(OFFSET($R118,1,0,$Q116-2),($L116+1)&amp;"$",OFFSET(Z118,1,0,$Q116-2)))</f>
        <v>0</v>
      </c>
      <c r="AA118" s="220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$120,"="&amp;CRONO!AA$12,CÁLCULO!$AB$15:$AL$120)/(ORÇAMENTO!$X$15-CÁLCULO.TotalAdmLocal)*CRONO!$E118,0),AA117*$R116),SUMIF(OFFSET($R118,1,0,$Q116-2),($L116+1)&amp;"$",OFFSET(AA118,1,0,$Q116-2)))</f>
        <v>0</v>
      </c>
      <c r="AB118" s="220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$120,"="&amp;CRONO!AB$12,CÁLCULO!$AB$15:$AL$120)/(ORÇAMENTO!$X$15-CÁLCULO.TotalAdmLocal)*CRONO!$E118,0),AB117*$R116),SUMIF(OFFSET($R118,1,0,$Q116-2),($L116+1)&amp;"$",OFFSET(AB118,1,0,$Q116-2)))</f>
        <v>0</v>
      </c>
      <c r="AC118" s="220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$120,"="&amp;CRONO!AC$12,CÁLCULO!$AB$15:$AL$120)/(ORÇAMENTO!$X$15-CÁLCULO.TotalAdmLocal)*CRONO!$E118,0),AC117*$R116),SUMIF(OFFSET($R118,1,0,$Q116-2),($L116+1)&amp;"$",OFFSET(AC118,1,0,$Q116-2)))</f>
        <v>0</v>
      </c>
      <c r="AD118" s="220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$120,"="&amp;CRONO!AD$12,CÁLCULO!$AB$15:$AL$120)/(ORÇAMENTO!$X$15-CÁLCULO.TotalAdmLocal)*CRONO!$E118,0),AD117*$R116),SUMIF(OFFSET($R118,1,0,$Q116-2),($L116+1)&amp;"$",OFFSET(AD118,1,0,$Q116-2)))</f>
        <v>0</v>
      </c>
      <c r="AE118" s="225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$120,"="&amp;CRONO!AE$12,CÁLCULO!$AB$15:$AL$120)/(ORÇAMENTO!$X$15-CÁLCULO.TotalAdmLocal)*CRONO!$E118,0),AE117*$R116),SUMIF(OFFSET($R118,1,0,$Q116-2),($L116+1)&amp;"$",OFFSET(AE118,1,0,$Q116-2)))</f>
        <v>0</v>
      </c>
    </row>
    <row r="119" spans="1:32" hidden="1" x14ac:dyDescent="0.2">
      <c r="A119" s="201">
        <f t="shared" ref="A119" ca="1" si="248">OFFSET(A119,-3,0)+1</f>
        <v>36</v>
      </c>
      <c r="B119" s="201">
        <f ca="1">IF($Q119&lt;&gt;2,0,IF($R119=0,1,IF(E120&gt;0,OFFSET(QCI!$M$13,SUBSTITUTE(E120,".",""),0),OFFSET(ORÇAMENTO!$AA$15,CRONO!$E119,0))/$R119))</f>
        <v>0</v>
      </c>
      <c r="C119" s="201">
        <f ca="1">IF($Q119&lt;&gt;2,0,IF($R119=0,1,IF(E120&gt;0,OFFSET(QCI!$N$13,SUBSTITUTE(E120,".",""),0),OFFSET(ORÇAMENTO!$AB$15,CRONO!$E119,0))/$R119))</f>
        <v>0</v>
      </c>
      <c r="D119" s="204" t="e">
        <f ca="1">IF(AND($Q119=2,ACOMPANHAMENTO="BM"),D120,D121/$R119)</f>
        <v>#VALUE!</v>
      </c>
      <c r="E119" s="201" t="e">
        <f ca="1">IF(A119&lt;=ORÇAMENTO.MáximoListaCrono,MATCH(A119,ORÇAMENTO.ListaCrono,0),NA())</f>
        <v>#N/A</v>
      </c>
      <c r="F119" s="201" t="str">
        <f t="shared" ref="F119" ca="1" si="249">IF(AND($E120&lt;&gt;-1,$R119&gt;0),"F","")</f>
        <v/>
      </c>
      <c r="G119" s="205" t="str">
        <f ca="1">IF(OR(R119=0,R119=""),"Linha",IF(AND(OR(ACOMPANHAMENTO="PLE",$Q119&lt;&gt;2),$E120=0),"Linha",1-SUM(T119:AF119)))</f>
        <v>Linha</v>
      </c>
      <c r="H119" s="206" t="str">
        <f ca="1">IF($E120=0,OFFSET(ORÇAMENTO!O$15,$E119,0),IF($E120&lt;&gt;-1,OFFSET(QCI!$D$13,$E120,0),""))</f>
        <v/>
      </c>
      <c r="I119" s="207" t="str">
        <f ca="1">IF($E120=0,OFFSET(ORÇAMENTO!R$15,$E119,0),IF($E120&lt;&gt;-1,OFFSET(QCI!$G$13,$E120,0),""))</f>
        <v/>
      </c>
      <c r="J119" s="207"/>
      <c r="K119" s="207"/>
      <c r="L119" s="208">
        <f ca="1">IF($E120=0,OFFSET(ORÇAMENTO!C$15,$E119,0),1)</f>
        <v>1</v>
      </c>
      <c r="M119" s="209">
        <f ca="1">IF($E120=-1,0,IF(M$13&lt;=$L119,IF(ISERROR(MATCH(M$13,OFFSET($L119,1,0,ROW($L$164)-ROW($L119)-1),0)),ROW($L$164)-ROW($L119)-1,MATCH(M$13,OFFSET($L119,1,0,ROW($L$164)-ROW($L119)-1),0)-1),0))</f>
        <v>0</v>
      </c>
      <c r="N119" s="209">
        <f ca="1">IF($E120=-1,0,IF(N$13&lt;=$L119,IF(ISERROR(MATCH(N$13,OFFSET($L119,1,0,ROW($L$164)-ROW($L119)-1),0)),ROW($L$164)-ROW($L119)-1,MATCH(N$13,OFFSET($L119,1,0,ROW($L$164)-ROW($L119)-1),0)-1),0))</f>
        <v>0</v>
      </c>
      <c r="O119" s="209">
        <f ca="1">IF($E120=-1,0,IF(O$13&lt;=$L119,IF(ISERROR(MATCH(O$13,OFFSET($L119,1,0,ROW($L$164)-ROW($L119)-1),0)),ROW($L$164)-ROW($L119)-1,MATCH(O$13,OFFSET($L119,1,0,ROW($L$164)-ROW($L119)-1),0)-1),0))</f>
        <v>0</v>
      </c>
      <c r="P119" s="209">
        <f ca="1">IF($E120=-1,0,IF(P$13&lt;=$L119,IF(ISERROR(MATCH(P$13,OFFSET($L119,1,0,ROW($L$164)-ROW($L119)-1),0)),ROW($L$164)-ROW($L119)-1,MATCH(P$13,OFFSET($L119,1,0,ROW($L$164)-ROW($L119)-1),0)-1),0))</f>
        <v>0</v>
      </c>
      <c r="Q119" s="209">
        <f t="shared" ref="Q119" ca="1" si="250">MIN(OFFSET(L119,0,1,,L119))</f>
        <v>0</v>
      </c>
      <c r="R119" s="210" t="str">
        <f ca="1">IF($E120=0,OFFSET(ORÇAMENTO!X$15,$E119,0),IF($E120&lt;&gt;-1,OFFSET(QCI!$O$13,$E120,0),""))</f>
        <v/>
      </c>
      <c r="S119" s="211" t="s">
        <v>270</v>
      </c>
      <c r="T119" s="212" t="e">
        <f t="shared" ref="T119:AE119" ca="1" si="251">IF(AND($Q119=2,ACOMPANHAMENTO="BM"),T120,T121/$R119)</f>
        <v>#VALUE!</v>
      </c>
      <c r="U119" s="204" t="e">
        <f t="shared" ca="1" si="251"/>
        <v>#VALUE!</v>
      </c>
      <c r="V119" s="204" t="e">
        <f t="shared" ca="1" si="251"/>
        <v>#VALUE!</v>
      </c>
      <c r="W119" s="204" t="e">
        <f t="shared" ca="1" si="251"/>
        <v>#VALUE!</v>
      </c>
      <c r="X119" s="204" t="e">
        <f t="shared" ca="1" si="251"/>
        <v>#VALUE!</v>
      </c>
      <c r="Y119" s="204" t="e">
        <f t="shared" ca="1" si="251"/>
        <v>#VALUE!</v>
      </c>
      <c r="Z119" s="204" t="e">
        <f t="shared" ca="1" si="251"/>
        <v>#VALUE!</v>
      </c>
      <c r="AA119" s="204" t="e">
        <f t="shared" ca="1" si="251"/>
        <v>#VALUE!</v>
      </c>
      <c r="AB119" s="204" t="e">
        <f t="shared" ca="1" si="251"/>
        <v>#VALUE!</v>
      </c>
      <c r="AC119" s="204" t="e">
        <f t="shared" ca="1" si="251"/>
        <v>#VALUE!</v>
      </c>
      <c r="AD119" s="204" t="e">
        <f t="shared" ca="1" si="251"/>
        <v>#VALUE!</v>
      </c>
      <c r="AE119" s="213" t="e">
        <f t="shared" ca="1" si="251"/>
        <v>#VALUE!</v>
      </c>
    </row>
    <row r="120" spans="1:32" ht="12.75" hidden="1" customHeight="1" x14ac:dyDescent="0.2">
      <c r="D120" s="566"/>
      <c r="E120" s="201">
        <f ca="1">IF(ISERROR(E119),IF(1+COUNTIF($L$13:OFFSET(L119,-1,0),1)&lt;=MAX(QCI!$D$13:$D$24),1+COUNTIF($L$13:OFFSET(L119,-1,0),1),-1),0)</f>
        <v>-1</v>
      </c>
      <c r="F120" s="201" t="str">
        <f t="shared" ref="F120" ca="1" si="252">IF(AND($E120&lt;&gt;-1,$R119&gt;0),"F","")</f>
        <v/>
      </c>
      <c r="G120" s="214" t="str">
        <f ca="1">IF(OR(R119=0,R119=""),"vazia",IF(AND(OR(ACOMPANHAMENTO="PLE",$Q119&lt;&gt;2),$E120=0),"calculada","--&gt;"))</f>
        <v>vazia</v>
      </c>
      <c r="H120" s="215"/>
      <c r="I120" s="216" t="str">
        <f t="shared" ref="I120" ca="1" si="253">IF(AND(G119&lt;&gt;0,ISNUMBER(G119)),"PREENCHA ESTA LINHA --&gt;","")</f>
        <v/>
      </c>
      <c r="J120" s="216"/>
      <c r="K120" s="216"/>
      <c r="L120" s="217"/>
      <c r="M120" s="217"/>
      <c r="N120" s="217"/>
      <c r="O120" s="217"/>
      <c r="P120" s="217"/>
      <c r="Q120" s="217"/>
      <c r="R120" s="218"/>
      <c r="S120" s="219"/>
      <c r="T120" s="567"/>
      <c r="U120" s="566"/>
      <c r="V120" s="566"/>
      <c r="W120" s="566"/>
      <c r="X120" s="566"/>
      <c r="Y120" s="566"/>
      <c r="Z120" s="566"/>
      <c r="AA120" s="566"/>
      <c r="AB120" s="566"/>
      <c r="AC120" s="566"/>
      <c r="AD120" s="566"/>
      <c r="AE120" s="568"/>
      <c r="AF120" s="530"/>
    </row>
    <row r="121" spans="1:32" ht="0.2" hidden="1" customHeight="1" x14ac:dyDescent="0.2">
      <c r="D121" s="220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$120,"="&amp;CRONO!D$12,CÁLCULO!$AB$15:$AL$120)/(ORÇAMENTO!$X$15-CÁLCULO.TotalAdmLocal)*CRONO!$E121,0),D120*$R119),SUMIF(OFFSET($R121,1,0,$Q119-2),($L119+1)&amp;"$",OFFSET(D121,1,0,$Q119-2)))</f>
        <v>0</v>
      </c>
      <c r="E121" s="201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21"/>
      <c r="R121" s="222" t="str">
        <f t="shared" ref="R121" ca="1" si="254">L119&amp;"$"</f>
        <v>1$</v>
      </c>
      <c r="S121" s="223"/>
      <c r="T121" s="224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$120,"&lt;="&amp;CRONO!T$12,CÁLCULO!$AB$15:$AL$120)/(ORÇAMENTO!$X$15-CÁLCULO.TotalAdmLocal)*CRONO!$E121,0),T120*$R119),SUMIF(OFFSET($R121,1,0,$Q119-2),($L119+1)&amp;"$",OFFSET(T121,1,0,$Q119-2)))</f>
        <v>0</v>
      </c>
      <c r="U121" s="220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$120,"="&amp;CRONO!U$12,CÁLCULO!$AB$15:$AL$120)/(ORÇAMENTO!$X$15-CÁLCULO.TotalAdmLocal)*CRONO!$E121,0),U120*$R119),SUMIF(OFFSET($R121,1,0,$Q119-2),($L119+1)&amp;"$",OFFSET(U121,1,0,$Q119-2)))</f>
        <v>0</v>
      </c>
      <c r="V121" s="220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$120,"="&amp;CRONO!V$12,CÁLCULO!$AB$15:$AL$120)/(ORÇAMENTO!$X$15-CÁLCULO.TotalAdmLocal)*CRONO!$E121,0),V120*$R119),SUMIF(OFFSET($R121,1,0,$Q119-2),($L119+1)&amp;"$",OFFSET(V121,1,0,$Q119-2)))</f>
        <v>0</v>
      </c>
      <c r="W121" s="220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$120,"="&amp;CRONO!W$12,CÁLCULO!$AB$15:$AL$120)/(ORÇAMENTO!$X$15-CÁLCULO.TotalAdmLocal)*CRONO!$E121,0),W120*$R119),SUMIF(OFFSET($R121,1,0,$Q119-2),($L119+1)&amp;"$",OFFSET(W121,1,0,$Q119-2)))</f>
        <v>0</v>
      </c>
      <c r="X121" s="220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$120,"="&amp;CRONO!X$12,CÁLCULO!$AB$15:$AL$120)/(ORÇAMENTO!$X$15-CÁLCULO.TotalAdmLocal)*CRONO!$E121,0),X120*$R119),SUMIF(OFFSET($R121,1,0,$Q119-2),($L119+1)&amp;"$",OFFSET(X121,1,0,$Q119-2)))</f>
        <v>0</v>
      </c>
      <c r="Y121" s="220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$120,"="&amp;CRONO!Y$12,CÁLCULO!$AB$15:$AL$120)/(ORÇAMENTO!$X$15-CÁLCULO.TotalAdmLocal)*CRONO!$E121,0),Y120*$R119),SUMIF(OFFSET($R121,1,0,$Q119-2),($L119+1)&amp;"$",OFFSET(Y121,1,0,$Q119-2)))</f>
        <v>0</v>
      </c>
      <c r="Z121" s="220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$120,"="&amp;CRONO!Z$12,CÁLCULO!$AB$15:$AL$120)/(ORÇAMENTO!$X$15-CÁLCULO.TotalAdmLocal)*CRONO!$E121,0),Z120*$R119),SUMIF(OFFSET($R121,1,0,$Q119-2),($L119+1)&amp;"$",OFFSET(Z121,1,0,$Q119-2)))</f>
        <v>0</v>
      </c>
      <c r="AA121" s="220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$120,"="&amp;CRONO!AA$12,CÁLCULO!$AB$15:$AL$120)/(ORÇAMENTO!$X$15-CÁLCULO.TotalAdmLocal)*CRONO!$E121,0),AA120*$R119),SUMIF(OFFSET($R121,1,0,$Q119-2),($L119+1)&amp;"$",OFFSET(AA121,1,0,$Q119-2)))</f>
        <v>0</v>
      </c>
      <c r="AB121" s="220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$120,"="&amp;CRONO!AB$12,CÁLCULO!$AB$15:$AL$120)/(ORÇAMENTO!$X$15-CÁLCULO.TotalAdmLocal)*CRONO!$E121,0),AB120*$R119),SUMIF(OFFSET($R121,1,0,$Q119-2),($L119+1)&amp;"$",OFFSET(AB121,1,0,$Q119-2)))</f>
        <v>0</v>
      </c>
      <c r="AC121" s="220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$120,"="&amp;CRONO!AC$12,CÁLCULO!$AB$15:$AL$120)/(ORÇAMENTO!$X$15-CÁLCULO.TotalAdmLocal)*CRONO!$E121,0),AC120*$R119),SUMIF(OFFSET($R121,1,0,$Q119-2),($L119+1)&amp;"$",OFFSET(AC121,1,0,$Q119-2)))</f>
        <v>0</v>
      </c>
      <c r="AD121" s="220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$120,"="&amp;CRONO!AD$12,CÁLCULO!$AB$15:$AL$120)/(ORÇAMENTO!$X$15-CÁLCULO.TotalAdmLocal)*CRONO!$E121,0),AD120*$R119),SUMIF(OFFSET($R121,1,0,$Q119-2),($L119+1)&amp;"$",OFFSET(AD121,1,0,$Q119-2)))</f>
        <v>0</v>
      </c>
      <c r="AE121" s="225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$120,"="&amp;CRONO!AE$12,CÁLCULO!$AB$15:$AL$120)/(ORÇAMENTO!$X$15-CÁLCULO.TotalAdmLocal)*CRONO!$E121,0),AE120*$R119),SUMIF(OFFSET($R121,1,0,$Q119-2),($L119+1)&amp;"$",OFFSET(AE121,1,0,$Q119-2)))</f>
        <v>0</v>
      </c>
    </row>
    <row r="122" spans="1:32" hidden="1" x14ac:dyDescent="0.2">
      <c r="A122" s="201">
        <f t="shared" ref="A122" ca="1" si="255">OFFSET(A122,-3,0)+1</f>
        <v>37</v>
      </c>
      <c r="B122" s="201">
        <f ca="1">IF($Q122&lt;&gt;2,0,IF($R122=0,1,IF(E123&gt;0,OFFSET(QCI!$M$13,SUBSTITUTE(E123,".",""),0),OFFSET(ORÇAMENTO!$AA$15,CRONO!$E122,0))/$R122))</f>
        <v>0</v>
      </c>
      <c r="C122" s="201">
        <f ca="1">IF($Q122&lt;&gt;2,0,IF($R122=0,1,IF(E123&gt;0,OFFSET(QCI!$N$13,SUBSTITUTE(E123,".",""),0),OFFSET(ORÇAMENTO!$AB$15,CRONO!$E122,0))/$R122))</f>
        <v>0</v>
      </c>
      <c r="D122" s="204" t="e">
        <f ca="1">IF(AND($Q122=2,ACOMPANHAMENTO="BM"),D123,D124/$R122)</f>
        <v>#VALUE!</v>
      </c>
      <c r="E122" s="201" t="e">
        <f ca="1">IF(A122&lt;=ORÇAMENTO.MáximoListaCrono,MATCH(A122,ORÇAMENTO.ListaCrono,0),NA())</f>
        <v>#N/A</v>
      </c>
      <c r="F122" s="201" t="str">
        <f t="shared" ref="F122" ca="1" si="256">IF(AND($E123&lt;&gt;-1,$R122&gt;0),"F","")</f>
        <v/>
      </c>
      <c r="G122" s="205" t="str">
        <f ca="1">IF(OR(R122=0,R122=""),"Linha",IF(AND(OR(ACOMPANHAMENTO="PLE",$Q122&lt;&gt;2),$E123=0),"Linha",1-SUM(T122:AF122)))</f>
        <v>Linha</v>
      </c>
      <c r="H122" s="206" t="str">
        <f ca="1">IF($E123=0,OFFSET(ORÇAMENTO!O$15,$E122,0),IF($E123&lt;&gt;-1,OFFSET(QCI!$D$13,$E123,0),""))</f>
        <v/>
      </c>
      <c r="I122" s="207" t="str">
        <f ca="1">IF($E123=0,OFFSET(ORÇAMENTO!R$15,$E122,0),IF($E123&lt;&gt;-1,OFFSET(QCI!$G$13,$E123,0),""))</f>
        <v/>
      </c>
      <c r="J122" s="207"/>
      <c r="K122" s="207"/>
      <c r="L122" s="208">
        <f ca="1">IF($E123=0,OFFSET(ORÇAMENTO!C$15,$E122,0),1)</f>
        <v>1</v>
      </c>
      <c r="M122" s="209">
        <f ca="1">IF($E123=-1,0,IF(M$13&lt;=$L122,IF(ISERROR(MATCH(M$13,OFFSET($L122,1,0,ROW($L$164)-ROW($L122)-1),0)),ROW($L$164)-ROW($L122)-1,MATCH(M$13,OFFSET($L122,1,0,ROW($L$164)-ROW($L122)-1),0)-1),0))</f>
        <v>0</v>
      </c>
      <c r="N122" s="209">
        <f ca="1">IF($E123=-1,0,IF(N$13&lt;=$L122,IF(ISERROR(MATCH(N$13,OFFSET($L122,1,0,ROW($L$164)-ROW($L122)-1),0)),ROW($L$164)-ROW($L122)-1,MATCH(N$13,OFFSET($L122,1,0,ROW($L$164)-ROW($L122)-1),0)-1),0))</f>
        <v>0</v>
      </c>
      <c r="O122" s="209">
        <f ca="1">IF($E123=-1,0,IF(O$13&lt;=$L122,IF(ISERROR(MATCH(O$13,OFFSET($L122,1,0,ROW($L$164)-ROW($L122)-1),0)),ROW($L$164)-ROW($L122)-1,MATCH(O$13,OFFSET($L122,1,0,ROW($L$164)-ROW($L122)-1),0)-1),0))</f>
        <v>0</v>
      </c>
      <c r="P122" s="209">
        <f ca="1">IF($E123=-1,0,IF(P$13&lt;=$L122,IF(ISERROR(MATCH(P$13,OFFSET($L122,1,0,ROW($L$164)-ROW($L122)-1),0)),ROW($L$164)-ROW($L122)-1,MATCH(P$13,OFFSET($L122,1,0,ROW($L$164)-ROW($L122)-1),0)-1),0))</f>
        <v>0</v>
      </c>
      <c r="Q122" s="209">
        <f t="shared" ref="Q122" ca="1" si="257">MIN(OFFSET(L122,0,1,,L122))</f>
        <v>0</v>
      </c>
      <c r="R122" s="210" t="str">
        <f ca="1">IF($E123=0,OFFSET(ORÇAMENTO!X$15,$E122,0),IF($E123&lt;&gt;-1,OFFSET(QCI!$O$13,$E123,0),""))</f>
        <v/>
      </c>
      <c r="S122" s="211" t="s">
        <v>270</v>
      </c>
      <c r="T122" s="212" t="e">
        <f t="shared" ref="T122:AE122" ca="1" si="258">IF(AND($Q122=2,ACOMPANHAMENTO="BM"),T123,T124/$R122)</f>
        <v>#VALUE!</v>
      </c>
      <c r="U122" s="204" t="e">
        <f t="shared" ca="1" si="258"/>
        <v>#VALUE!</v>
      </c>
      <c r="V122" s="204" t="e">
        <f t="shared" ca="1" si="258"/>
        <v>#VALUE!</v>
      </c>
      <c r="W122" s="204" t="e">
        <f t="shared" ca="1" si="258"/>
        <v>#VALUE!</v>
      </c>
      <c r="X122" s="204" t="e">
        <f t="shared" ca="1" si="258"/>
        <v>#VALUE!</v>
      </c>
      <c r="Y122" s="204" t="e">
        <f t="shared" ca="1" si="258"/>
        <v>#VALUE!</v>
      </c>
      <c r="Z122" s="204" t="e">
        <f t="shared" ca="1" si="258"/>
        <v>#VALUE!</v>
      </c>
      <c r="AA122" s="204" t="e">
        <f t="shared" ca="1" si="258"/>
        <v>#VALUE!</v>
      </c>
      <c r="AB122" s="204" t="e">
        <f t="shared" ca="1" si="258"/>
        <v>#VALUE!</v>
      </c>
      <c r="AC122" s="204" t="e">
        <f t="shared" ca="1" si="258"/>
        <v>#VALUE!</v>
      </c>
      <c r="AD122" s="204" t="e">
        <f t="shared" ca="1" si="258"/>
        <v>#VALUE!</v>
      </c>
      <c r="AE122" s="213" t="e">
        <f t="shared" ca="1" si="258"/>
        <v>#VALUE!</v>
      </c>
    </row>
    <row r="123" spans="1:32" ht="12.75" hidden="1" customHeight="1" x14ac:dyDescent="0.2">
      <c r="D123" s="566"/>
      <c r="E123" s="201">
        <f ca="1">IF(ISERROR(E122),IF(1+COUNTIF($L$13:OFFSET(L122,-1,0),1)&lt;=MAX(QCI!$D$13:$D$24),1+COUNTIF($L$13:OFFSET(L122,-1,0),1),-1),0)</f>
        <v>-1</v>
      </c>
      <c r="F123" s="201" t="str">
        <f t="shared" ref="F123" ca="1" si="259">IF(AND($E123&lt;&gt;-1,$R122&gt;0),"F","")</f>
        <v/>
      </c>
      <c r="G123" s="214" t="str">
        <f ca="1">IF(OR(R122=0,R122=""),"vazia",IF(AND(OR(ACOMPANHAMENTO="PLE",$Q122&lt;&gt;2),$E123=0),"calculada","--&gt;"))</f>
        <v>vazia</v>
      </c>
      <c r="H123" s="215"/>
      <c r="I123" s="216" t="str">
        <f t="shared" ref="I123" ca="1" si="260">IF(AND(G122&lt;&gt;0,ISNUMBER(G122)),"PREENCHA ESTA LINHA --&gt;","")</f>
        <v/>
      </c>
      <c r="J123" s="216"/>
      <c r="K123" s="216"/>
      <c r="L123" s="217"/>
      <c r="M123" s="217"/>
      <c r="N123" s="217"/>
      <c r="O123" s="217"/>
      <c r="P123" s="217"/>
      <c r="Q123" s="217"/>
      <c r="R123" s="218"/>
      <c r="S123" s="219"/>
      <c r="T123" s="567"/>
      <c r="U123" s="566"/>
      <c r="V123" s="566"/>
      <c r="W123" s="566"/>
      <c r="X123" s="566"/>
      <c r="Y123" s="566"/>
      <c r="Z123" s="566"/>
      <c r="AA123" s="566"/>
      <c r="AB123" s="566"/>
      <c r="AC123" s="566"/>
      <c r="AD123" s="566"/>
      <c r="AE123" s="568"/>
      <c r="AF123" s="530"/>
    </row>
    <row r="124" spans="1:32" ht="0.2" hidden="1" customHeight="1" x14ac:dyDescent="0.2">
      <c r="D124" s="220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$120,"="&amp;CRONO!D$12,CÁLCULO!$AB$15:$AL$120)/(ORÇAMENTO!$X$15-CÁLCULO.TotalAdmLocal)*CRONO!$E124,0),D123*$R122),SUMIF(OFFSET($R124,1,0,$Q122-2),($L122+1)&amp;"$",OFFSET(D124,1,0,$Q122-2)))</f>
        <v>0</v>
      </c>
      <c r="E124" s="201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21"/>
      <c r="R124" s="222" t="str">
        <f t="shared" ref="R124" ca="1" si="261">L122&amp;"$"</f>
        <v>1$</v>
      </c>
      <c r="S124" s="223"/>
      <c r="T124" s="224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$120,"&lt;="&amp;CRONO!T$12,CÁLCULO!$AB$15:$AL$120)/(ORÇAMENTO!$X$15-CÁLCULO.TotalAdmLocal)*CRONO!$E124,0),T123*$R122),SUMIF(OFFSET($R124,1,0,$Q122-2),($L122+1)&amp;"$",OFFSET(T124,1,0,$Q122-2)))</f>
        <v>0</v>
      </c>
      <c r="U124" s="220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$120,"="&amp;CRONO!U$12,CÁLCULO!$AB$15:$AL$120)/(ORÇAMENTO!$X$15-CÁLCULO.TotalAdmLocal)*CRONO!$E124,0),U123*$R122),SUMIF(OFFSET($R124,1,0,$Q122-2),($L122+1)&amp;"$",OFFSET(U124,1,0,$Q122-2)))</f>
        <v>0</v>
      </c>
      <c r="V124" s="220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$120,"="&amp;CRONO!V$12,CÁLCULO!$AB$15:$AL$120)/(ORÇAMENTO!$X$15-CÁLCULO.TotalAdmLocal)*CRONO!$E124,0),V123*$R122),SUMIF(OFFSET($R124,1,0,$Q122-2),($L122+1)&amp;"$",OFFSET(V124,1,0,$Q122-2)))</f>
        <v>0</v>
      </c>
      <c r="W124" s="220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$120,"="&amp;CRONO!W$12,CÁLCULO!$AB$15:$AL$120)/(ORÇAMENTO!$X$15-CÁLCULO.TotalAdmLocal)*CRONO!$E124,0),W123*$R122),SUMIF(OFFSET($R124,1,0,$Q122-2),($L122+1)&amp;"$",OFFSET(W124,1,0,$Q122-2)))</f>
        <v>0</v>
      </c>
      <c r="X124" s="220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$120,"="&amp;CRONO!X$12,CÁLCULO!$AB$15:$AL$120)/(ORÇAMENTO!$X$15-CÁLCULO.TotalAdmLocal)*CRONO!$E124,0),X123*$R122),SUMIF(OFFSET($R124,1,0,$Q122-2),($L122+1)&amp;"$",OFFSET(X124,1,0,$Q122-2)))</f>
        <v>0</v>
      </c>
      <c r="Y124" s="220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$120,"="&amp;CRONO!Y$12,CÁLCULO!$AB$15:$AL$120)/(ORÇAMENTO!$X$15-CÁLCULO.TotalAdmLocal)*CRONO!$E124,0),Y123*$R122),SUMIF(OFFSET($R124,1,0,$Q122-2),($L122+1)&amp;"$",OFFSET(Y124,1,0,$Q122-2)))</f>
        <v>0</v>
      </c>
      <c r="Z124" s="220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$120,"="&amp;CRONO!Z$12,CÁLCULO!$AB$15:$AL$120)/(ORÇAMENTO!$X$15-CÁLCULO.TotalAdmLocal)*CRONO!$E124,0),Z123*$R122),SUMIF(OFFSET($R124,1,0,$Q122-2),($L122+1)&amp;"$",OFFSET(Z124,1,0,$Q122-2)))</f>
        <v>0</v>
      </c>
      <c r="AA124" s="220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$120,"="&amp;CRONO!AA$12,CÁLCULO!$AB$15:$AL$120)/(ORÇAMENTO!$X$15-CÁLCULO.TotalAdmLocal)*CRONO!$E124,0),AA123*$R122),SUMIF(OFFSET($R124,1,0,$Q122-2),($L122+1)&amp;"$",OFFSET(AA124,1,0,$Q122-2)))</f>
        <v>0</v>
      </c>
      <c r="AB124" s="220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$120,"="&amp;CRONO!AB$12,CÁLCULO!$AB$15:$AL$120)/(ORÇAMENTO!$X$15-CÁLCULO.TotalAdmLocal)*CRONO!$E124,0),AB123*$R122),SUMIF(OFFSET($R124,1,0,$Q122-2),($L122+1)&amp;"$",OFFSET(AB124,1,0,$Q122-2)))</f>
        <v>0</v>
      </c>
      <c r="AC124" s="220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$120,"="&amp;CRONO!AC$12,CÁLCULO!$AB$15:$AL$120)/(ORÇAMENTO!$X$15-CÁLCULO.TotalAdmLocal)*CRONO!$E124,0),AC123*$R122),SUMIF(OFFSET($R124,1,0,$Q122-2),($L122+1)&amp;"$",OFFSET(AC124,1,0,$Q122-2)))</f>
        <v>0</v>
      </c>
      <c r="AD124" s="220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$120,"="&amp;CRONO!AD$12,CÁLCULO!$AB$15:$AL$120)/(ORÇAMENTO!$X$15-CÁLCULO.TotalAdmLocal)*CRONO!$E124,0),AD123*$R122),SUMIF(OFFSET($R124,1,0,$Q122-2),($L122+1)&amp;"$",OFFSET(AD124,1,0,$Q122-2)))</f>
        <v>0</v>
      </c>
      <c r="AE124" s="225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$120,"="&amp;CRONO!AE$12,CÁLCULO!$AB$15:$AL$120)/(ORÇAMENTO!$X$15-CÁLCULO.TotalAdmLocal)*CRONO!$E124,0),AE123*$R122),SUMIF(OFFSET($R124,1,0,$Q122-2),($L122+1)&amp;"$",OFFSET(AE124,1,0,$Q122-2)))</f>
        <v>0</v>
      </c>
    </row>
    <row r="125" spans="1:32" hidden="1" x14ac:dyDescent="0.2">
      <c r="A125" s="201">
        <f t="shared" ref="A125" ca="1" si="262">OFFSET(A125,-3,0)+1</f>
        <v>38</v>
      </c>
      <c r="B125" s="201">
        <f ca="1">IF($Q125&lt;&gt;2,0,IF($R125=0,1,IF(E126&gt;0,OFFSET(QCI!$M$13,SUBSTITUTE(E126,".",""),0),OFFSET(ORÇAMENTO!$AA$15,CRONO!$E125,0))/$R125))</f>
        <v>0</v>
      </c>
      <c r="C125" s="201">
        <f ca="1">IF($Q125&lt;&gt;2,0,IF($R125=0,1,IF(E126&gt;0,OFFSET(QCI!$N$13,SUBSTITUTE(E126,".",""),0),OFFSET(ORÇAMENTO!$AB$15,CRONO!$E125,0))/$R125))</f>
        <v>0</v>
      </c>
      <c r="D125" s="204" t="e">
        <f ca="1">IF(AND($Q125=2,ACOMPANHAMENTO="BM"),D126,D127/$R125)</f>
        <v>#VALUE!</v>
      </c>
      <c r="E125" s="201" t="e">
        <f ca="1">IF(A125&lt;=ORÇAMENTO.MáximoListaCrono,MATCH(A125,ORÇAMENTO.ListaCrono,0),NA())</f>
        <v>#N/A</v>
      </c>
      <c r="F125" s="201" t="str">
        <f t="shared" ref="F125" ca="1" si="263">IF(AND($E126&lt;&gt;-1,$R125&gt;0),"F","")</f>
        <v/>
      </c>
      <c r="G125" s="205" t="str">
        <f ca="1">IF(OR(R125=0,R125=""),"Linha",IF(AND(OR(ACOMPANHAMENTO="PLE",$Q125&lt;&gt;2),$E126=0),"Linha",1-SUM(T125:AF125)))</f>
        <v>Linha</v>
      </c>
      <c r="H125" s="206" t="str">
        <f ca="1">IF($E126=0,OFFSET(ORÇAMENTO!O$15,$E125,0),IF($E126&lt;&gt;-1,OFFSET(QCI!$D$13,$E126,0),""))</f>
        <v/>
      </c>
      <c r="I125" s="207" t="str">
        <f ca="1">IF($E126=0,OFFSET(ORÇAMENTO!R$15,$E125,0),IF($E126&lt;&gt;-1,OFFSET(QCI!$G$13,$E126,0),""))</f>
        <v/>
      </c>
      <c r="J125" s="207"/>
      <c r="K125" s="207"/>
      <c r="L125" s="208">
        <f ca="1">IF($E126=0,OFFSET(ORÇAMENTO!C$15,$E125,0),1)</f>
        <v>1</v>
      </c>
      <c r="M125" s="209">
        <f ca="1">IF($E126=-1,0,IF(M$13&lt;=$L125,IF(ISERROR(MATCH(M$13,OFFSET($L125,1,0,ROW($L$164)-ROW($L125)-1),0)),ROW($L$164)-ROW($L125)-1,MATCH(M$13,OFFSET($L125,1,0,ROW($L$164)-ROW($L125)-1),0)-1),0))</f>
        <v>0</v>
      </c>
      <c r="N125" s="209">
        <f ca="1">IF($E126=-1,0,IF(N$13&lt;=$L125,IF(ISERROR(MATCH(N$13,OFFSET($L125,1,0,ROW($L$164)-ROW($L125)-1),0)),ROW($L$164)-ROW($L125)-1,MATCH(N$13,OFFSET($L125,1,0,ROW($L$164)-ROW($L125)-1),0)-1),0))</f>
        <v>0</v>
      </c>
      <c r="O125" s="209">
        <f ca="1">IF($E126=-1,0,IF(O$13&lt;=$L125,IF(ISERROR(MATCH(O$13,OFFSET($L125,1,0,ROW($L$164)-ROW($L125)-1),0)),ROW($L$164)-ROW($L125)-1,MATCH(O$13,OFFSET($L125,1,0,ROW($L$164)-ROW($L125)-1),0)-1),0))</f>
        <v>0</v>
      </c>
      <c r="P125" s="209">
        <f ca="1">IF($E126=-1,0,IF(P$13&lt;=$L125,IF(ISERROR(MATCH(P$13,OFFSET($L125,1,0,ROW($L$164)-ROW($L125)-1),0)),ROW($L$164)-ROW($L125)-1,MATCH(P$13,OFFSET($L125,1,0,ROW($L$164)-ROW($L125)-1),0)-1),0))</f>
        <v>0</v>
      </c>
      <c r="Q125" s="209">
        <f t="shared" ref="Q125" ca="1" si="264">MIN(OFFSET(L125,0,1,,L125))</f>
        <v>0</v>
      </c>
      <c r="R125" s="210" t="str">
        <f ca="1">IF($E126=0,OFFSET(ORÇAMENTO!X$15,$E125,0),IF($E126&lt;&gt;-1,OFFSET(QCI!$O$13,$E126,0),""))</f>
        <v/>
      </c>
      <c r="S125" s="211" t="s">
        <v>270</v>
      </c>
      <c r="T125" s="212" t="e">
        <f t="shared" ref="T125:AE125" ca="1" si="265">IF(AND($Q125=2,ACOMPANHAMENTO="BM"),T126,T127/$R125)</f>
        <v>#VALUE!</v>
      </c>
      <c r="U125" s="204" t="e">
        <f t="shared" ca="1" si="265"/>
        <v>#VALUE!</v>
      </c>
      <c r="V125" s="204" t="e">
        <f t="shared" ca="1" si="265"/>
        <v>#VALUE!</v>
      </c>
      <c r="W125" s="204" t="e">
        <f t="shared" ca="1" si="265"/>
        <v>#VALUE!</v>
      </c>
      <c r="X125" s="204" t="e">
        <f t="shared" ca="1" si="265"/>
        <v>#VALUE!</v>
      </c>
      <c r="Y125" s="204" t="e">
        <f t="shared" ca="1" si="265"/>
        <v>#VALUE!</v>
      </c>
      <c r="Z125" s="204" t="e">
        <f t="shared" ca="1" si="265"/>
        <v>#VALUE!</v>
      </c>
      <c r="AA125" s="204" t="e">
        <f t="shared" ca="1" si="265"/>
        <v>#VALUE!</v>
      </c>
      <c r="AB125" s="204" t="e">
        <f t="shared" ca="1" si="265"/>
        <v>#VALUE!</v>
      </c>
      <c r="AC125" s="204" t="e">
        <f t="shared" ca="1" si="265"/>
        <v>#VALUE!</v>
      </c>
      <c r="AD125" s="204" t="e">
        <f t="shared" ca="1" si="265"/>
        <v>#VALUE!</v>
      </c>
      <c r="AE125" s="213" t="e">
        <f t="shared" ca="1" si="265"/>
        <v>#VALUE!</v>
      </c>
    </row>
    <row r="126" spans="1:32" ht="12.75" hidden="1" customHeight="1" x14ac:dyDescent="0.2">
      <c r="D126" s="566"/>
      <c r="E126" s="201">
        <f ca="1">IF(ISERROR(E125),IF(1+COUNTIF($L$13:OFFSET(L125,-1,0),1)&lt;=MAX(QCI!$D$13:$D$24),1+COUNTIF($L$13:OFFSET(L125,-1,0),1),-1),0)</f>
        <v>-1</v>
      </c>
      <c r="F126" s="201" t="str">
        <f t="shared" ref="F126" ca="1" si="266">IF(AND($E126&lt;&gt;-1,$R125&gt;0),"F","")</f>
        <v/>
      </c>
      <c r="G126" s="214" t="str">
        <f ca="1">IF(OR(R125=0,R125=""),"vazia",IF(AND(OR(ACOMPANHAMENTO="PLE",$Q125&lt;&gt;2),$E126=0),"calculada","--&gt;"))</f>
        <v>vazia</v>
      </c>
      <c r="H126" s="215"/>
      <c r="I126" s="216" t="str">
        <f t="shared" ref="I126" ca="1" si="267">IF(AND(G125&lt;&gt;0,ISNUMBER(G125)),"PREENCHA ESTA LINHA --&gt;","")</f>
        <v/>
      </c>
      <c r="J126" s="216"/>
      <c r="K126" s="216"/>
      <c r="L126" s="217"/>
      <c r="M126" s="217"/>
      <c r="N126" s="217"/>
      <c r="O126" s="217"/>
      <c r="P126" s="217"/>
      <c r="Q126" s="217"/>
      <c r="R126" s="218"/>
      <c r="S126" s="219"/>
      <c r="T126" s="567"/>
      <c r="U126" s="566"/>
      <c r="V126" s="566"/>
      <c r="W126" s="566"/>
      <c r="X126" s="566"/>
      <c r="Y126" s="566"/>
      <c r="Z126" s="566"/>
      <c r="AA126" s="566"/>
      <c r="AB126" s="566"/>
      <c r="AC126" s="566"/>
      <c r="AD126" s="566"/>
      <c r="AE126" s="568"/>
      <c r="AF126" s="530"/>
    </row>
    <row r="127" spans="1:32" ht="0.2" hidden="1" customHeight="1" x14ac:dyDescent="0.2">
      <c r="D127" s="220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$120,"="&amp;CRONO!D$12,CÁLCULO!$AB$15:$AL$120)/(ORÇAMENTO!$X$15-CÁLCULO.TotalAdmLocal)*CRONO!$E127,0),D126*$R125),SUMIF(OFFSET($R127,1,0,$Q125-2),($L125+1)&amp;"$",OFFSET(D127,1,0,$Q125-2)))</f>
        <v>0</v>
      </c>
      <c r="E127" s="201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21"/>
      <c r="R127" s="222" t="str">
        <f t="shared" ref="R127" ca="1" si="268">L125&amp;"$"</f>
        <v>1$</v>
      </c>
      <c r="S127" s="223"/>
      <c r="T127" s="224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$120,"&lt;="&amp;CRONO!T$12,CÁLCULO!$AB$15:$AL$120)/(ORÇAMENTO!$X$15-CÁLCULO.TotalAdmLocal)*CRONO!$E127,0),T126*$R125),SUMIF(OFFSET($R127,1,0,$Q125-2),($L125+1)&amp;"$",OFFSET(T127,1,0,$Q125-2)))</f>
        <v>0</v>
      </c>
      <c r="U127" s="220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$120,"="&amp;CRONO!U$12,CÁLCULO!$AB$15:$AL$120)/(ORÇAMENTO!$X$15-CÁLCULO.TotalAdmLocal)*CRONO!$E127,0),U126*$R125),SUMIF(OFFSET($R127,1,0,$Q125-2),($L125+1)&amp;"$",OFFSET(U127,1,0,$Q125-2)))</f>
        <v>0</v>
      </c>
      <c r="V127" s="220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$120,"="&amp;CRONO!V$12,CÁLCULO!$AB$15:$AL$120)/(ORÇAMENTO!$X$15-CÁLCULO.TotalAdmLocal)*CRONO!$E127,0),V126*$R125),SUMIF(OFFSET($R127,1,0,$Q125-2),($L125+1)&amp;"$",OFFSET(V127,1,0,$Q125-2)))</f>
        <v>0</v>
      </c>
      <c r="W127" s="220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$120,"="&amp;CRONO!W$12,CÁLCULO!$AB$15:$AL$120)/(ORÇAMENTO!$X$15-CÁLCULO.TotalAdmLocal)*CRONO!$E127,0),W126*$R125),SUMIF(OFFSET($R127,1,0,$Q125-2),($L125+1)&amp;"$",OFFSET(W127,1,0,$Q125-2)))</f>
        <v>0</v>
      </c>
      <c r="X127" s="220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$120,"="&amp;CRONO!X$12,CÁLCULO!$AB$15:$AL$120)/(ORÇAMENTO!$X$15-CÁLCULO.TotalAdmLocal)*CRONO!$E127,0),X126*$R125),SUMIF(OFFSET($R127,1,0,$Q125-2),($L125+1)&amp;"$",OFFSET(X127,1,0,$Q125-2)))</f>
        <v>0</v>
      </c>
      <c r="Y127" s="220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$120,"="&amp;CRONO!Y$12,CÁLCULO!$AB$15:$AL$120)/(ORÇAMENTO!$X$15-CÁLCULO.TotalAdmLocal)*CRONO!$E127,0),Y126*$R125),SUMIF(OFFSET($R127,1,0,$Q125-2),($L125+1)&amp;"$",OFFSET(Y127,1,0,$Q125-2)))</f>
        <v>0</v>
      </c>
      <c r="Z127" s="220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$120,"="&amp;CRONO!Z$12,CÁLCULO!$AB$15:$AL$120)/(ORÇAMENTO!$X$15-CÁLCULO.TotalAdmLocal)*CRONO!$E127,0),Z126*$R125),SUMIF(OFFSET($R127,1,0,$Q125-2),($L125+1)&amp;"$",OFFSET(Z127,1,0,$Q125-2)))</f>
        <v>0</v>
      </c>
      <c r="AA127" s="220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$120,"="&amp;CRONO!AA$12,CÁLCULO!$AB$15:$AL$120)/(ORÇAMENTO!$X$15-CÁLCULO.TotalAdmLocal)*CRONO!$E127,0),AA126*$R125),SUMIF(OFFSET($R127,1,0,$Q125-2),($L125+1)&amp;"$",OFFSET(AA127,1,0,$Q125-2)))</f>
        <v>0</v>
      </c>
      <c r="AB127" s="220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$120,"="&amp;CRONO!AB$12,CÁLCULO!$AB$15:$AL$120)/(ORÇAMENTO!$X$15-CÁLCULO.TotalAdmLocal)*CRONO!$E127,0),AB126*$R125),SUMIF(OFFSET($R127,1,0,$Q125-2),($L125+1)&amp;"$",OFFSET(AB127,1,0,$Q125-2)))</f>
        <v>0</v>
      </c>
      <c r="AC127" s="220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$120,"="&amp;CRONO!AC$12,CÁLCULO!$AB$15:$AL$120)/(ORÇAMENTO!$X$15-CÁLCULO.TotalAdmLocal)*CRONO!$E127,0),AC126*$R125),SUMIF(OFFSET($R127,1,0,$Q125-2),($L125+1)&amp;"$",OFFSET(AC127,1,0,$Q125-2)))</f>
        <v>0</v>
      </c>
      <c r="AD127" s="220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$120,"="&amp;CRONO!AD$12,CÁLCULO!$AB$15:$AL$120)/(ORÇAMENTO!$X$15-CÁLCULO.TotalAdmLocal)*CRONO!$E127,0),AD126*$R125),SUMIF(OFFSET($R127,1,0,$Q125-2),($L125+1)&amp;"$",OFFSET(AD127,1,0,$Q125-2)))</f>
        <v>0</v>
      </c>
      <c r="AE127" s="225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$120,"="&amp;CRONO!AE$12,CÁLCULO!$AB$15:$AL$120)/(ORÇAMENTO!$X$15-CÁLCULO.TotalAdmLocal)*CRONO!$E127,0),AE126*$R125),SUMIF(OFFSET($R127,1,0,$Q125-2),($L125+1)&amp;"$",OFFSET(AE127,1,0,$Q125-2)))</f>
        <v>0</v>
      </c>
    </row>
    <row r="128" spans="1:32" hidden="1" x14ac:dyDescent="0.2">
      <c r="A128" s="201">
        <f t="shared" ref="A128" ca="1" si="269">OFFSET(A128,-3,0)+1</f>
        <v>39</v>
      </c>
      <c r="B128" s="201">
        <f ca="1">IF($Q128&lt;&gt;2,0,IF($R128=0,1,IF(E129&gt;0,OFFSET(QCI!$M$13,SUBSTITUTE(E129,".",""),0),OFFSET(ORÇAMENTO!$AA$15,CRONO!$E128,0))/$R128))</f>
        <v>0</v>
      </c>
      <c r="C128" s="201">
        <f ca="1">IF($Q128&lt;&gt;2,0,IF($R128=0,1,IF(E129&gt;0,OFFSET(QCI!$N$13,SUBSTITUTE(E129,".",""),0),OFFSET(ORÇAMENTO!$AB$15,CRONO!$E128,0))/$R128))</f>
        <v>0</v>
      </c>
      <c r="D128" s="204" t="e">
        <f ca="1">IF(AND($Q128=2,ACOMPANHAMENTO="BM"),D129,D130/$R128)</f>
        <v>#VALUE!</v>
      </c>
      <c r="E128" s="201" t="e">
        <f ca="1">IF(A128&lt;=ORÇAMENTO.MáximoListaCrono,MATCH(A128,ORÇAMENTO.ListaCrono,0),NA())</f>
        <v>#N/A</v>
      </c>
      <c r="F128" s="201" t="str">
        <f t="shared" ref="F128" ca="1" si="270">IF(AND($E129&lt;&gt;-1,$R128&gt;0),"F","")</f>
        <v/>
      </c>
      <c r="G128" s="205" t="str">
        <f ca="1">IF(OR(R128=0,R128=""),"Linha",IF(AND(OR(ACOMPANHAMENTO="PLE",$Q128&lt;&gt;2),$E129=0),"Linha",1-SUM(T128:AF128)))</f>
        <v>Linha</v>
      </c>
      <c r="H128" s="206" t="str">
        <f ca="1">IF($E129=0,OFFSET(ORÇAMENTO!O$15,$E128,0),IF($E129&lt;&gt;-1,OFFSET(QCI!$D$13,$E129,0),""))</f>
        <v/>
      </c>
      <c r="I128" s="207" t="str">
        <f ca="1">IF($E129=0,OFFSET(ORÇAMENTO!R$15,$E128,0),IF($E129&lt;&gt;-1,OFFSET(QCI!$G$13,$E129,0),""))</f>
        <v/>
      </c>
      <c r="J128" s="207"/>
      <c r="K128" s="207"/>
      <c r="L128" s="208">
        <f ca="1">IF($E129=0,OFFSET(ORÇAMENTO!C$15,$E128,0),1)</f>
        <v>1</v>
      </c>
      <c r="M128" s="209">
        <f ca="1">IF($E129=-1,0,IF(M$13&lt;=$L128,IF(ISERROR(MATCH(M$13,OFFSET($L128,1,0,ROW($L$164)-ROW($L128)-1),0)),ROW($L$164)-ROW($L128)-1,MATCH(M$13,OFFSET($L128,1,0,ROW($L$164)-ROW($L128)-1),0)-1),0))</f>
        <v>0</v>
      </c>
      <c r="N128" s="209">
        <f ca="1">IF($E129=-1,0,IF(N$13&lt;=$L128,IF(ISERROR(MATCH(N$13,OFFSET($L128,1,0,ROW($L$164)-ROW($L128)-1),0)),ROW($L$164)-ROW($L128)-1,MATCH(N$13,OFFSET($L128,1,0,ROW($L$164)-ROW($L128)-1),0)-1),0))</f>
        <v>0</v>
      </c>
      <c r="O128" s="209">
        <f ca="1">IF($E129=-1,0,IF(O$13&lt;=$L128,IF(ISERROR(MATCH(O$13,OFFSET($L128,1,0,ROW($L$164)-ROW($L128)-1),0)),ROW($L$164)-ROW($L128)-1,MATCH(O$13,OFFSET($L128,1,0,ROW($L$164)-ROW($L128)-1),0)-1),0))</f>
        <v>0</v>
      </c>
      <c r="P128" s="209">
        <f ca="1">IF($E129=-1,0,IF(P$13&lt;=$L128,IF(ISERROR(MATCH(P$13,OFFSET($L128,1,0,ROW($L$164)-ROW($L128)-1),0)),ROW($L$164)-ROW($L128)-1,MATCH(P$13,OFFSET($L128,1,0,ROW($L$164)-ROW($L128)-1),0)-1),0))</f>
        <v>0</v>
      </c>
      <c r="Q128" s="209">
        <f t="shared" ref="Q128" ca="1" si="271">MIN(OFFSET(L128,0,1,,L128))</f>
        <v>0</v>
      </c>
      <c r="R128" s="210" t="str">
        <f ca="1">IF($E129=0,OFFSET(ORÇAMENTO!X$15,$E128,0),IF($E129&lt;&gt;-1,OFFSET(QCI!$O$13,$E129,0),""))</f>
        <v/>
      </c>
      <c r="S128" s="211" t="s">
        <v>270</v>
      </c>
      <c r="T128" s="212" t="e">
        <f t="shared" ref="T128:AE128" ca="1" si="272">IF(AND($Q128=2,ACOMPANHAMENTO="BM"),T129,T130/$R128)</f>
        <v>#VALUE!</v>
      </c>
      <c r="U128" s="204" t="e">
        <f t="shared" ca="1" si="272"/>
        <v>#VALUE!</v>
      </c>
      <c r="V128" s="204" t="e">
        <f t="shared" ca="1" si="272"/>
        <v>#VALUE!</v>
      </c>
      <c r="W128" s="204" t="e">
        <f t="shared" ca="1" si="272"/>
        <v>#VALUE!</v>
      </c>
      <c r="X128" s="204" t="e">
        <f t="shared" ca="1" si="272"/>
        <v>#VALUE!</v>
      </c>
      <c r="Y128" s="204" t="e">
        <f t="shared" ca="1" si="272"/>
        <v>#VALUE!</v>
      </c>
      <c r="Z128" s="204" t="e">
        <f t="shared" ca="1" si="272"/>
        <v>#VALUE!</v>
      </c>
      <c r="AA128" s="204" t="e">
        <f t="shared" ca="1" si="272"/>
        <v>#VALUE!</v>
      </c>
      <c r="AB128" s="204" t="e">
        <f t="shared" ca="1" si="272"/>
        <v>#VALUE!</v>
      </c>
      <c r="AC128" s="204" t="e">
        <f t="shared" ca="1" si="272"/>
        <v>#VALUE!</v>
      </c>
      <c r="AD128" s="204" t="e">
        <f t="shared" ca="1" si="272"/>
        <v>#VALUE!</v>
      </c>
      <c r="AE128" s="213" t="e">
        <f t="shared" ca="1" si="272"/>
        <v>#VALUE!</v>
      </c>
    </row>
    <row r="129" spans="1:32" ht="12.75" hidden="1" customHeight="1" x14ac:dyDescent="0.2">
      <c r="D129" s="566"/>
      <c r="E129" s="201">
        <f ca="1">IF(ISERROR(E128),IF(1+COUNTIF($L$13:OFFSET(L128,-1,0),1)&lt;=MAX(QCI!$D$13:$D$24),1+COUNTIF($L$13:OFFSET(L128,-1,0),1),-1),0)</f>
        <v>-1</v>
      </c>
      <c r="F129" s="201" t="str">
        <f t="shared" ref="F129" ca="1" si="273">IF(AND($E129&lt;&gt;-1,$R128&gt;0),"F","")</f>
        <v/>
      </c>
      <c r="G129" s="214" t="str">
        <f ca="1">IF(OR(R128=0,R128=""),"vazia",IF(AND(OR(ACOMPANHAMENTO="PLE",$Q128&lt;&gt;2),$E129=0),"calculada","--&gt;"))</f>
        <v>vazia</v>
      </c>
      <c r="H129" s="215"/>
      <c r="I129" s="216" t="str">
        <f t="shared" ref="I129" ca="1" si="274">IF(AND(G128&lt;&gt;0,ISNUMBER(G128)),"PREENCHA ESTA LINHA --&gt;","")</f>
        <v/>
      </c>
      <c r="J129" s="216"/>
      <c r="K129" s="216"/>
      <c r="L129" s="217"/>
      <c r="M129" s="217"/>
      <c r="N129" s="217"/>
      <c r="O129" s="217"/>
      <c r="P129" s="217"/>
      <c r="Q129" s="217"/>
      <c r="R129" s="218"/>
      <c r="S129" s="219"/>
      <c r="T129" s="567"/>
      <c r="U129" s="566"/>
      <c r="V129" s="566"/>
      <c r="W129" s="566"/>
      <c r="X129" s="566"/>
      <c r="Y129" s="566"/>
      <c r="Z129" s="566"/>
      <c r="AA129" s="566"/>
      <c r="AB129" s="566"/>
      <c r="AC129" s="566"/>
      <c r="AD129" s="566"/>
      <c r="AE129" s="568"/>
      <c r="AF129" s="530"/>
    </row>
    <row r="130" spans="1:32" ht="0.2" hidden="1" customHeight="1" x14ac:dyDescent="0.2">
      <c r="D130" s="220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$120,"="&amp;CRONO!D$12,CÁLCULO!$AB$15:$AL$120)/(ORÇAMENTO!$X$15-CÁLCULO.TotalAdmLocal)*CRONO!$E130,0),D129*$R128),SUMIF(OFFSET($R130,1,0,$Q128-2),($L128+1)&amp;"$",OFFSET(D130,1,0,$Q128-2)))</f>
        <v>0</v>
      </c>
      <c r="E130" s="201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21"/>
      <c r="R130" s="222" t="str">
        <f t="shared" ref="R130" ca="1" si="275">L128&amp;"$"</f>
        <v>1$</v>
      </c>
      <c r="S130" s="223"/>
      <c r="T130" s="224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$120,"&lt;="&amp;CRONO!T$12,CÁLCULO!$AB$15:$AL$120)/(ORÇAMENTO!$X$15-CÁLCULO.TotalAdmLocal)*CRONO!$E130,0),T129*$R128),SUMIF(OFFSET($R130,1,0,$Q128-2),($L128+1)&amp;"$",OFFSET(T130,1,0,$Q128-2)))</f>
        <v>0</v>
      </c>
      <c r="U130" s="220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$120,"="&amp;CRONO!U$12,CÁLCULO!$AB$15:$AL$120)/(ORÇAMENTO!$X$15-CÁLCULO.TotalAdmLocal)*CRONO!$E130,0),U129*$R128),SUMIF(OFFSET($R130,1,0,$Q128-2),($L128+1)&amp;"$",OFFSET(U130,1,0,$Q128-2)))</f>
        <v>0</v>
      </c>
      <c r="V130" s="220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$120,"="&amp;CRONO!V$12,CÁLCULO!$AB$15:$AL$120)/(ORÇAMENTO!$X$15-CÁLCULO.TotalAdmLocal)*CRONO!$E130,0),V129*$R128),SUMIF(OFFSET($R130,1,0,$Q128-2),($L128+1)&amp;"$",OFFSET(V130,1,0,$Q128-2)))</f>
        <v>0</v>
      </c>
      <c r="W130" s="220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$120,"="&amp;CRONO!W$12,CÁLCULO!$AB$15:$AL$120)/(ORÇAMENTO!$X$15-CÁLCULO.TotalAdmLocal)*CRONO!$E130,0),W129*$R128),SUMIF(OFFSET($R130,1,0,$Q128-2),($L128+1)&amp;"$",OFFSET(W130,1,0,$Q128-2)))</f>
        <v>0</v>
      </c>
      <c r="X130" s="220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$120,"="&amp;CRONO!X$12,CÁLCULO!$AB$15:$AL$120)/(ORÇAMENTO!$X$15-CÁLCULO.TotalAdmLocal)*CRONO!$E130,0),X129*$R128),SUMIF(OFFSET($R130,1,0,$Q128-2),($L128+1)&amp;"$",OFFSET(X130,1,0,$Q128-2)))</f>
        <v>0</v>
      </c>
      <c r="Y130" s="220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$120,"="&amp;CRONO!Y$12,CÁLCULO!$AB$15:$AL$120)/(ORÇAMENTO!$X$15-CÁLCULO.TotalAdmLocal)*CRONO!$E130,0),Y129*$R128),SUMIF(OFFSET($R130,1,0,$Q128-2),($L128+1)&amp;"$",OFFSET(Y130,1,0,$Q128-2)))</f>
        <v>0</v>
      </c>
      <c r="Z130" s="220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$120,"="&amp;CRONO!Z$12,CÁLCULO!$AB$15:$AL$120)/(ORÇAMENTO!$X$15-CÁLCULO.TotalAdmLocal)*CRONO!$E130,0),Z129*$R128),SUMIF(OFFSET($R130,1,0,$Q128-2),($L128+1)&amp;"$",OFFSET(Z130,1,0,$Q128-2)))</f>
        <v>0</v>
      </c>
      <c r="AA130" s="220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$120,"="&amp;CRONO!AA$12,CÁLCULO!$AB$15:$AL$120)/(ORÇAMENTO!$X$15-CÁLCULO.TotalAdmLocal)*CRONO!$E130,0),AA129*$R128),SUMIF(OFFSET($R130,1,0,$Q128-2),($L128+1)&amp;"$",OFFSET(AA130,1,0,$Q128-2)))</f>
        <v>0</v>
      </c>
      <c r="AB130" s="220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$120,"="&amp;CRONO!AB$12,CÁLCULO!$AB$15:$AL$120)/(ORÇAMENTO!$X$15-CÁLCULO.TotalAdmLocal)*CRONO!$E130,0),AB129*$R128),SUMIF(OFFSET($R130,1,0,$Q128-2),($L128+1)&amp;"$",OFFSET(AB130,1,0,$Q128-2)))</f>
        <v>0</v>
      </c>
      <c r="AC130" s="220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$120,"="&amp;CRONO!AC$12,CÁLCULO!$AB$15:$AL$120)/(ORÇAMENTO!$X$15-CÁLCULO.TotalAdmLocal)*CRONO!$E130,0),AC129*$R128),SUMIF(OFFSET($R130,1,0,$Q128-2),($L128+1)&amp;"$",OFFSET(AC130,1,0,$Q128-2)))</f>
        <v>0</v>
      </c>
      <c r="AD130" s="220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$120,"="&amp;CRONO!AD$12,CÁLCULO!$AB$15:$AL$120)/(ORÇAMENTO!$X$15-CÁLCULO.TotalAdmLocal)*CRONO!$E130,0),AD129*$R128),SUMIF(OFFSET($R130,1,0,$Q128-2),($L128+1)&amp;"$",OFFSET(AD130,1,0,$Q128-2)))</f>
        <v>0</v>
      </c>
      <c r="AE130" s="225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$120,"="&amp;CRONO!AE$12,CÁLCULO!$AB$15:$AL$120)/(ORÇAMENTO!$X$15-CÁLCULO.TotalAdmLocal)*CRONO!$E130,0),AE129*$R128),SUMIF(OFFSET($R130,1,0,$Q128-2),($L128+1)&amp;"$",OFFSET(AE130,1,0,$Q128-2)))</f>
        <v>0</v>
      </c>
    </row>
    <row r="131" spans="1:32" hidden="1" x14ac:dyDescent="0.2">
      <c r="A131" s="201">
        <f t="shared" ref="A131" ca="1" si="276">OFFSET(A131,-3,0)+1</f>
        <v>40</v>
      </c>
      <c r="B131" s="201">
        <f ca="1">IF($Q131&lt;&gt;2,0,IF($R131=0,1,IF(E132&gt;0,OFFSET(QCI!$M$13,SUBSTITUTE(E132,".",""),0),OFFSET(ORÇAMENTO!$AA$15,CRONO!$E131,0))/$R131))</f>
        <v>0</v>
      </c>
      <c r="C131" s="201">
        <f ca="1">IF($Q131&lt;&gt;2,0,IF($R131=0,1,IF(E132&gt;0,OFFSET(QCI!$N$13,SUBSTITUTE(E132,".",""),0),OFFSET(ORÇAMENTO!$AB$15,CRONO!$E131,0))/$R131))</f>
        <v>0</v>
      </c>
      <c r="D131" s="204" t="e">
        <f ca="1">IF(AND($Q131=2,ACOMPANHAMENTO="BM"),D132,D133/$R131)</f>
        <v>#VALUE!</v>
      </c>
      <c r="E131" s="201" t="e">
        <f ca="1">IF(A131&lt;=ORÇAMENTO.MáximoListaCrono,MATCH(A131,ORÇAMENTO.ListaCrono,0),NA())</f>
        <v>#N/A</v>
      </c>
      <c r="F131" s="201" t="str">
        <f t="shared" ref="F131" ca="1" si="277">IF(AND($E132&lt;&gt;-1,$R131&gt;0),"F","")</f>
        <v/>
      </c>
      <c r="G131" s="205" t="str">
        <f ca="1">IF(OR(R131=0,R131=""),"Linha",IF(AND(OR(ACOMPANHAMENTO="PLE",$Q131&lt;&gt;2),$E132=0),"Linha",1-SUM(T131:AF131)))</f>
        <v>Linha</v>
      </c>
      <c r="H131" s="206" t="str">
        <f ca="1">IF($E132=0,OFFSET(ORÇAMENTO!O$15,$E131,0),IF($E132&lt;&gt;-1,OFFSET(QCI!$D$13,$E132,0),""))</f>
        <v/>
      </c>
      <c r="I131" s="207" t="str">
        <f ca="1">IF($E132=0,OFFSET(ORÇAMENTO!R$15,$E131,0),IF($E132&lt;&gt;-1,OFFSET(QCI!$G$13,$E132,0),""))</f>
        <v/>
      </c>
      <c r="J131" s="207"/>
      <c r="K131" s="207"/>
      <c r="L131" s="208">
        <f ca="1">IF($E132=0,OFFSET(ORÇAMENTO!C$15,$E131,0),1)</f>
        <v>1</v>
      </c>
      <c r="M131" s="209">
        <f ca="1">IF($E132=-1,0,IF(M$13&lt;=$L131,IF(ISERROR(MATCH(M$13,OFFSET($L131,1,0,ROW($L$164)-ROW($L131)-1),0)),ROW($L$164)-ROW($L131)-1,MATCH(M$13,OFFSET($L131,1,0,ROW($L$164)-ROW($L131)-1),0)-1),0))</f>
        <v>0</v>
      </c>
      <c r="N131" s="209">
        <f ca="1">IF($E132=-1,0,IF(N$13&lt;=$L131,IF(ISERROR(MATCH(N$13,OFFSET($L131,1,0,ROW($L$164)-ROW($L131)-1),0)),ROW($L$164)-ROW($L131)-1,MATCH(N$13,OFFSET($L131,1,0,ROW($L$164)-ROW($L131)-1),0)-1),0))</f>
        <v>0</v>
      </c>
      <c r="O131" s="209">
        <f ca="1">IF($E132=-1,0,IF(O$13&lt;=$L131,IF(ISERROR(MATCH(O$13,OFFSET($L131,1,0,ROW($L$164)-ROW($L131)-1),0)),ROW($L$164)-ROW($L131)-1,MATCH(O$13,OFFSET($L131,1,0,ROW($L$164)-ROW($L131)-1),0)-1),0))</f>
        <v>0</v>
      </c>
      <c r="P131" s="209">
        <f ca="1">IF($E132=-1,0,IF(P$13&lt;=$L131,IF(ISERROR(MATCH(P$13,OFFSET($L131,1,0,ROW($L$164)-ROW($L131)-1),0)),ROW($L$164)-ROW($L131)-1,MATCH(P$13,OFFSET($L131,1,0,ROW($L$164)-ROW($L131)-1),0)-1),0))</f>
        <v>0</v>
      </c>
      <c r="Q131" s="209">
        <f t="shared" ref="Q131" ca="1" si="278">MIN(OFFSET(L131,0,1,,L131))</f>
        <v>0</v>
      </c>
      <c r="R131" s="210" t="str">
        <f ca="1">IF($E132=0,OFFSET(ORÇAMENTO!X$15,$E131,0),IF($E132&lt;&gt;-1,OFFSET(QCI!$O$13,$E132,0),""))</f>
        <v/>
      </c>
      <c r="S131" s="211" t="s">
        <v>270</v>
      </c>
      <c r="T131" s="212" t="e">
        <f t="shared" ref="T131:AE131" ca="1" si="279">IF(AND($Q131=2,ACOMPANHAMENTO="BM"),T132,T133/$R131)</f>
        <v>#VALUE!</v>
      </c>
      <c r="U131" s="204" t="e">
        <f t="shared" ca="1" si="279"/>
        <v>#VALUE!</v>
      </c>
      <c r="V131" s="204" t="e">
        <f t="shared" ca="1" si="279"/>
        <v>#VALUE!</v>
      </c>
      <c r="W131" s="204" t="e">
        <f t="shared" ca="1" si="279"/>
        <v>#VALUE!</v>
      </c>
      <c r="X131" s="204" t="e">
        <f t="shared" ca="1" si="279"/>
        <v>#VALUE!</v>
      </c>
      <c r="Y131" s="204" t="e">
        <f t="shared" ca="1" si="279"/>
        <v>#VALUE!</v>
      </c>
      <c r="Z131" s="204" t="e">
        <f t="shared" ca="1" si="279"/>
        <v>#VALUE!</v>
      </c>
      <c r="AA131" s="204" t="e">
        <f t="shared" ca="1" si="279"/>
        <v>#VALUE!</v>
      </c>
      <c r="AB131" s="204" t="e">
        <f t="shared" ca="1" si="279"/>
        <v>#VALUE!</v>
      </c>
      <c r="AC131" s="204" t="e">
        <f t="shared" ca="1" si="279"/>
        <v>#VALUE!</v>
      </c>
      <c r="AD131" s="204" t="e">
        <f t="shared" ca="1" si="279"/>
        <v>#VALUE!</v>
      </c>
      <c r="AE131" s="213" t="e">
        <f t="shared" ca="1" si="279"/>
        <v>#VALUE!</v>
      </c>
    </row>
    <row r="132" spans="1:32" ht="12.75" hidden="1" customHeight="1" x14ac:dyDescent="0.2">
      <c r="D132" s="566"/>
      <c r="E132" s="201">
        <f ca="1">IF(ISERROR(E131),IF(1+COUNTIF($L$13:OFFSET(L131,-1,0),1)&lt;=MAX(QCI!$D$13:$D$24),1+COUNTIF($L$13:OFFSET(L131,-1,0),1),-1),0)</f>
        <v>-1</v>
      </c>
      <c r="F132" s="201" t="str">
        <f t="shared" ref="F132" ca="1" si="280">IF(AND($E132&lt;&gt;-1,$R131&gt;0),"F","")</f>
        <v/>
      </c>
      <c r="G132" s="214" t="str">
        <f ca="1">IF(OR(R131=0,R131=""),"vazia",IF(AND(OR(ACOMPANHAMENTO="PLE",$Q131&lt;&gt;2),$E132=0),"calculada","--&gt;"))</f>
        <v>vazia</v>
      </c>
      <c r="H132" s="215"/>
      <c r="I132" s="216" t="str">
        <f t="shared" ref="I132" ca="1" si="281">IF(AND(G131&lt;&gt;0,ISNUMBER(G131)),"PREENCHA ESTA LINHA --&gt;","")</f>
        <v/>
      </c>
      <c r="J132" s="216"/>
      <c r="K132" s="216"/>
      <c r="L132" s="217"/>
      <c r="M132" s="217"/>
      <c r="N132" s="217"/>
      <c r="O132" s="217"/>
      <c r="P132" s="217"/>
      <c r="Q132" s="217"/>
      <c r="R132" s="218"/>
      <c r="S132" s="219"/>
      <c r="T132" s="567"/>
      <c r="U132" s="566"/>
      <c r="V132" s="566"/>
      <c r="W132" s="566"/>
      <c r="X132" s="566"/>
      <c r="Y132" s="566"/>
      <c r="Z132" s="566"/>
      <c r="AA132" s="566"/>
      <c r="AB132" s="566"/>
      <c r="AC132" s="566"/>
      <c r="AD132" s="566"/>
      <c r="AE132" s="568"/>
      <c r="AF132" s="530"/>
    </row>
    <row r="133" spans="1:32" ht="0.2" hidden="1" customHeight="1" x14ac:dyDescent="0.2">
      <c r="D133" s="220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$120,"="&amp;CRONO!D$12,CÁLCULO!$AB$15:$AL$120)/(ORÇAMENTO!$X$15-CÁLCULO.TotalAdmLocal)*CRONO!$E133,0),D132*$R131),SUMIF(OFFSET($R133,1,0,$Q131-2),($L131+1)&amp;"$",OFFSET(D133,1,0,$Q131-2)))</f>
        <v>0</v>
      </c>
      <c r="E133" s="201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21"/>
      <c r="R133" s="222" t="str">
        <f t="shared" ref="R133" ca="1" si="282">L131&amp;"$"</f>
        <v>1$</v>
      </c>
      <c r="S133" s="223"/>
      <c r="T133" s="224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$120,"&lt;="&amp;CRONO!T$12,CÁLCULO!$AB$15:$AL$120)/(ORÇAMENTO!$X$15-CÁLCULO.TotalAdmLocal)*CRONO!$E133,0),T132*$R131),SUMIF(OFFSET($R133,1,0,$Q131-2),($L131+1)&amp;"$",OFFSET(T133,1,0,$Q131-2)))</f>
        <v>0</v>
      </c>
      <c r="U133" s="220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$120,"="&amp;CRONO!U$12,CÁLCULO!$AB$15:$AL$120)/(ORÇAMENTO!$X$15-CÁLCULO.TotalAdmLocal)*CRONO!$E133,0),U132*$R131),SUMIF(OFFSET($R133,1,0,$Q131-2),($L131+1)&amp;"$",OFFSET(U133,1,0,$Q131-2)))</f>
        <v>0</v>
      </c>
      <c r="V133" s="220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$120,"="&amp;CRONO!V$12,CÁLCULO!$AB$15:$AL$120)/(ORÇAMENTO!$X$15-CÁLCULO.TotalAdmLocal)*CRONO!$E133,0),V132*$R131),SUMIF(OFFSET($R133,1,0,$Q131-2),($L131+1)&amp;"$",OFFSET(V133,1,0,$Q131-2)))</f>
        <v>0</v>
      </c>
      <c r="W133" s="220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$120,"="&amp;CRONO!W$12,CÁLCULO!$AB$15:$AL$120)/(ORÇAMENTO!$X$15-CÁLCULO.TotalAdmLocal)*CRONO!$E133,0),W132*$R131),SUMIF(OFFSET($R133,1,0,$Q131-2),($L131+1)&amp;"$",OFFSET(W133,1,0,$Q131-2)))</f>
        <v>0</v>
      </c>
      <c r="X133" s="220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$120,"="&amp;CRONO!X$12,CÁLCULO!$AB$15:$AL$120)/(ORÇAMENTO!$X$15-CÁLCULO.TotalAdmLocal)*CRONO!$E133,0),X132*$R131),SUMIF(OFFSET($R133,1,0,$Q131-2),($L131+1)&amp;"$",OFFSET(X133,1,0,$Q131-2)))</f>
        <v>0</v>
      </c>
      <c r="Y133" s="220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$120,"="&amp;CRONO!Y$12,CÁLCULO!$AB$15:$AL$120)/(ORÇAMENTO!$X$15-CÁLCULO.TotalAdmLocal)*CRONO!$E133,0),Y132*$R131),SUMIF(OFFSET($R133,1,0,$Q131-2),($L131+1)&amp;"$",OFFSET(Y133,1,0,$Q131-2)))</f>
        <v>0</v>
      </c>
      <c r="Z133" s="220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$120,"="&amp;CRONO!Z$12,CÁLCULO!$AB$15:$AL$120)/(ORÇAMENTO!$X$15-CÁLCULO.TotalAdmLocal)*CRONO!$E133,0),Z132*$R131),SUMIF(OFFSET($R133,1,0,$Q131-2),($L131+1)&amp;"$",OFFSET(Z133,1,0,$Q131-2)))</f>
        <v>0</v>
      </c>
      <c r="AA133" s="220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$120,"="&amp;CRONO!AA$12,CÁLCULO!$AB$15:$AL$120)/(ORÇAMENTO!$X$15-CÁLCULO.TotalAdmLocal)*CRONO!$E133,0),AA132*$R131),SUMIF(OFFSET($R133,1,0,$Q131-2),($L131+1)&amp;"$",OFFSET(AA133,1,0,$Q131-2)))</f>
        <v>0</v>
      </c>
      <c r="AB133" s="220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$120,"="&amp;CRONO!AB$12,CÁLCULO!$AB$15:$AL$120)/(ORÇAMENTO!$X$15-CÁLCULO.TotalAdmLocal)*CRONO!$E133,0),AB132*$R131),SUMIF(OFFSET($R133,1,0,$Q131-2),($L131+1)&amp;"$",OFFSET(AB133,1,0,$Q131-2)))</f>
        <v>0</v>
      </c>
      <c r="AC133" s="220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$120,"="&amp;CRONO!AC$12,CÁLCULO!$AB$15:$AL$120)/(ORÇAMENTO!$X$15-CÁLCULO.TotalAdmLocal)*CRONO!$E133,0),AC132*$R131),SUMIF(OFFSET($R133,1,0,$Q131-2),($L131+1)&amp;"$",OFFSET(AC133,1,0,$Q131-2)))</f>
        <v>0</v>
      </c>
      <c r="AD133" s="220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$120,"="&amp;CRONO!AD$12,CÁLCULO!$AB$15:$AL$120)/(ORÇAMENTO!$X$15-CÁLCULO.TotalAdmLocal)*CRONO!$E133,0),AD132*$R131),SUMIF(OFFSET($R133,1,0,$Q131-2),($L131+1)&amp;"$",OFFSET(AD133,1,0,$Q131-2)))</f>
        <v>0</v>
      </c>
      <c r="AE133" s="225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$120,"="&amp;CRONO!AE$12,CÁLCULO!$AB$15:$AL$120)/(ORÇAMENTO!$X$15-CÁLCULO.TotalAdmLocal)*CRONO!$E133,0),AE132*$R131),SUMIF(OFFSET($R133,1,0,$Q131-2),($L131+1)&amp;"$",OFFSET(AE133,1,0,$Q131-2)))</f>
        <v>0</v>
      </c>
    </row>
    <row r="134" spans="1:32" hidden="1" x14ac:dyDescent="0.2">
      <c r="A134" s="201">
        <f t="shared" ref="A134" ca="1" si="283">OFFSET(A134,-3,0)+1</f>
        <v>41</v>
      </c>
      <c r="B134" s="201">
        <f ca="1">IF($Q134&lt;&gt;2,0,IF($R134=0,1,IF(E135&gt;0,OFFSET(QCI!$M$13,SUBSTITUTE(E135,".",""),0),OFFSET(ORÇAMENTO!$AA$15,CRONO!$E134,0))/$R134))</f>
        <v>0</v>
      </c>
      <c r="C134" s="201">
        <f ca="1">IF($Q134&lt;&gt;2,0,IF($R134=0,1,IF(E135&gt;0,OFFSET(QCI!$N$13,SUBSTITUTE(E135,".",""),0),OFFSET(ORÇAMENTO!$AB$15,CRONO!$E134,0))/$R134))</f>
        <v>0</v>
      </c>
      <c r="D134" s="204" t="e">
        <f ca="1">IF(AND($Q134=2,ACOMPANHAMENTO="BM"),D135,D136/$R134)</f>
        <v>#VALUE!</v>
      </c>
      <c r="E134" s="201" t="e">
        <f ca="1">IF(A134&lt;=ORÇAMENTO.MáximoListaCrono,MATCH(A134,ORÇAMENTO.ListaCrono,0),NA())</f>
        <v>#N/A</v>
      </c>
      <c r="F134" s="201" t="str">
        <f t="shared" ref="F134" ca="1" si="284">IF(AND($E135&lt;&gt;-1,$R134&gt;0),"F","")</f>
        <v/>
      </c>
      <c r="G134" s="205" t="str">
        <f ca="1">IF(OR(R134=0,R134=""),"Linha",IF(AND(OR(ACOMPANHAMENTO="PLE",$Q134&lt;&gt;2),$E135=0),"Linha",1-SUM(T134:AF134)))</f>
        <v>Linha</v>
      </c>
      <c r="H134" s="206" t="str">
        <f ca="1">IF($E135=0,OFFSET(ORÇAMENTO!O$15,$E134,0),IF($E135&lt;&gt;-1,OFFSET(QCI!$D$13,$E135,0),""))</f>
        <v/>
      </c>
      <c r="I134" s="207" t="str">
        <f ca="1">IF($E135=0,OFFSET(ORÇAMENTO!R$15,$E134,0),IF($E135&lt;&gt;-1,OFFSET(QCI!$G$13,$E135,0),""))</f>
        <v/>
      </c>
      <c r="J134" s="207"/>
      <c r="K134" s="207"/>
      <c r="L134" s="208">
        <f ca="1">IF($E135=0,OFFSET(ORÇAMENTO!C$15,$E134,0),1)</f>
        <v>1</v>
      </c>
      <c r="M134" s="209">
        <f ca="1">IF($E135=-1,0,IF(M$13&lt;=$L134,IF(ISERROR(MATCH(M$13,OFFSET($L134,1,0,ROW($L$164)-ROW($L134)-1),0)),ROW($L$164)-ROW($L134)-1,MATCH(M$13,OFFSET($L134,1,0,ROW($L$164)-ROW($L134)-1),0)-1),0))</f>
        <v>0</v>
      </c>
      <c r="N134" s="209">
        <f ca="1">IF($E135=-1,0,IF(N$13&lt;=$L134,IF(ISERROR(MATCH(N$13,OFFSET($L134,1,0,ROW($L$164)-ROW($L134)-1),0)),ROW($L$164)-ROW($L134)-1,MATCH(N$13,OFFSET($L134,1,0,ROW($L$164)-ROW($L134)-1),0)-1),0))</f>
        <v>0</v>
      </c>
      <c r="O134" s="209">
        <f ca="1">IF($E135=-1,0,IF(O$13&lt;=$L134,IF(ISERROR(MATCH(O$13,OFFSET($L134,1,0,ROW($L$164)-ROW($L134)-1),0)),ROW($L$164)-ROW($L134)-1,MATCH(O$13,OFFSET($L134,1,0,ROW($L$164)-ROW($L134)-1),0)-1),0))</f>
        <v>0</v>
      </c>
      <c r="P134" s="209">
        <f ca="1">IF($E135=-1,0,IF(P$13&lt;=$L134,IF(ISERROR(MATCH(P$13,OFFSET($L134,1,0,ROW($L$164)-ROW($L134)-1),0)),ROW($L$164)-ROW($L134)-1,MATCH(P$13,OFFSET($L134,1,0,ROW($L$164)-ROW($L134)-1),0)-1),0))</f>
        <v>0</v>
      </c>
      <c r="Q134" s="209">
        <f t="shared" ref="Q134" ca="1" si="285">MIN(OFFSET(L134,0,1,,L134))</f>
        <v>0</v>
      </c>
      <c r="R134" s="210" t="str">
        <f ca="1">IF($E135=0,OFFSET(ORÇAMENTO!X$15,$E134,0),IF($E135&lt;&gt;-1,OFFSET(QCI!$O$13,$E135,0),""))</f>
        <v/>
      </c>
      <c r="S134" s="211" t="s">
        <v>270</v>
      </c>
      <c r="T134" s="212" t="e">
        <f t="shared" ref="T134:AE134" ca="1" si="286">IF(AND($Q134=2,ACOMPANHAMENTO="BM"),T135,T136/$R134)</f>
        <v>#VALUE!</v>
      </c>
      <c r="U134" s="204" t="e">
        <f t="shared" ca="1" si="286"/>
        <v>#VALUE!</v>
      </c>
      <c r="V134" s="204" t="e">
        <f t="shared" ca="1" si="286"/>
        <v>#VALUE!</v>
      </c>
      <c r="W134" s="204" t="e">
        <f t="shared" ca="1" si="286"/>
        <v>#VALUE!</v>
      </c>
      <c r="X134" s="204" t="e">
        <f t="shared" ca="1" si="286"/>
        <v>#VALUE!</v>
      </c>
      <c r="Y134" s="204" t="e">
        <f t="shared" ca="1" si="286"/>
        <v>#VALUE!</v>
      </c>
      <c r="Z134" s="204" t="e">
        <f t="shared" ca="1" si="286"/>
        <v>#VALUE!</v>
      </c>
      <c r="AA134" s="204" t="e">
        <f t="shared" ca="1" si="286"/>
        <v>#VALUE!</v>
      </c>
      <c r="AB134" s="204" t="e">
        <f t="shared" ca="1" si="286"/>
        <v>#VALUE!</v>
      </c>
      <c r="AC134" s="204" t="e">
        <f t="shared" ca="1" si="286"/>
        <v>#VALUE!</v>
      </c>
      <c r="AD134" s="204" t="e">
        <f t="shared" ca="1" si="286"/>
        <v>#VALUE!</v>
      </c>
      <c r="AE134" s="213" t="e">
        <f t="shared" ca="1" si="286"/>
        <v>#VALUE!</v>
      </c>
    </row>
    <row r="135" spans="1:32" ht="12.75" hidden="1" customHeight="1" x14ac:dyDescent="0.2">
      <c r="D135" s="566"/>
      <c r="E135" s="201">
        <f ca="1">IF(ISERROR(E134),IF(1+COUNTIF($L$13:OFFSET(L134,-1,0),1)&lt;=MAX(QCI!$D$13:$D$24),1+COUNTIF($L$13:OFFSET(L134,-1,0),1),-1),0)</f>
        <v>-1</v>
      </c>
      <c r="F135" s="201" t="str">
        <f t="shared" ref="F135" ca="1" si="287">IF(AND($E135&lt;&gt;-1,$R134&gt;0),"F","")</f>
        <v/>
      </c>
      <c r="G135" s="214" t="str">
        <f ca="1">IF(OR(R134=0,R134=""),"vazia",IF(AND(OR(ACOMPANHAMENTO="PLE",$Q134&lt;&gt;2),$E135=0),"calculada","--&gt;"))</f>
        <v>vazia</v>
      </c>
      <c r="H135" s="215"/>
      <c r="I135" s="216" t="str">
        <f t="shared" ref="I135" ca="1" si="288">IF(AND(G134&lt;&gt;0,ISNUMBER(G134)),"PREENCHA ESTA LINHA --&gt;","")</f>
        <v/>
      </c>
      <c r="J135" s="216"/>
      <c r="K135" s="216"/>
      <c r="L135" s="217"/>
      <c r="M135" s="217"/>
      <c r="N135" s="217"/>
      <c r="O135" s="217"/>
      <c r="P135" s="217"/>
      <c r="Q135" s="217"/>
      <c r="R135" s="218"/>
      <c r="S135" s="219"/>
      <c r="T135" s="567"/>
      <c r="U135" s="566"/>
      <c r="V135" s="566"/>
      <c r="W135" s="566"/>
      <c r="X135" s="566"/>
      <c r="Y135" s="566"/>
      <c r="Z135" s="566"/>
      <c r="AA135" s="566"/>
      <c r="AB135" s="566"/>
      <c r="AC135" s="566"/>
      <c r="AD135" s="566"/>
      <c r="AE135" s="568"/>
      <c r="AF135" s="530"/>
    </row>
    <row r="136" spans="1:32" ht="0.2" hidden="1" customHeight="1" x14ac:dyDescent="0.2">
      <c r="D136" s="220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$120,"="&amp;CRONO!D$12,CÁLCULO!$AB$15:$AL$120)/(ORÇAMENTO!$X$15-CÁLCULO.TotalAdmLocal)*CRONO!$E136,0),D135*$R134),SUMIF(OFFSET($R136,1,0,$Q134-2),($L134+1)&amp;"$",OFFSET(D136,1,0,$Q134-2)))</f>
        <v>0</v>
      </c>
      <c r="E136" s="201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21"/>
      <c r="R136" s="222" t="str">
        <f t="shared" ref="R136" ca="1" si="289">L134&amp;"$"</f>
        <v>1$</v>
      </c>
      <c r="S136" s="223"/>
      <c r="T136" s="224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$120,"&lt;="&amp;CRONO!T$12,CÁLCULO!$AB$15:$AL$120)/(ORÇAMENTO!$X$15-CÁLCULO.TotalAdmLocal)*CRONO!$E136,0),T135*$R134),SUMIF(OFFSET($R136,1,0,$Q134-2),($L134+1)&amp;"$",OFFSET(T136,1,0,$Q134-2)))</f>
        <v>0</v>
      </c>
      <c r="U136" s="220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$120,"="&amp;CRONO!U$12,CÁLCULO!$AB$15:$AL$120)/(ORÇAMENTO!$X$15-CÁLCULO.TotalAdmLocal)*CRONO!$E136,0),U135*$R134),SUMIF(OFFSET($R136,1,0,$Q134-2),($L134+1)&amp;"$",OFFSET(U136,1,0,$Q134-2)))</f>
        <v>0</v>
      </c>
      <c r="V136" s="220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$120,"="&amp;CRONO!V$12,CÁLCULO!$AB$15:$AL$120)/(ORÇAMENTO!$X$15-CÁLCULO.TotalAdmLocal)*CRONO!$E136,0),V135*$R134),SUMIF(OFFSET($R136,1,0,$Q134-2),($L134+1)&amp;"$",OFFSET(V136,1,0,$Q134-2)))</f>
        <v>0</v>
      </c>
      <c r="W136" s="220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$120,"="&amp;CRONO!W$12,CÁLCULO!$AB$15:$AL$120)/(ORÇAMENTO!$X$15-CÁLCULO.TotalAdmLocal)*CRONO!$E136,0),W135*$R134),SUMIF(OFFSET($R136,1,0,$Q134-2),($L134+1)&amp;"$",OFFSET(W136,1,0,$Q134-2)))</f>
        <v>0</v>
      </c>
      <c r="X136" s="220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$120,"="&amp;CRONO!X$12,CÁLCULO!$AB$15:$AL$120)/(ORÇAMENTO!$X$15-CÁLCULO.TotalAdmLocal)*CRONO!$E136,0),X135*$R134),SUMIF(OFFSET($R136,1,0,$Q134-2),($L134+1)&amp;"$",OFFSET(X136,1,0,$Q134-2)))</f>
        <v>0</v>
      </c>
      <c r="Y136" s="220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$120,"="&amp;CRONO!Y$12,CÁLCULO!$AB$15:$AL$120)/(ORÇAMENTO!$X$15-CÁLCULO.TotalAdmLocal)*CRONO!$E136,0),Y135*$R134),SUMIF(OFFSET($R136,1,0,$Q134-2),($L134+1)&amp;"$",OFFSET(Y136,1,0,$Q134-2)))</f>
        <v>0</v>
      </c>
      <c r="Z136" s="220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$120,"="&amp;CRONO!Z$12,CÁLCULO!$AB$15:$AL$120)/(ORÇAMENTO!$X$15-CÁLCULO.TotalAdmLocal)*CRONO!$E136,0),Z135*$R134),SUMIF(OFFSET($R136,1,0,$Q134-2),($L134+1)&amp;"$",OFFSET(Z136,1,0,$Q134-2)))</f>
        <v>0</v>
      </c>
      <c r="AA136" s="220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$120,"="&amp;CRONO!AA$12,CÁLCULO!$AB$15:$AL$120)/(ORÇAMENTO!$X$15-CÁLCULO.TotalAdmLocal)*CRONO!$E136,0),AA135*$R134),SUMIF(OFFSET($R136,1,0,$Q134-2),($L134+1)&amp;"$",OFFSET(AA136,1,0,$Q134-2)))</f>
        <v>0</v>
      </c>
      <c r="AB136" s="220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$120,"="&amp;CRONO!AB$12,CÁLCULO!$AB$15:$AL$120)/(ORÇAMENTO!$X$15-CÁLCULO.TotalAdmLocal)*CRONO!$E136,0),AB135*$R134),SUMIF(OFFSET($R136,1,0,$Q134-2),($L134+1)&amp;"$",OFFSET(AB136,1,0,$Q134-2)))</f>
        <v>0</v>
      </c>
      <c r="AC136" s="220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$120,"="&amp;CRONO!AC$12,CÁLCULO!$AB$15:$AL$120)/(ORÇAMENTO!$X$15-CÁLCULO.TotalAdmLocal)*CRONO!$E136,0),AC135*$R134),SUMIF(OFFSET($R136,1,0,$Q134-2),($L134+1)&amp;"$",OFFSET(AC136,1,0,$Q134-2)))</f>
        <v>0</v>
      </c>
      <c r="AD136" s="220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$120,"="&amp;CRONO!AD$12,CÁLCULO!$AB$15:$AL$120)/(ORÇAMENTO!$X$15-CÁLCULO.TotalAdmLocal)*CRONO!$E136,0),AD135*$R134),SUMIF(OFFSET($R136,1,0,$Q134-2),($L134+1)&amp;"$",OFFSET(AD136,1,0,$Q134-2)))</f>
        <v>0</v>
      </c>
      <c r="AE136" s="225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$120,"="&amp;CRONO!AE$12,CÁLCULO!$AB$15:$AL$120)/(ORÇAMENTO!$X$15-CÁLCULO.TotalAdmLocal)*CRONO!$E136,0),AE135*$R134),SUMIF(OFFSET($R136,1,0,$Q134-2),($L134+1)&amp;"$",OFFSET(AE136,1,0,$Q134-2)))</f>
        <v>0</v>
      </c>
    </row>
    <row r="137" spans="1:32" hidden="1" x14ac:dyDescent="0.2">
      <c r="A137" s="201">
        <f t="shared" ref="A137" ca="1" si="290">OFFSET(A137,-3,0)+1</f>
        <v>42</v>
      </c>
      <c r="B137" s="201">
        <f ca="1">IF($Q137&lt;&gt;2,0,IF($R137=0,1,IF(E138&gt;0,OFFSET(QCI!$M$13,SUBSTITUTE(E138,".",""),0),OFFSET(ORÇAMENTO!$AA$15,CRONO!$E137,0))/$R137))</f>
        <v>0</v>
      </c>
      <c r="C137" s="201">
        <f ca="1">IF($Q137&lt;&gt;2,0,IF($R137=0,1,IF(E138&gt;0,OFFSET(QCI!$N$13,SUBSTITUTE(E138,".",""),0),OFFSET(ORÇAMENTO!$AB$15,CRONO!$E137,0))/$R137))</f>
        <v>0</v>
      </c>
      <c r="D137" s="204" t="e">
        <f ca="1">IF(AND($Q137=2,ACOMPANHAMENTO="BM"),D138,D139/$R137)</f>
        <v>#VALUE!</v>
      </c>
      <c r="E137" s="201" t="e">
        <f ca="1">IF(A137&lt;=ORÇAMENTO.MáximoListaCrono,MATCH(A137,ORÇAMENTO.ListaCrono,0),NA())</f>
        <v>#N/A</v>
      </c>
      <c r="F137" s="201" t="str">
        <f t="shared" ref="F137" ca="1" si="291">IF(AND($E138&lt;&gt;-1,$R137&gt;0),"F","")</f>
        <v/>
      </c>
      <c r="G137" s="205" t="str">
        <f ca="1">IF(OR(R137=0,R137=""),"Linha",IF(AND(OR(ACOMPANHAMENTO="PLE",$Q137&lt;&gt;2),$E138=0),"Linha",1-SUM(T137:AF137)))</f>
        <v>Linha</v>
      </c>
      <c r="H137" s="206" t="str">
        <f ca="1">IF($E138=0,OFFSET(ORÇAMENTO!O$15,$E137,0),IF($E138&lt;&gt;-1,OFFSET(QCI!$D$13,$E138,0),""))</f>
        <v/>
      </c>
      <c r="I137" s="207" t="str">
        <f ca="1">IF($E138=0,OFFSET(ORÇAMENTO!R$15,$E137,0),IF($E138&lt;&gt;-1,OFFSET(QCI!$G$13,$E138,0),""))</f>
        <v/>
      </c>
      <c r="J137" s="207"/>
      <c r="K137" s="207"/>
      <c r="L137" s="208">
        <f ca="1">IF($E138=0,OFFSET(ORÇAMENTO!C$15,$E137,0),1)</f>
        <v>1</v>
      </c>
      <c r="M137" s="209">
        <f ca="1">IF($E138=-1,0,IF(M$13&lt;=$L137,IF(ISERROR(MATCH(M$13,OFFSET($L137,1,0,ROW($L$164)-ROW($L137)-1),0)),ROW($L$164)-ROW($L137)-1,MATCH(M$13,OFFSET($L137,1,0,ROW($L$164)-ROW($L137)-1),0)-1),0))</f>
        <v>0</v>
      </c>
      <c r="N137" s="209">
        <f ca="1">IF($E138=-1,0,IF(N$13&lt;=$L137,IF(ISERROR(MATCH(N$13,OFFSET($L137,1,0,ROW($L$164)-ROW($L137)-1),0)),ROW($L$164)-ROW($L137)-1,MATCH(N$13,OFFSET($L137,1,0,ROW($L$164)-ROW($L137)-1),0)-1),0))</f>
        <v>0</v>
      </c>
      <c r="O137" s="209">
        <f ca="1">IF($E138=-1,0,IF(O$13&lt;=$L137,IF(ISERROR(MATCH(O$13,OFFSET($L137,1,0,ROW($L$164)-ROW($L137)-1),0)),ROW($L$164)-ROW($L137)-1,MATCH(O$13,OFFSET($L137,1,0,ROW($L$164)-ROW($L137)-1),0)-1),0))</f>
        <v>0</v>
      </c>
      <c r="P137" s="209">
        <f ca="1">IF($E138=-1,0,IF(P$13&lt;=$L137,IF(ISERROR(MATCH(P$13,OFFSET($L137,1,0,ROW($L$164)-ROW($L137)-1),0)),ROW($L$164)-ROW($L137)-1,MATCH(P$13,OFFSET($L137,1,0,ROW($L$164)-ROW($L137)-1),0)-1),0))</f>
        <v>0</v>
      </c>
      <c r="Q137" s="209">
        <f t="shared" ref="Q137" ca="1" si="292">MIN(OFFSET(L137,0,1,,L137))</f>
        <v>0</v>
      </c>
      <c r="R137" s="210" t="str">
        <f ca="1">IF($E138=0,OFFSET(ORÇAMENTO!X$15,$E137,0),IF($E138&lt;&gt;-1,OFFSET(QCI!$O$13,$E138,0),""))</f>
        <v/>
      </c>
      <c r="S137" s="211" t="s">
        <v>270</v>
      </c>
      <c r="T137" s="212" t="e">
        <f t="shared" ref="T137:AE137" ca="1" si="293">IF(AND($Q137=2,ACOMPANHAMENTO="BM"),T138,T139/$R137)</f>
        <v>#VALUE!</v>
      </c>
      <c r="U137" s="204" t="e">
        <f t="shared" ca="1" si="293"/>
        <v>#VALUE!</v>
      </c>
      <c r="V137" s="204" t="e">
        <f t="shared" ca="1" si="293"/>
        <v>#VALUE!</v>
      </c>
      <c r="W137" s="204" t="e">
        <f t="shared" ca="1" si="293"/>
        <v>#VALUE!</v>
      </c>
      <c r="X137" s="204" t="e">
        <f t="shared" ca="1" si="293"/>
        <v>#VALUE!</v>
      </c>
      <c r="Y137" s="204" t="e">
        <f t="shared" ca="1" si="293"/>
        <v>#VALUE!</v>
      </c>
      <c r="Z137" s="204" t="e">
        <f t="shared" ca="1" si="293"/>
        <v>#VALUE!</v>
      </c>
      <c r="AA137" s="204" t="e">
        <f t="shared" ca="1" si="293"/>
        <v>#VALUE!</v>
      </c>
      <c r="AB137" s="204" t="e">
        <f t="shared" ca="1" si="293"/>
        <v>#VALUE!</v>
      </c>
      <c r="AC137" s="204" t="e">
        <f t="shared" ca="1" si="293"/>
        <v>#VALUE!</v>
      </c>
      <c r="AD137" s="204" t="e">
        <f t="shared" ca="1" si="293"/>
        <v>#VALUE!</v>
      </c>
      <c r="AE137" s="213" t="e">
        <f t="shared" ca="1" si="293"/>
        <v>#VALUE!</v>
      </c>
    </row>
    <row r="138" spans="1:32" ht="12.75" hidden="1" customHeight="1" x14ac:dyDescent="0.2">
      <c r="D138" s="566"/>
      <c r="E138" s="201">
        <f ca="1">IF(ISERROR(E137),IF(1+COUNTIF($L$13:OFFSET(L137,-1,0),1)&lt;=MAX(QCI!$D$13:$D$24),1+COUNTIF($L$13:OFFSET(L137,-1,0),1),-1),0)</f>
        <v>-1</v>
      </c>
      <c r="F138" s="201" t="str">
        <f t="shared" ref="F138" ca="1" si="294">IF(AND($E138&lt;&gt;-1,$R137&gt;0),"F","")</f>
        <v/>
      </c>
      <c r="G138" s="214" t="str">
        <f ca="1">IF(OR(R137=0,R137=""),"vazia",IF(AND(OR(ACOMPANHAMENTO="PLE",$Q137&lt;&gt;2),$E138=0),"calculada","--&gt;"))</f>
        <v>vazia</v>
      </c>
      <c r="H138" s="215"/>
      <c r="I138" s="216" t="str">
        <f t="shared" ref="I138" ca="1" si="295">IF(AND(G137&lt;&gt;0,ISNUMBER(G137)),"PREENCHA ESTA LINHA --&gt;","")</f>
        <v/>
      </c>
      <c r="J138" s="216"/>
      <c r="K138" s="216"/>
      <c r="L138" s="217"/>
      <c r="M138" s="217"/>
      <c r="N138" s="217"/>
      <c r="O138" s="217"/>
      <c r="P138" s="217"/>
      <c r="Q138" s="217"/>
      <c r="R138" s="218"/>
      <c r="S138" s="219"/>
      <c r="T138" s="567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8"/>
      <c r="AF138" s="530"/>
    </row>
    <row r="139" spans="1:32" ht="0.2" hidden="1" customHeight="1" x14ac:dyDescent="0.2">
      <c r="D139" s="220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$120,"="&amp;CRONO!D$12,CÁLCULO!$AB$15:$AL$120)/(ORÇAMENTO!$X$15-CÁLCULO.TotalAdmLocal)*CRONO!$E139,0),D138*$R137),SUMIF(OFFSET($R139,1,0,$Q137-2),($L137+1)&amp;"$",OFFSET(D139,1,0,$Q137-2)))</f>
        <v>0</v>
      </c>
      <c r="E139" s="201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21"/>
      <c r="R139" s="222" t="str">
        <f t="shared" ref="R139" ca="1" si="296">L137&amp;"$"</f>
        <v>1$</v>
      </c>
      <c r="S139" s="223"/>
      <c r="T139" s="224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$120,"&lt;="&amp;CRONO!T$12,CÁLCULO!$AB$15:$AL$120)/(ORÇAMENTO!$X$15-CÁLCULO.TotalAdmLocal)*CRONO!$E139,0),T138*$R137),SUMIF(OFFSET($R139,1,0,$Q137-2),($L137+1)&amp;"$",OFFSET(T139,1,0,$Q137-2)))</f>
        <v>0</v>
      </c>
      <c r="U139" s="220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$120,"="&amp;CRONO!U$12,CÁLCULO!$AB$15:$AL$120)/(ORÇAMENTO!$X$15-CÁLCULO.TotalAdmLocal)*CRONO!$E139,0),U138*$R137),SUMIF(OFFSET($R139,1,0,$Q137-2),($L137+1)&amp;"$",OFFSET(U139,1,0,$Q137-2)))</f>
        <v>0</v>
      </c>
      <c r="V139" s="220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$120,"="&amp;CRONO!V$12,CÁLCULO!$AB$15:$AL$120)/(ORÇAMENTO!$X$15-CÁLCULO.TotalAdmLocal)*CRONO!$E139,0),V138*$R137),SUMIF(OFFSET($R139,1,0,$Q137-2),($L137+1)&amp;"$",OFFSET(V139,1,0,$Q137-2)))</f>
        <v>0</v>
      </c>
      <c r="W139" s="220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$120,"="&amp;CRONO!W$12,CÁLCULO!$AB$15:$AL$120)/(ORÇAMENTO!$X$15-CÁLCULO.TotalAdmLocal)*CRONO!$E139,0),W138*$R137),SUMIF(OFFSET($R139,1,0,$Q137-2),($L137+1)&amp;"$",OFFSET(W139,1,0,$Q137-2)))</f>
        <v>0</v>
      </c>
      <c r="X139" s="220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$120,"="&amp;CRONO!X$12,CÁLCULO!$AB$15:$AL$120)/(ORÇAMENTO!$X$15-CÁLCULO.TotalAdmLocal)*CRONO!$E139,0),X138*$R137),SUMIF(OFFSET($R139,1,0,$Q137-2),($L137+1)&amp;"$",OFFSET(X139,1,0,$Q137-2)))</f>
        <v>0</v>
      </c>
      <c r="Y139" s="220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$120,"="&amp;CRONO!Y$12,CÁLCULO!$AB$15:$AL$120)/(ORÇAMENTO!$X$15-CÁLCULO.TotalAdmLocal)*CRONO!$E139,0),Y138*$R137),SUMIF(OFFSET($R139,1,0,$Q137-2),($L137+1)&amp;"$",OFFSET(Y139,1,0,$Q137-2)))</f>
        <v>0</v>
      </c>
      <c r="Z139" s="220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$120,"="&amp;CRONO!Z$12,CÁLCULO!$AB$15:$AL$120)/(ORÇAMENTO!$X$15-CÁLCULO.TotalAdmLocal)*CRONO!$E139,0),Z138*$R137),SUMIF(OFFSET($R139,1,0,$Q137-2),($L137+1)&amp;"$",OFFSET(Z139,1,0,$Q137-2)))</f>
        <v>0</v>
      </c>
      <c r="AA139" s="220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$120,"="&amp;CRONO!AA$12,CÁLCULO!$AB$15:$AL$120)/(ORÇAMENTO!$X$15-CÁLCULO.TotalAdmLocal)*CRONO!$E139,0),AA138*$R137),SUMIF(OFFSET($R139,1,0,$Q137-2),($L137+1)&amp;"$",OFFSET(AA139,1,0,$Q137-2)))</f>
        <v>0</v>
      </c>
      <c r="AB139" s="220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$120,"="&amp;CRONO!AB$12,CÁLCULO!$AB$15:$AL$120)/(ORÇAMENTO!$X$15-CÁLCULO.TotalAdmLocal)*CRONO!$E139,0),AB138*$R137),SUMIF(OFFSET($R139,1,0,$Q137-2),($L137+1)&amp;"$",OFFSET(AB139,1,0,$Q137-2)))</f>
        <v>0</v>
      </c>
      <c r="AC139" s="220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$120,"="&amp;CRONO!AC$12,CÁLCULO!$AB$15:$AL$120)/(ORÇAMENTO!$X$15-CÁLCULO.TotalAdmLocal)*CRONO!$E139,0),AC138*$R137),SUMIF(OFFSET($R139,1,0,$Q137-2),($L137+1)&amp;"$",OFFSET(AC139,1,0,$Q137-2)))</f>
        <v>0</v>
      </c>
      <c r="AD139" s="220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$120,"="&amp;CRONO!AD$12,CÁLCULO!$AB$15:$AL$120)/(ORÇAMENTO!$X$15-CÁLCULO.TotalAdmLocal)*CRONO!$E139,0),AD138*$R137),SUMIF(OFFSET($R139,1,0,$Q137-2),($L137+1)&amp;"$",OFFSET(AD139,1,0,$Q137-2)))</f>
        <v>0</v>
      </c>
      <c r="AE139" s="225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$120,"="&amp;CRONO!AE$12,CÁLCULO!$AB$15:$AL$120)/(ORÇAMENTO!$X$15-CÁLCULO.TotalAdmLocal)*CRONO!$E139,0),AE138*$R137),SUMIF(OFFSET($R139,1,0,$Q137-2),($L137+1)&amp;"$",OFFSET(AE139,1,0,$Q137-2)))</f>
        <v>0</v>
      </c>
    </row>
    <row r="140" spans="1:32" hidden="1" x14ac:dyDescent="0.2">
      <c r="A140" s="201">
        <f t="shared" ref="A140" ca="1" si="297">OFFSET(A140,-3,0)+1</f>
        <v>43</v>
      </c>
      <c r="B140" s="201">
        <f ca="1">IF($Q140&lt;&gt;2,0,IF($R140=0,1,IF(E141&gt;0,OFFSET(QCI!$M$13,SUBSTITUTE(E141,".",""),0),OFFSET(ORÇAMENTO!$AA$15,CRONO!$E140,0))/$R140))</f>
        <v>0</v>
      </c>
      <c r="C140" s="201">
        <f ca="1">IF($Q140&lt;&gt;2,0,IF($R140=0,1,IF(E141&gt;0,OFFSET(QCI!$N$13,SUBSTITUTE(E141,".",""),0),OFFSET(ORÇAMENTO!$AB$15,CRONO!$E140,0))/$R140))</f>
        <v>0</v>
      </c>
      <c r="D140" s="204" t="e">
        <f ca="1">IF(AND($Q140=2,ACOMPANHAMENTO="BM"),D141,D142/$R140)</f>
        <v>#VALUE!</v>
      </c>
      <c r="E140" s="201" t="e">
        <f ca="1">IF(A140&lt;=ORÇAMENTO.MáximoListaCrono,MATCH(A140,ORÇAMENTO.ListaCrono,0),NA())</f>
        <v>#N/A</v>
      </c>
      <c r="F140" s="201" t="str">
        <f t="shared" ref="F140" ca="1" si="298">IF(AND($E141&lt;&gt;-1,$R140&gt;0),"F","")</f>
        <v/>
      </c>
      <c r="G140" s="205" t="str">
        <f ca="1">IF(OR(R140=0,R140=""),"Linha",IF(AND(OR(ACOMPANHAMENTO="PLE",$Q140&lt;&gt;2),$E141=0),"Linha",1-SUM(T140:AF140)))</f>
        <v>Linha</v>
      </c>
      <c r="H140" s="206" t="str">
        <f ca="1">IF($E141=0,OFFSET(ORÇAMENTO!O$15,$E140,0),IF($E141&lt;&gt;-1,OFFSET(QCI!$D$13,$E141,0),""))</f>
        <v/>
      </c>
      <c r="I140" s="207" t="str">
        <f ca="1">IF($E141=0,OFFSET(ORÇAMENTO!R$15,$E140,0),IF($E141&lt;&gt;-1,OFFSET(QCI!$G$13,$E141,0),""))</f>
        <v/>
      </c>
      <c r="J140" s="207"/>
      <c r="K140" s="207"/>
      <c r="L140" s="208">
        <f ca="1">IF($E141=0,OFFSET(ORÇAMENTO!C$15,$E140,0),1)</f>
        <v>1</v>
      </c>
      <c r="M140" s="209">
        <f ca="1">IF($E141=-1,0,IF(M$13&lt;=$L140,IF(ISERROR(MATCH(M$13,OFFSET($L140,1,0,ROW($L$164)-ROW($L140)-1),0)),ROW($L$164)-ROW($L140)-1,MATCH(M$13,OFFSET($L140,1,0,ROW($L$164)-ROW($L140)-1),0)-1),0))</f>
        <v>0</v>
      </c>
      <c r="N140" s="209">
        <f ca="1">IF($E141=-1,0,IF(N$13&lt;=$L140,IF(ISERROR(MATCH(N$13,OFFSET($L140,1,0,ROW($L$164)-ROW($L140)-1),0)),ROW($L$164)-ROW($L140)-1,MATCH(N$13,OFFSET($L140,1,0,ROW($L$164)-ROW($L140)-1),0)-1),0))</f>
        <v>0</v>
      </c>
      <c r="O140" s="209">
        <f ca="1">IF($E141=-1,0,IF(O$13&lt;=$L140,IF(ISERROR(MATCH(O$13,OFFSET($L140,1,0,ROW($L$164)-ROW($L140)-1),0)),ROW($L$164)-ROW($L140)-1,MATCH(O$13,OFFSET($L140,1,0,ROW($L$164)-ROW($L140)-1),0)-1),0))</f>
        <v>0</v>
      </c>
      <c r="P140" s="209">
        <f ca="1">IF($E141=-1,0,IF(P$13&lt;=$L140,IF(ISERROR(MATCH(P$13,OFFSET($L140,1,0,ROW($L$164)-ROW($L140)-1),0)),ROW($L$164)-ROW($L140)-1,MATCH(P$13,OFFSET($L140,1,0,ROW($L$164)-ROW($L140)-1),0)-1),0))</f>
        <v>0</v>
      </c>
      <c r="Q140" s="209">
        <f t="shared" ref="Q140" ca="1" si="299">MIN(OFFSET(L140,0,1,,L140))</f>
        <v>0</v>
      </c>
      <c r="R140" s="210" t="str">
        <f ca="1">IF($E141=0,OFFSET(ORÇAMENTO!X$15,$E140,0),IF($E141&lt;&gt;-1,OFFSET(QCI!$O$13,$E141,0),""))</f>
        <v/>
      </c>
      <c r="S140" s="211" t="s">
        <v>270</v>
      </c>
      <c r="T140" s="212" t="e">
        <f t="shared" ref="T140:AE140" ca="1" si="300">IF(AND($Q140=2,ACOMPANHAMENTO="BM"),T141,T142/$R140)</f>
        <v>#VALUE!</v>
      </c>
      <c r="U140" s="204" t="e">
        <f t="shared" ca="1" si="300"/>
        <v>#VALUE!</v>
      </c>
      <c r="V140" s="204" t="e">
        <f t="shared" ca="1" si="300"/>
        <v>#VALUE!</v>
      </c>
      <c r="W140" s="204" t="e">
        <f t="shared" ca="1" si="300"/>
        <v>#VALUE!</v>
      </c>
      <c r="X140" s="204" t="e">
        <f t="shared" ca="1" si="300"/>
        <v>#VALUE!</v>
      </c>
      <c r="Y140" s="204" t="e">
        <f t="shared" ca="1" si="300"/>
        <v>#VALUE!</v>
      </c>
      <c r="Z140" s="204" t="e">
        <f t="shared" ca="1" si="300"/>
        <v>#VALUE!</v>
      </c>
      <c r="AA140" s="204" t="e">
        <f t="shared" ca="1" si="300"/>
        <v>#VALUE!</v>
      </c>
      <c r="AB140" s="204" t="e">
        <f t="shared" ca="1" si="300"/>
        <v>#VALUE!</v>
      </c>
      <c r="AC140" s="204" t="e">
        <f t="shared" ca="1" si="300"/>
        <v>#VALUE!</v>
      </c>
      <c r="AD140" s="204" t="e">
        <f t="shared" ca="1" si="300"/>
        <v>#VALUE!</v>
      </c>
      <c r="AE140" s="213" t="e">
        <f t="shared" ca="1" si="300"/>
        <v>#VALUE!</v>
      </c>
    </row>
    <row r="141" spans="1:32" ht="12.75" hidden="1" customHeight="1" x14ac:dyDescent="0.2">
      <c r="D141" s="566"/>
      <c r="E141" s="201">
        <f ca="1">IF(ISERROR(E140),IF(1+COUNTIF($L$13:OFFSET(L140,-1,0),1)&lt;=MAX(QCI!$D$13:$D$24),1+COUNTIF($L$13:OFFSET(L140,-1,0),1),-1),0)</f>
        <v>-1</v>
      </c>
      <c r="F141" s="201" t="str">
        <f t="shared" ref="F141" ca="1" si="301">IF(AND($E141&lt;&gt;-1,$R140&gt;0),"F","")</f>
        <v/>
      </c>
      <c r="G141" s="214" t="str">
        <f ca="1">IF(OR(R140=0,R140=""),"vazia",IF(AND(OR(ACOMPANHAMENTO="PLE",$Q140&lt;&gt;2),$E141=0),"calculada","--&gt;"))</f>
        <v>vazia</v>
      </c>
      <c r="H141" s="215"/>
      <c r="I141" s="216" t="str">
        <f t="shared" ref="I141" ca="1" si="302">IF(AND(G140&lt;&gt;0,ISNUMBER(G140)),"PREENCHA ESTA LINHA --&gt;","")</f>
        <v/>
      </c>
      <c r="J141" s="216"/>
      <c r="K141" s="216"/>
      <c r="L141" s="217"/>
      <c r="M141" s="217"/>
      <c r="N141" s="217"/>
      <c r="O141" s="217"/>
      <c r="P141" s="217"/>
      <c r="Q141" s="217"/>
      <c r="R141" s="218"/>
      <c r="S141" s="219"/>
      <c r="T141" s="567"/>
      <c r="U141" s="566"/>
      <c r="V141" s="566"/>
      <c r="W141" s="566"/>
      <c r="X141" s="566"/>
      <c r="Y141" s="566"/>
      <c r="Z141" s="566"/>
      <c r="AA141" s="566"/>
      <c r="AB141" s="566"/>
      <c r="AC141" s="566"/>
      <c r="AD141" s="566"/>
      <c r="AE141" s="568"/>
      <c r="AF141" s="530"/>
    </row>
    <row r="142" spans="1:32" ht="0.2" hidden="1" customHeight="1" x14ac:dyDescent="0.2">
      <c r="D142" s="220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$120,"="&amp;CRONO!D$12,CÁLCULO!$AB$15:$AL$120)/(ORÇAMENTO!$X$15-CÁLCULO.TotalAdmLocal)*CRONO!$E142,0),D141*$R140),SUMIF(OFFSET($R142,1,0,$Q140-2),($L140+1)&amp;"$",OFFSET(D142,1,0,$Q140-2)))</f>
        <v>0</v>
      </c>
      <c r="E142" s="201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21"/>
      <c r="R142" s="222" t="str">
        <f t="shared" ref="R142" ca="1" si="303">L140&amp;"$"</f>
        <v>1$</v>
      </c>
      <c r="S142" s="223"/>
      <c r="T142" s="224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$120,"&lt;="&amp;CRONO!T$12,CÁLCULO!$AB$15:$AL$120)/(ORÇAMENTO!$X$15-CÁLCULO.TotalAdmLocal)*CRONO!$E142,0),T141*$R140),SUMIF(OFFSET($R142,1,0,$Q140-2),($L140+1)&amp;"$",OFFSET(T142,1,0,$Q140-2)))</f>
        <v>0</v>
      </c>
      <c r="U142" s="220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$120,"="&amp;CRONO!U$12,CÁLCULO!$AB$15:$AL$120)/(ORÇAMENTO!$X$15-CÁLCULO.TotalAdmLocal)*CRONO!$E142,0),U141*$R140),SUMIF(OFFSET($R142,1,0,$Q140-2),($L140+1)&amp;"$",OFFSET(U142,1,0,$Q140-2)))</f>
        <v>0</v>
      </c>
      <c r="V142" s="220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$120,"="&amp;CRONO!V$12,CÁLCULO!$AB$15:$AL$120)/(ORÇAMENTO!$X$15-CÁLCULO.TotalAdmLocal)*CRONO!$E142,0),V141*$R140),SUMIF(OFFSET($R142,1,0,$Q140-2),($L140+1)&amp;"$",OFFSET(V142,1,0,$Q140-2)))</f>
        <v>0</v>
      </c>
      <c r="W142" s="220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$120,"="&amp;CRONO!W$12,CÁLCULO!$AB$15:$AL$120)/(ORÇAMENTO!$X$15-CÁLCULO.TotalAdmLocal)*CRONO!$E142,0),W141*$R140),SUMIF(OFFSET($R142,1,0,$Q140-2),($L140+1)&amp;"$",OFFSET(W142,1,0,$Q140-2)))</f>
        <v>0</v>
      </c>
      <c r="X142" s="220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$120,"="&amp;CRONO!X$12,CÁLCULO!$AB$15:$AL$120)/(ORÇAMENTO!$X$15-CÁLCULO.TotalAdmLocal)*CRONO!$E142,0),X141*$R140),SUMIF(OFFSET($R142,1,0,$Q140-2),($L140+1)&amp;"$",OFFSET(X142,1,0,$Q140-2)))</f>
        <v>0</v>
      </c>
      <c r="Y142" s="220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$120,"="&amp;CRONO!Y$12,CÁLCULO!$AB$15:$AL$120)/(ORÇAMENTO!$X$15-CÁLCULO.TotalAdmLocal)*CRONO!$E142,0),Y141*$R140),SUMIF(OFFSET($R142,1,0,$Q140-2),($L140+1)&amp;"$",OFFSET(Y142,1,0,$Q140-2)))</f>
        <v>0</v>
      </c>
      <c r="Z142" s="220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$120,"="&amp;CRONO!Z$12,CÁLCULO!$AB$15:$AL$120)/(ORÇAMENTO!$X$15-CÁLCULO.TotalAdmLocal)*CRONO!$E142,0),Z141*$R140),SUMIF(OFFSET($R142,1,0,$Q140-2),($L140+1)&amp;"$",OFFSET(Z142,1,0,$Q140-2)))</f>
        <v>0</v>
      </c>
      <c r="AA142" s="220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$120,"="&amp;CRONO!AA$12,CÁLCULO!$AB$15:$AL$120)/(ORÇAMENTO!$X$15-CÁLCULO.TotalAdmLocal)*CRONO!$E142,0),AA141*$R140),SUMIF(OFFSET($R142,1,0,$Q140-2),($L140+1)&amp;"$",OFFSET(AA142,1,0,$Q140-2)))</f>
        <v>0</v>
      </c>
      <c r="AB142" s="220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$120,"="&amp;CRONO!AB$12,CÁLCULO!$AB$15:$AL$120)/(ORÇAMENTO!$X$15-CÁLCULO.TotalAdmLocal)*CRONO!$E142,0),AB141*$R140),SUMIF(OFFSET($R142,1,0,$Q140-2),($L140+1)&amp;"$",OFFSET(AB142,1,0,$Q140-2)))</f>
        <v>0</v>
      </c>
      <c r="AC142" s="220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$120,"="&amp;CRONO!AC$12,CÁLCULO!$AB$15:$AL$120)/(ORÇAMENTO!$X$15-CÁLCULO.TotalAdmLocal)*CRONO!$E142,0),AC141*$R140),SUMIF(OFFSET($R142,1,0,$Q140-2),($L140+1)&amp;"$",OFFSET(AC142,1,0,$Q140-2)))</f>
        <v>0</v>
      </c>
      <c r="AD142" s="220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$120,"="&amp;CRONO!AD$12,CÁLCULO!$AB$15:$AL$120)/(ORÇAMENTO!$X$15-CÁLCULO.TotalAdmLocal)*CRONO!$E142,0),AD141*$R140),SUMIF(OFFSET($R142,1,0,$Q140-2),($L140+1)&amp;"$",OFFSET(AD142,1,0,$Q140-2)))</f>
        <v>0</v>
      </c>
      <c r="AE142" s="225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$120,"="&amp;CRONO!AE$12,CÁLCULO!$AB$15:$AL$120)/(ORÇAMENTO!$X$15-CÁLCULO.TotalAdmLocal)*CRONO!$E142,0),AE141*$R140),SUMIF(OFFSET($R142,1,0,$Q140-2),($L140+1)&amp;"$",OFFSET(AE142,1,0,$Q140-2)))</f>
        <v>0</v>
      </c>
    </row>
    <row r="143" spans="1:32" hidden="1" x14ac:dyDescent="0.2">
      <c r="A143" s="201">
        <f t="shared" ref="A143" ca="1" si="304">OFFSET(A143,-3,0)+1</f>
        <v>44</v>
      </c>
      <c r="B143" s="201">
        <f ca="1">IF($Q143&lt;&gt;2,0,IF($R143=0,1,IF(E144&gt;0,OFFSET(QCI!$M$13,SUBSTITUTE(E144,".",""),0),OFFSET(ORÇAMENTO!$AA$15,CRONO!$E143,0))/$R143))</f>
        <v>0</v>
      </c>
      <c r="C143" s="201">
        <f ca="1">IF($Q143&lt;&gt;2,0,IF($R143=0,1,IF(E144&gt;0,OFFSET(QCI!$N$13,SUBSTITUTE(E144,".",""),0),OFFSET(ORÇAMENTO!$AB$15,CRONO!$E143,0))/$R143))</f>
        <v>0</v>
      </c>
      <c r="D143" s="204" t="e">
        <f ca="1">IF(AND($Q143=2,ACOMPANHAMENTO="BM"),D144,D145/$R143)</f>
        <v>#VALUE!</v>
      </c>
      <c r="E143" s="201" t="e">
        <f ca="1">IF(A143&lt;=ORÇAMENTO.MáximoListaCrono,MATCH(A143,ORÇAMENTO.ListaCrono,0),NA())</f>
        <v>#N/A</v>
      </c>
      <c r="F143" s="201" t="str">
        <f t="shared" ref="F143" ca="1" si="305">IF(AND($E144&lt;&gt;-1,$R143&gt;0),"F","")</f>
        <v/>
      </c>
      <c r="G143" s="205" t="str">
        <f ca="1">IF(OR(R143=0,R143=""),"Linha",IF(AND(OR(ACOMPANHAMENTO="PLE",$Q143&lt;&gt;2),$E144=0),"Linha",1-SUM(T143:AF143)))</f>
        <v>Linha</v>
      </c>
      <c r="H143" s="206" t="str">
        <f ca="1">IF($E144=0,OFFSET(ORÇAMENTO!O$15,$E143,0),IF($E144&lt;&gt;-1,OFFSET(QCI!$D$13,$E144,0),""))</f>
        <v/>
      </c>
      <c r="I143" s="207" t="str">
        <f ca="1">IF($E144=0,OFFSET(ORÇAMENTO!R$15,$E143,0),IF($E144&lt;&gt;-1,OFFSET(QCI!$G$13,$E144,0),""))</f>
        <v/>
      </c>
      <c r="J143" s="207"/>
      <c r="K143" s="207"/>
      <c r="L143" s="208">
        <f ca="1">IF($E144=0,OFFSET(ORÇAMENTO!C$15,$E143,0),1)</f>
        <v>1</v>
      </c>
      <c r="M143" s="209">
        <f ca="1">IF($E144=-1,0,IF(M$13&lt;=$L143,IF(ISERROR(MATCH(M$13,OFFSET($L143,1,0,ROW($L$164)-ROW($L143)-1),0)),ROW($L$164)-ROW($L143)-1,MATCH(M$13,OFFSET($L143,1,0,ROW($L$164)-ROW($L143)-1),0)-1),0))</f>
        <v>0</v>
      </c>
      <c r="N143" s="209">
        <f ca="1">IF($E144=-1,0,IF(N$13&lt;=$L143,IF(ISERROR(MATCH(N$13,OFFSET($L143,1,0,ROW($L$164)-ROW($L143)-1),0)),ROW($L$164)-ROW($L143)-1,MATCH(N$13,OFFSET($L143,1,0,ROW($L$164)-ROW($L143)-1),0)-1),0))</f>
        <v>0</v>
      </c>
      <c r="O143" s="209">
        <f ca="1">IF($E144=-1,0,IF(O$13&lt;=$L143,IF(ISERROR(MATCH(O$13,OFFSET($L143,1,0,ROW($L$164)-ROW($L143)-1),0)),ROW($L$164)-ROW($L143)-1,MATCH(O$13,OFFSET($L143,1,0,ROW($L$164)-ROW($L143)-1),0)-1),0))</f>
        <v>0</v>
      </c>
      <c r="P143" s="209">
        <f ca="1">IF($E144=-1,0,IF(P$13&lt;=$L143,IF(ISERROR(MATCH(P$13,OFFSET($L143,1,0,ROW($L$164)-ROW($L143)-1),0)),ROW($L$164)-ROW($L143)-1,MATCH(P$13,OFFSET($L143,1,0,ROW($L$164)-ROW($L143)-1),0)-1),0))</f>
        <v>0</v>
      </c>
      <c r="Q143" s="209">
        <f t="shared" ref="Q143" ca="1" si="306">MIN(OFFSET(L143,0,1,,L143))</f>
        <v>0</v>
      </c>
      <c r="R143" s="210" t="str">
        <f ca="1">IF($E144=0,OFFSET(ORÇAMENTO!X$15,$E143,0),IF($E144&lt;&gt;-1,OFFSET(QCI!$O$13,$E144,0),""))</f>
        <v/>
      </c>
      <c r="S143" s="211" t="s">
        <v>270</v>
      </c>
      <c r="T143" s="212" t="e">
        <f t="shared" ref="T143:AE143" ca="1" si="307">IF(AND($Q143=2,ACOMPANHAMENTO="BM"),T144,T145/$R143)</f>
        <v>#VALUE!</v>
      </c>
      <c r="U143" s="204" t="e">
        <f t="shared" ca="1" si="307"/>
        <v>#VALUE!</v>
      </c>
      <c r="V143" s="204" t="e">
        <f t="shared" ca="1" si="307"/>
        <v>#VALUE!</v>
      </c>
      <c r="W143" s="204" t="e">
        <f t="shared" ca="1" si="307"/>
        <v>#VALUE!</v>
      </c>
      <c r="X143" s="204" t="e">
        <f t="shared" ca="1" si="307"/>
        <v>#VALUE!</v>
      </c>
      <c r="Y143" s="204" t="e">
        <f t="shared" ca="1" si="307"/>
        <v>#VALUE!</v>
      </c>
      <c r="Z143" s="204" t="e">
        <f t="shared" ca="1" si="307"/>
        <v>#VALUE!</v>
      </c>
      <c r="AA143" s="204" t="e">
        <f t="shared" ca="1" si="307"/>
        <v>#VALUE!</v>
      </c>
      <c r="AB143" s="204" t="e">
        <f t="shared" ca="1" si="307"/>
        <v>#VALUE!</v>
      </c>
      <c r="AC143" s="204" t="e">
        <f t="shared" ca="1" si="307"/>
        <v>#VALUE!</v>
      </c>
      <c r="AD143" s="204" t="e">
        <f t="shared" ca="1" si="307"/>
        <v>#VALUE!</v>
      </c>
      <c r="AE143" s="213" t="e">
        <f t="shared" ca="1" si="307"/>
        <v>#VALUE!</v>
      </c>
    </row>
    <row r="144" spans="1:32" ht="12.75" hidden="1" customHeight="1" x14ac:dyDescent="0.2">
      <c r="D144" s="566"/>
      <c r="E144" s="201">
        <f ca="1">IF(ISERROR(E143),IF(1+COUNTIF($L$13:OFFSET(L143,-1,0),1)&lt;=MAX(QCI!$D$13:$D$24),1+COUNTIF($L$13:OFFSET(L143,-1,0),1),-1),0)</f>
        <v>-1</v>
      </c>
      <c r="F144" s="201" t="str">
        <f t="shared" ref="F144" ca="1" si="308">IF(AND($E144&lt;&gt;-1,$R143&gt;0),"F","")</f>
        <v/>
      </c>
      <c r="G144" s="214" t="str">
        <f ca="1">IF(OR(R143=0,R143=""),"vazia",IF(AND(OR(ACOMPANHAMENTO="PLE",$Q143&lt;&gt;2),$E144=0),"calculada","--&gt;"))</f>
        <v>vazia</v>
      </c>
      <c r="H144" s="215"/>
      <c r="I144" s="216" t="str">
        <f t="shared" ref="I144" ca="1" si="309">IF(AND(G143&lt;&gt;0,ISNUMBER(G143)),"PREENCHA ESTA LINHA --&gt;","")</f>
        <v/>
      </c>
      <c r="J144" s="216"/>
      <c r="K144" s="216"/>
      <c r="L144" s="217"/>
      <c r="M144" s="217"/>
      <c r="N144" s="217"/>
      <c r="O144" s="217"/>
      <c r="P144" s="217"/>
      <c r="Q144" s="217"/>
      <c r="R144" s="218"/>
      <c r="S144" s="219"/>
      <c r="T144" s="567"/>
      <c r="U144" s="566"/>
      <c r="V144" s="566"/>
      <c r="W144" s="566"/>
      <c r="X144" s="566"/>
      <c r="Y144" s="566"/>
      <c r="Z144" s="566"/>
      <c r="AA144" s="566"/>
      <c r="AB144" s="566"/>
      <c r="AC144" s="566"/>
      <c r="AD144" s="566"/>
      <c r="AE144" s="568"/>
      <c r="AF144" s="530"/>
    </row>
    <row r="145" spans="1:32" ht="0.2" hidden="1" customHeight="1" x14ac:dyDescent="0.2">
      <c r="D145" s="220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$120,"="&amp;CRONO!D$12,CÁLCULO!$AB$15:$AL$120)/(ORÇAMENTO!$X$15-CÁLCULO.TotalAdmLocal)*CRONO!$E145,0),D144*$R143),SUMIF(OFFSET($R145,1,0,$Q143-2),($L143+1)&amp;"$",OFFSET(D145,1,0,$Q143-2)))</f>
        <v>0</v>
      </c>
      <c r="E145" s="201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21"/>
      <c r="R145" s="222" t="str">
        <f t="shared" ref="R145" ca="1" si="310">L143&amp;"$"</f>
        <v>1$</v>
      </c>
      <c r="S145" s="223"/>
      <c r="T145" s="224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$120,"&lt;="&amp;CRONO!T$12,CÁLCULO!$AB$15:$AL$120)/(ORÇAMENTO!$X$15-CÁLCULO.TotalAdmLocal)*CRONO!$E145,0),T144*$R143),SUMIF(OFFSET($R145,1,0,$Q143-2),($L143+1)&amp;"$",OFFSET(T145,1,0,$Q143-2)))</f>
        <v>0</v>
      </c>
      <c r="U145" s="220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$120,"="&amp;CRONO!U$12,CÁLCULO!$AB$15:$AL$120)/(ORÇAMENTO!$X$15-CÁLCULO.TotalAdmLocal)*CRONO!$E145,0),U144*$R143),SUMIF(OFFSET($R145,1,0,$Q143-2),($L143+1)&amp;"$",OFFSET(U145,1,0,$Q143-2)))</f>
        <v>0</v>
      </c>
      <c r="V145" s="220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$120,"="&amp;CRONO!V$12,CÁLCULO!$AB$15:$AL$120)/(ORÇAMENTO!$X$15-CÁLCULO.TotalAdmLocal)*CRONO!$E145,0),V144*$R143),SUMIF(OFFSET($R145,1,0,$Q143-2),($L143+1)&amp;"$",OFFSET(V145,1,0,$Q143-2)))</f>
        <v>0</v>
      </c>
      <c r="W145" s="220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$120,"="&amp;CRONO!W$12,CÁLCULO!$AB$15:$AL$120)/(ORÇAMENTO!$X$15-CÁLCULO.TotalAdmLocal)*CRONO!$E145,0),W144*$R143),SUMIF(OFFSET($R145,1,0,$Q143-2),($L143+1)&amp;"$",OFFSET(W145,1,0,$Q143-2)))</f>
        <v>0</v>
      </c>
      <c r="X145" s="220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$120,"="&amp;CRONO!X$12,CÁLCULO!$AB$15:$AL$120)/(ORÇAMENTO!$X$15-CÁLCULO.TotalAdmLocal)*CRONO!$E145,0),X144*$R143),SUMIF(OFFSET($R145,1,0,$Q143-2),($L143+1)&amp;"$",OFFSET(X145,1,0,$Q143-2)))</f>
        <v>0</v>
      </c>
      <c r="Y145" s="220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$120,"="&amp;CRONO!Y$12,CÁLCULO!$AB$15:$AL$120)/(ORÇAMENTO!$X$15-CÁLCULO.TotalAdmLocal)*CRONO!$E145,0),Y144*$R143),SUMIF(OFFSET($R145,1,0,$Q143-2),($L143+1)&amp;"$",OFFSET(Y145,1,0,$Q143-2)))</f>
        <v>0</v>
      </c>
      <c r="Z145" s="220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$120,"="&amp;CRONO!Z$12,CÁLCULO!$AB$15:$AL$120)/(ORÇAMENTO!$X$15-CÁLCULO.TotalAdmLocal)*CRONO!$E145,0),Z144*$R143),SUMIF(OFFSET($R145,1,0,$Q143-2),($L143+1)&amp;"$",OFFSET(Z145,1,0,$Q143-2)))</f>
        <v>0</v>
      </c>
      <c r="AA145" s="220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$120,"="&amp;CRONO!AA$12,CÁLCULO!$AB$15:$AL$120)/(ORÇAMENTO!$X$15-CÁLCULO.TotalAdmLocal)*CRONO!$E145,0),AA144*$R143),SUMIF(OFFSET($R145,1,0,$Q143-2),($L143+1)&amp;"$",OFFSET(AA145,1,0,$Q143-2)))</f>
        <v>0</v>
      </c>
      <c r="AB145" s="220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$120,"="&amp;CRONO!AB$12,CÁLCULO!$AB$15:$AL$120)/(ORÇAMENTO!$X$15-CÁLCULO.TotalAdmLocal)*CRONO!$E145,0),AB144*$R143),SUMIF(OFFSET($R145,1,0,$Q143-2),($L143+1)&amp;"$",OFFSET(AB145,1,0,$Q143-2)))</f>
        <v>0</v>
      </c>
      <c r="AC145" s="220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$120,"="&amp;CRONO!AC$12,CÁLCULO!$AB$15:$AL$120)/(ORÇAMENTO!$X$15-CÁLCULO.TotalAdmLocal)*CRONO!$E145,0),AC144*$R143),SUMIF(OFFSET($R145,1,0,$Q143-2),($L143+1)&amp;"$",OFFSET(AC145,1,0,$Q143-2)))</f>
        <v>0</v>
      </c>
      <c r="AD145" s="220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$120,"="&amp;CRONO!AD$12,CÁLCULO!$AB$15:$AL$120)/(ORÇAMENTO!$X$15-CÁLCULO.TotalAdmLocal)*CRONO!$E145,0),AD144*$R143),SUMIF(OFFSET($R145,1,0,$Q143-2),($L143+1)&amp;"$",OFFSET(AD145,1,0,$Q143-2)))</f>
        <v>0</v>
      </c>
      <c r="AE145" s="225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$120,"="&amp;CRONO!AE$12,CÁLCULO!$AB$15:$AL$120)/(ORÇAMENTO!$X$15-CÁLCULO.TotalAdmLocal)*CRONO!$E145,0),AE144*$R143),SUMIF(OFFSET($R145,1,0,$Q143-2),($L143+1)&amp;"$",OFFSET(AE145,1,0,$Q143-2)))</f>
        <v>0</v>
      </c>
    </row>
    <row r="146" spans="1:32" hidden="1" x14ac:dyDescent="0.2">
      <c r="A146" s="201">
        <f t="shared" ref="A146" ca="1" si="311">OFFSET(A146,-3,0)+1</f>
        <v>45</v>
      </c>
      <c r="B146" s="201">
        <f ca="1">IF($Q146&lt;&gt;2,0,IF($R146=0,1,IF(E147&gt;0,OFFSET(QCI!$M$13,SUBSTITUTE(E147,".",""),0),OFFSET(ORÇAMENTO!$AA$15,CRONO!$E146,0))/$R146))</f>
        <v>0</v>
      </c>
      <c r="C146" s="201">
        <f ca="1">IF($Q146&lt;&gt;2,0,IF($R146=0,1,IF(E147&gt;0,OFFSET(QCI!$N$13,SUBSTITUTE(E147,".",""),0),OFFSET(ORÇAMENTO!$AB$15,CRONO!$E146,0))/$R146))</f>
        <v>0</v>
      </c>
      <c r="D146" s="204" t="e">
        <f ca="1">IF(AND($Q146=2,ACOMPANHAMENTO="BM"),D147,D148/$R146)</f>
        <v>#VALUE!</v>
      </c>
      <c r="E146" s="201" t="e">
        <f ca="1">IF(A146&lt;=ORÇAMENTO.MáximoListaCrono,MATCH(A146,ORÇAMENTO.ListaCrono,0),NA())</f>
        <v>#N/A</v>
      </c>
      <c r="F146" s="201" t="str">
        <f t="shared" ref="F146" ca="1" si="312">IF(AND($E147&lt;&gt;-1,$R146&gt;0),"F","")</f>
        <v/>
      </c>
      <c r="G146" s="205" t="str">
        <f ca="1">IF(OR(R146=0,R146=""),"Linha",IF(AND(OR(ACOMPANHAMENTO="PLE",$Q146&lt;&gt;2),$E147=0),"Linha",1-SUM(T146:AF146)))</f>
        <v>Linha</v>
      </c>
      <c r="H146" s="206" t="str">
        <f ca="1">IF($E147=0,OFFSET(ORÇAMENTO!O$15,$E146,0),IF($E147&lt;&gt;-1,OFFSET(QCI!$D$13,$E147,0),""))</f>
        <v/>
      </c>
      <c r="I146" s="207" t="str">
        <f ca="1">IF($E147=0,OFFSET(ORÇAMENTO!R$15,$E146,0),IF($E147&lt;&gt;-1,OFFSET(QCI!$G$13,$E147,0),""))</f>
        <v/>
      </c>
      <c r="J146" s="207"/>
      <c r="K146" s="207"/>
      <c r="L146" s="208">
        <f ca="1">IF($E147=0,OFFSET(ORÇAMENTO!C$15,$E146,0),1)</f>
        <v>1</v>
      </c>
      <c r="M146" s="209">
        <f ca="1">IF($E147=-1,0,IF(M$13&lt;=$L146,IF(ISERROR(MATCH(M$13,OFFSET($L146,1,0,ROW($L$164)-ROW($L146)-1),0)),ROW($L$164)-ROW($L146)-1,MATCH(M$13,OFFSET($L146,1,0,ROW($L$164)-ROW($L146)-1),0)-1),0))</f>
        <v>0</v>
      </c>
      <c r="N146" s="209">
        <f ca="1">IF($E147=-1,0,IF(N$13&lt;=$L146,IF(ISERROR(MATCH(N$13,OFFSET($L146,1,0,ROW($L$164)-ROW($L146)-1),0)),ROW($L$164)-ROW($L146)-1,MATCH(N$13,OFFSET($L146,1,0,ROW($L$164)-ROW($L146)-1),0)-1),0))</f>
        <v>0</v>
      </c>
      <c r="O146" s="209">
        <f ca="1">IF($E147=-1,0,IF(O$13&lt;=$L146,IF(ISERROR(MATCH(O$13,OFFSET($L146,1,0,ROW($L$164)-ROW($L146)-1),0)),ROW($L$164)-ROW($L146)-1,MATCH(O$13,OFFSET($L146,1,0,ROW($L$164)-ROW($L146)-1),0)-1),0))</f>
        <v>0</v>
      </c>
      <c r="P146" s="209">
        <f ca="1">IF($E147=-1,0,IF(P$13&lt;=$L146,IF(ISERROR(MATCH(P$13,OFFSET($L146,1,0,ROW($L$164)-ROW($L146)-1),0)),ROW($L$164)-ROW($L146)-1,MATCH(P$13,OFFSET($L146,1,0,ROW($L$164)-ROW($L146)-1),0)-1),0))</f>
        <v>0</v>
      </c>
      <c r="Q146" s="209">
        <f t="shared" ref="Q146" ca="1" si="313">MIN(OFFSET(L146,0,1,,L146))</f>
        <v>0</v>
      </c>
      <c r="R146" s="210" t="str">
        <f ca="1">IF($E147=0,OFFSET(ORÇAMENTO!X$15,$E146,0),IF($E147&lt;&gt;-1,OFFSET(QCI!$O$13,$E147,0),""))</f>
        <v/>
      </c>
      <c r="S146" s="211" t="s">
        <v>270</v>
      </c>
      <c r="T146" s="212" t="e">
        <f t="shared" ref="T146:AE146" ca="1" si="314">IF(AND($Q146=2,ACOMPANHAMENTO="BM"),T147,T148/$R146)</f>
        <v>#VALUE!</v>
      </c>
      <c r="U146" s="204" t="e">
        <f t="shared" ca="1" si="314"/>
        <v>#VALUE!</v>
      </c>
      <c r="V146" s="204" t="e">
        <f t="shared" ca="1" si="314"/>
        <v>#VALUE!</v>
      </c>
      <c r="W146" s="204" t="e">
        <f t="shared" ca="1" si="314"/>
        <v>#VALUE!</v>
      </c>
      <c r="X146" s="204" t="e">
        <f t="shared" ca="1" si="314"/>
        <v>#VALUE!</v>
      </c>
      <c r="Y146" s="204" t="e">
        <f t="shared" ca="1" si="314"/>
        <v>#VALUE!</v>
      </c>
      <c r="Z146" s="204" t="e">
        <f t="shared" ca="1" si="314"/>
        <v>#VALUE!</v>
      </c>
      <c r="AA146" s="204" t="e">
        <f t="shared" ca="1" si="314"/>
        <v>#VALUE!</v>
      </c>
      <c r="AB146" s="204" t="e">
        <f t="shared" ca="1" si="314"/>
        <v>#VALUE!</v>
      </c>
      <c r="AC146" s="204" t="e">
        <f t="shared" ca="1" si="314"/>
        <v>#VALUE!</v>
      </c>
      <c r="AD146" s="204" t="e">
        <f t="shared" ca="1" si="314"/>
        <v>#VALUE!</v>
      </c>
      <c r="AE146" s="213" t="e">
        <f t="shared" ca="1" si="314"/>
        <v>#VALUE!</v>
      </c>
    </row>
    <row r="147" spans="1:32" ht="12.75" hidden="1" customHeight="1" x14ac:dyDescent="0.2">
      <c r="D147" s="566"/>
      <c r="E147" s="201">
        <f ca="1">IF(ISERROR(E146),IF(1+COUNTIF($L$13:OFFSET(L146,-1,0),1)&lt;=MAX(QCI!$D$13:$D$24),1+COUNTIF($L$13:OFFSET(L146,-1,0),1),-1),0)</f>
        <v>-1</v>
      </c>
      <c r="F147" s="201" t="str">
        <f t="shared" ref="F147" ca="1" si="315">IF(AND($E147&lt;&gt;-1,$R146&gt;0),"F","")</f>
        <v/>
      </c>
      <c r="G147" s="214" t="str">
        <f ca="1">IF(OR(R146=0,R146=""),"vazia",IF(AND(OR(ACOMPANHAMENTO="PLE",$Q146&lt;&gt;2),$E147=0),"calculada","--&gt;"))</f>
        <v>vazia</v>
      </c>
      <c r="H147" s="215"/>
      <c r="I147" s="216" t="str">
        <f t="shared" ref="I147" ca="1" si="316">IF(AND(G146&lt;&gt;0,ISNUMBER(G146)),"PREENCHA ESTA LINHA --&gt;","")</f>
        <v/>
      </c>
      <c r="J147" s="216"/>
      <c r="K147" s="216"/>
      <c r="L147" s="217"/>
      <c r="M147" s="217"/>
      <c r="N147" s="217"/>
      <c r="O147" s="217"/>
      <c r="P147" s="217"/>
      <c r="Q147" s="217"/>
      <c r="R147" s="218"/>
      <c r="S147" s="219"/>
      <c r="T147" s="567"/>
      <c r="U147" s="566"/>
      <c r="V147" s="566"/>
      <c r="W147" s="566"/>
      <c r="X147" s="566"/>
      <c r="Y147" s="566"/>
      <c r="Z147" s="566"/>
      <c r="AA147" s="566"/>
      <c r="AB147" s="566"/>
      <c r="AC147" s="566"/>
      <c r="AD147" s="566"/>
      <c r="AE147" s="568"/>
      <c r="AF147" s="530"/>
    </row>
    <row r="148" spans="1:32" ht="0.2" hidden="1" customHeight="1" x14ac:dyDescent="0.2">
      <c r="D148" s="220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$120,"="&amp;CRONO!D$12,CÁLCULO!$AB$15:$AL$120)/(ORÇAMENTO!$X$15-CÁLCULO.TotalAdmLocal)*CRONO!$E148,0),D147*$R146),SUMIF(OFFSET($R148,1,0,$Q146-2),($L146+1)&amp;"$",OFFSET(D148,1,0,$Q146-2)))</f>
        <v>0</v>
      </c>
      <c r="E148" s="201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21"/>
      <c r="R148" s="222" t="str">
        <f t="shared" ref="R148" ca="1" si="317">L146&amp;"$"</f>
        <v>1$</v>
      </c>
      <c r="S148" s="223"/>
      <c r="T148" s="224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$120,"&lt;="&amp;CRONO!T$12,CÁLCULO!$AB$15:$AL$120)/(ORÇAMENTO!$X$15-CÁLCULO.TotalAdmLocal)*CRONO!$E148,0),T147*$R146),SUMIF(OFFSET($R148,1,0,$Q146-2),($L146+1)&amp;"$",OFFSET(T148,1,0,$Q146-2)))</f>
        <v>0</v>
      </c>
      <c r="U148" s="220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$120,"="&amp;CRONO!U$12,CÁLCULO!$AB$15:$AL$120)/(ORÇAMENTO!$X$15-CÁLCULO.TotalAdmLocal)*CRONO!$E148,0),U147*$R146),SUMIF(OFFSET($R148,1,0,$Q146-2),($L146+1)&amp;"$",OFFSET(U148,1,0,$Q146-2)))</f>
        <v>0</v>
      </c>
      <c r="V148" s="220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$120,"="&amp;CRONO!V$12,CÁLCULO!$AB$15:$AL$120)/(ORÇAMENTO!$X$15-CÁLCULO.TotalAdmLocal)*CRONO!$E148,0),V147*$R146),SUMIF(OFFSET($R148,1,0,$Q146-2),($L146+1)&amp;"$",OFFSET(V148,1,0,$Q146-2)))</f>
        <v>0</v>
      </c>
      <c r="W148" s="220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$120,"="&amp;CRONO!W$12,CÁLCULO!$AB$15:$AL$120)/(ORÇAMENTO!$X$15-CÁLCULO.TotalAdmLocal)*CRONO!$E148,0),W147*$R146),SUMIF(OFFSET($R148,1,0,$Q146-2),($L146+1)&amp;"$",OFFSET(W148,1,0,$Q146-2)))</f>
        <v>0</v>
      </c>
      <c r="X148" s="220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$120,"="&amp;CRONO!X$12,CÁLCULO!$AB$15:$AL$120)/(ORÇAMENTO!$X$15-CÁLCULO.TotalAdmLocal)*CRONO!$E148,0),X147*$R146),SUMIF(OFFSET($R148,1,0,$Q146-2),($L146+1)&amp;"$",OFFSET(X148,1,0,$Q146-2)))</f>
        <v>0</v>
      </c>
      <c r="Y148" s="220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$120,"="&amp;CRONO!Y$12,CÁLCULO!$AB$15:$AL$120)/(ORÇAMENTO!$X$15-CÁLCULO.TotalAdmLocal)*CRONO!$E148,0),Y147*$R146),SUMIF(OFFSET($R148,1,0,$Q146-2),($L146+1)&amp;"$",OFFSET(Y148,1,0,$Q146-2)))</f>
        <v>0</v>
      </c>
      <c r="Z148" s="220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$120,"="&amp;CRONO!Z$12,CÁLCULO!$AB$15:$AL$120)/(ORÇAMENTO!$X$15-CÁLCULO.TotalAdmLocal)*CRONO!$E148,0),Z147*$R146),SUMIF(OFFSET($R148,1,0,$Q146-2),($L146+1)&amp;"$",OFFSET(Z148,1,0,$Q146-2)))</f>
        <v>0</v>
      </c>
      <c r="AA148" s="220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$120,"="&amp;CRONO!AA$12,CÁLCULO!$AB$15:$AL$120)/(ORÇAMENTO!$X$15-CÁLCULO.TotalAdmLocal)*CRONO!$E148,0),AA147*$R146),SUMIF(OFFSET($R148,1,0,$Q146-2),($L146+1)&amp;"$",OFFSET(AA148,1,0,$Q146-2)))</f>
        <v>0</v>
      </c>
      <c r="AB148" s="220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$120,"="&amp;CRONO!AB$12,CÁLCULO!$AB$15:$AL$120)/(ORÇAMENTO!$X$15-CÁLCULO.TotalAdmLocal)*CRONO!$E148,0),AB147*$R146),SUMIF(OFFSET($R148,1,0,$Q146-2),($L146+1)&amp;"$",OFFSET(AB148,1,0,$Q146-2)))</f>
        <v>0</v>
      </c>
      <c r="AC148" s="220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$120,"="&amp;CRONO!AC$12,CÁLCULO!$AB$15:$AL$120)/(ORÇAMENTO!$X$15-CÁLCULO.TotalAdmLocal)*CRONO!$E148,0),AC147*$R146),SUMIF(OFFSET($R148,1,0,$Q146-2),($L146+1)&amp;"$",OFFSET(AC148,1,0,$Q146-2)))</f>
        <v>0</v>
      </c>
      <c r="AD148" s="220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$120,"="&amp;CRONO!AD$12,CÁLCULO!$AB$15:$AL$120)/(ORÇAMENTO!$X$15-CÁLCULO.TotalAdmLocal)*CRONO!$E148,0),AD147*$R146),SUMIF(OFFSET($R148,1,0,$Q146-2),($L146+1)&amp;"$",OFFSET(AD148,1,0,$Q146-2)))</f>
        <v>0</v>
      </c>
      <c r="AE148" s="225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$120,"="&amp;CRONO!AE$12,CÁLCULO!$AB$15:$AL$120)/(ORÇAMENTO!$X$15-CÁLCULO.TotalAdmLocal)*CRONO!$E148,0),AE147*$R146),SUMIF(OFFSET($R148,1,0,$Q146-2),($L146+1)&amp;"$",OFFSET(AE148,1,0,$Q146-2)))</f>
        <v>0</v>
      </c>
    </row>
    <row r="149" spans="1:32" hidden="1" x14ac:dyDescent="0.2">
      <c r="A149" s="201">
        <f t="shared" ref="A149" ca="1" si="318">OFFSET(A149,-3,0)+1</f>
        <v>46</v>
      </c>
      <c r="B149" s="201">
        <f ca="1">IF($Q149&lt;&gt;2,0,IF($R149=0,1,IF(E150&gt;0,OFFSET(QCI!$M$13,SUBSTITUTE(E150,".",""),0),OFFSET(ORÇAMENTO!$AA$15,CRONO!$E149,0))/$R149))</f>
        <v>0</v>
      </c>
      <c r="C149" s="201">
        <f ca="1">IF($Q149&lt;&gt;2,0,IF($R149=0,1,IF(E150&gt;0,OFFSET(QCI!$N$13,SUBSTITUTE(E150,".",""),0),OFFSET(ORÇAMENTO!$AB$15,CRONO!$E149,0))/$R149))</f>
        <v>0</v>
      </c>
      <c r="D149" s="204" t="e">
        <f ca="1">IF(AND($Q149=2,ACOMPANHAMENTO="BM"),D150,D151/$R149)</f>
        <v>#VALUE!</v>
      </c>
      <c r="E149" s="201" t="e">
        <f ca="1">IF(A149&lt;=ORÇAMENTO.MáximoListaCrono,MATCH(A149,ORÇAMENTO.ListaCrono,0),NA())</f>
        <v>#N/A</v>
      </c>
      <c r="F149" s="201" t="str">
        <f t="shared" ref="F149" ca="1" si="319">IF(AND($E150&lt;&gt;-1,$R149&gt;0),"F","")</f>
        <v/>
      </c>
      <c r="G149" s="205" t="str">
        <f ca="1">IF(OR(R149=0,R149=""),"Linha",IF(AND(OR(ACOMPANHAMENTO="PLE",$Q149&lt;&gt;2),$E150=0),"Linha",1-SUM(T149:AF149)))</f>
        <v>Linha</v>
      </c>
      <c r="H149" s="206" t="str">
        <f ca="1">IF($E150=0,OFFSET(ORÇAMENTO!O$15,$E149,0),IF($E150&lt;&gt;-1,OFFSET(QCI!$D$13,$E150,0),""))</f>
        <v/>
      </c>
      <c r="I149" s="207" t="str">
        <f ca="1">IF($E150=0,OFFSET(ORÇAMENTO!R$15,$E149,0),IF($E150&lt;&gt;-1,OFFSET(QCI!$G$13,$E150,0),""))</f>
        <v/>
      </c>
      <c r="J149" s="207"/>
      <c r="K149" s="207"/>
      <c r="L149" s="208">
        <f ca="1">IF($E150=0,OFFSET(ORÇAMENTO!C$15,$E149,0),1)</f>
        <v>1</v>
      </c>
      <c r="M149" s="209">
        <f ca="1">IF($E150=-1,0,IF(M$13&lt;=$L149,IF(ISERROR(MATCH(M$13,OFFSET($L149,1,0,ROW($L$164)-ROW($L149)-1),0)),ROW($L$164)-ROW($L149)-1,MATCH(M$13,OFFSET($L149,1,0,ROW($L$164)-ROW($L149)-1),0)-1),0))</f>
        <v>0</v>
      </c>
      <c r="N149" s="209">
        <f ca="1">IF($E150=-1,0,IF(N$13&lt;=$L149,IF(ISERROR(MATCH(N$13,OFFSET($L149,1,0,ROW($L$164)-ROW($L149)-1),0)),ROW($L$164)-ROW($L149)-1,MATCH(N$13,OFFSET($L149,1,0,ROW($L$164)-ROW($L149)-1),0)-1),0))</f>
        <v>0</v>
      </c>
      <c r="O149" s="209">
        <f ca="1">IF($E150=-1,0,IF(O$13&lt;=$L149,IF(ISERROR(MATCH(O$13,OFFSET($L149,1,0,ROW($L$164)-ROW($L149)-1),0)),ROW($L$164)-ROW($L149)-1,MATCH(O$13,OFFSET($L149,1,0,ROW($L$164)-ROW($L149)-1),0)-1),0))</f>
        <v>0</v>
      </c>
      <c r="P149" s="209">
        <f ca="1">IF($E150=-1,0,IF(P$13&lt;=$L149,IF(ISERROR(MATCH(P$13,OFFSET($L149,1,0,ROW($L$164)-ROW($L149)-1),0)),ROW($L$164)-ROW($L149)-1,MATCH(P$13,OFFSET($L149,1,0,ROW($L$164)-ROW($L149)-1),0)-1),0))</f>
        <v>0</v>
      </c>
      <c r="Q149" s="209">
        <f t="shared" ref="Q149" ca="1" si="320">MIN(OFFSET(L149,0,1,,L149))</f>
        <v>0</v>
      </c>
      <c r="R149" s="210" t="str">
        <f ca="1">IF($E150=0,OFFSET(ORÇAMENTO!X$15,$E149,0),IF($E150&lt;&gt;-1,OFFSET(QCI!$O$13,$E150,0),""))</f>
        <v/>
      </c>
      <c r="S149" s="211" t="s">
        <v>270</v>
      </c>
      <c r="T149" s="212" t="e">
        <f t="shared" ref="T149:AE149" ca="1" si="321">IF(AND($Q149=2,ACOMPANHAMENTO="BM"),T150,T151/$R149)</f>
        <v>#VALUE!</v>
      </c>
      <c r="U149" s="204" t="e">
        <f t="shared" ca="1" si="321"/>
        <v>#VALUE!</v>
      </c>
      <c r="V149" s="204" t="e">
        <f t="shared" ca="1" si="321"/>
        <v>#VALUE!</v>
      </c>
      <c r="W149" s="204" t="e">
        <f t="shared" ca="1" si="321"/>
        <v>#VALUE!</v>
      </c>
      <c r="X149" s="204" t="e">
        <f t="shared" ca="1" si="321"/>
        <v>#VALUE!</v>
      </c>
      <c r="Y149" s="204" t="e">
        <f t="shared" ca="1" si="321"/>
        <v>#VALUE!</v>
      </c>
      <c r="Z149" s="204" t="e">
        <f t="shared" ca="1" si="321"/>
        <v>#VALUE!</v>
      </c>
      <c r="AA149" s="204" t="e">
        <f t="shared" ca="1" si="321"/>
        <v>#VALUE!</v>
      </c>
      <c r="AB149" s="204" t="e">
        <f t="shared" ca="1" si="321"/>
        <v>#VALUE!</v>
      </c>
      <c r="AC149" s="204" t="e">
        <f t="shared" ca="1" si="321"/>
        <v>#VALUE!</v>
      </c>
      <c r="AD149" s="204" t="e">
        <f t="shared" ca="1" si="321"/>
        <v>#VALUE!</v>
      </c>
      <c r="AE149" s="213" t="e">
        <f t="shared" ca="1" si="321"/>
        <v>#VALUE!</v>
      </c>
    </row>
    <row r="150" spans="1:32" ht="12.75" hidden="1" customHeight="1" x14ac:dyDescent="0.2">
      <c r="D150" s="566"/>
      <c r="E150" s="201">
        <f ca="1">IF(ISERROR(E149),IF(1+COUNTIF($L$13:OFFSET(L149,-1,0),1)&lt;=MAX(QCI!$D$13:$D$24),1+COUNTIF($L$13:OFFSET(L149,-1,0),1),-1),0)</f>
        <v>-1</v>
      </c>
      <c r="F150" s="201" t="str">
        <f t="shared" ref="F150" ca="1" si="322">IF(AND($E150&lt;&gt;-1,$R149&gt;0),"F","")</f>
        <v/>
      </c>
      <c r="G150" s="214" t="str">
        <f ca="1">IF(OR(R149=0,R149=""),"vazia",IF(AND(OR(ACOMPANHAMENTO="PLE",$Q149&lt;&gt;2),$E150=0),"calculada","--&gt;"))</f>
        <v>vazia</v>
      </c>
      <c r="H150" s="215"/>
      <c r="I150" s="216" t="str">
        <f t="shared" ref="I150" ca="1" si="323">IF(AND(G149&lt;&gt;0,ISNUMBER(G149)),"PREENCHA ESTA LINHA --&gt;","")</f>
        <v/>
      </c>
      <c r="J150" s="216"/>
      <c r="K150" s="216"/>
      <c r="L150" s="217"/>
      <c r="M150" s="217"/>
      <c r="N150" s="217"/>
      <c r="O150" s="217"/>
      <c r="P150" s="217"/>
      <c r="Q150" s="217"/>
      <c r="R150" s="218"/>
      <c r="S150" s="219"/>
      <c r="T150" s="567"/>
      <c r="U150" s="566"/>
      <c r="V150" s="566"/>
      <c r="W150" s="566"/>
      <c r="X150" s="566"/>
      <c r="Y150" s="566"/>
      <c r="Z150" s="566"/>
      <c r="AA150" s="566"/>
      <c r="AB150" s="566"/>
      <c r="AC150" s="566"/>
      <c r="AD150" s="566"/>
      <c r="AE150" s="568"/>
      <c r="AF150" s="530"/>
    </row>
    <row r="151" spans="1:32" ht="0.2" hidden="1" customHeight="1" x14ac:dyDescent="0.2">
      <c r="D151" s="220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$120,"="&amp;CRONO!D$12,CÁLCULO!$AB$15:$AL$120)/(ORÇAMENTO!$X$15-CÁLCULO.TotalAdmLocal)*CRONO!$E151,0),D150*$R149),SUMIF(OFFSET($R151,1,0,$Q149-2),($L149+1)&amp;"$",OFFSET(D151,1,0,$Q149-2)))</f>
        <v>0</v>
      </c>
      <c r="E151" s="201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21"/>
      <c r="R151" s="222" t="str">
        <f t="shared" ref="R151" ca="1" si="324">L149&amp;"$"</f>
        <v>1$</v>
      </c>
      <c r="S151" s="223"/>
      <c r="T151" s="224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$120,"&lt;="&amp;CRONO!T$12,CÁLCULO!$AB$15:$AL$120)/(ORÇAMENTO!$X$15-CÁLCULO.TotalAdmLocal)*CRONO!$E151,0),T150*$R149),SUMIF(OFFSET($R151,1,0,$Q149-2),($L149+1)&amp;"$",OFFSET(T151,1,0,$Q149-2)))</f>
        <v>0</v>
      </c>
      <c r="U151" s="220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$120,"="&amp;CRONO!U$12,CÁLCULO!$AB$15:$AL$120)/(ORÇAMENTO!$X$15-CÁLCULO.TotalAdmLocal)*CRONO!$E151,0),U150*$R149),SUMIF(OFFSET($R151,1,0,$Q149-2),($L149+1)&amp;"$",OFFSET(U151,1,0,$Q149-2)))</f>
        <v>0</v>
      </c>
      <c r="V151" s="220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$120,"="&amp;CRONO!V$12,CÁLCULO!$AB$15:$AL$120)/(ORÇAMENTO!$X$15-CÁLCULO.TotalAdmLocal)*CRONO!$E151,0),V150*$R149),SUMIF(OFFSET($R151,1,0,$Q149-2),($L149+1)&amp;"$",OFFSET(V151,1,0,$Q149-2)))</f>
        <v>0</v>
      </c>
      <c r="W151" s="220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$120,"="&amp;CRONO!W$12,CÁLCULO!$AB$15:$AL$120)/(ORÇAMENTO!$X$15-CÁLCULO.TotalAdmLocal)*CRONO!$E151,0),W150*$R149),SUMIF(OFFSET($R151,1,0,$Q149-2),($L149+1)&amp;"$",OFFSET(W151,1,0,$Q149-2)))</f>
        <v>0</v>
      </c>
      <c r="X151" s="220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$120,"="&amp;CRONO!X$12,CÁLCULO!$AB$15:$AL$120)/(ORÇAMENTO!$X$15-CÁLCULO.TotalAdmLocal)*CRONO!$E151,0),X150*$R149),SUMIF(OFFSET($R151,1,0,$Q149-2),($L149+1)&amp;"$",OFFSET(X151,1,0,$Q149-2)))</f>
        <v>0</v>
      </c>
      <c r="Y151" s="220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$120,"="&amp;CRONO!Y$12,CÁLCULO!$AB$15:$AL$120)/(ORÇAMENTO!$X$15-CÁLCULO.TotalAdmLocal)*CRONO!$E151,0),Y150*$R149),SUMIF(OFFSET($R151,1,0,$Q149-2),($L149+1)&amp;"$",OFFSET(Y151,1,0,$Q149-2)))</f>
        <v>0</v>
      </c>
      <c r="Z151" s="220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$120,"="&amp;CRONO!Z$12,CÁLCULO!$AB$15:$AL$120)/(ORÇAMENTO!$X$15-CÁLCULO.TotalAdmLocal)*CRONO!$E151,0),Z150*$R149),SUMIF(OFFSET($R151,1,0,$Q149-2),($L149+1)&amp;"$",OFFSET(Z151,1,0,$Q149-2)))</f>
        <v>0</v>
      </c>
      <c r="AA151" s="220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$120,"="&amp;CRONO!AA$12,CÁLCULO!$AB$15:$AL$120)/(ORÇAMENTO!$X$15-CÁLCULO.TotalAdmLocal)*CRONO!$E151,0),AA150*$R149),SUMIF(OFFSET($R151,1,0,$Q149-2),($L149+1)&amp;"$",OFFSET(AA151,1,0,$Q149-2)))</f>
        <v>0</v>
      </c>
      <c r="AB151" s="220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$120,"="&amp;CRONO!AB$12,CÁLCULO!$AB$15:$AL$120)/(ORÇAMENTO!$X$15-CÁLCULO.TotalAdmLocal)*CRONO!$E151,0),AB150*$R149),SUMIF(OFFSET($R151,1,0,$Q149-2),($L149+1)&amp;"$",OFFSET(AB151,1,0,$Q149-2)))</f>
        <v>0</v>
      </c>
      <c r="AC151" s="220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$120,"="&amp;CRONO!AC$12,CÁLCULO!$AB$15:$AL$120)/(ORÇAMENTO!$X$15-CÁLCULO.TotalAdmLocal)*CRONO!$E151,0),AC150*$R149),SUMIF(OFFSET($R151,1,0,$Q149-2),($L149+1)&amp;"$",OFFSET(AC151,1,0,$Q149-2)))</f>
        <v>0</v>
      </c>
      <c r="AD151" s="220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$120,"="&amp;CRONO!AD$12,CÁLCULO!$AB$15:$AL$120)/(ORÇAMENTO!$X$15-CÁLCULO.TotalAdmLocal)*CRONO!$E151,0),AD150*$R149),SUMIF(OFFSET($R151,1,0,$Q149-2),($L149+1)&amp;"$",OFFSET(AD151,1,0,$Q149-2)))</f>
        <v>0</v>
      </c>
      <c r="AE151" s="225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$120,"="&amp;CRONO!AE$12,CÁLCULO!$AB$15:$AL$120)/(ORÇAMENTO!$X$15-CÁLCULO.TotalAdmLocal)*CRONO!$E151,0),AE150*$R149),SUMIF(OFFSET($R151,1,0,$Q149-2),($L149+1)&amp;"$",OFFSET(AE151,1,0,$Q149-2)))</f>
        <v>0</v>
      </c>
    </row>
    <row r="152" spans="1:32" hidden="1" x14ac:dyDescent="0.2">
      <c r="A152" s="201">
        <f t="shared" ref="A152" ca="1" si="325">OFFSET(A152,-3,0)+1</f>
        <v>47</v>
      </c>
      <c r="B152" s="201">
        <f ca="1">IF($Q152&lt;&gt;2,0,IF($R152=0,1,IF(E153&gt;0,OFFSET(QCI!$M$13,SUBSTITUTE(E153,".",""),0),OFFSET(ORÇAMENTO!$AA$15,CRONO!$E152,0))/$R152))</f>
        <v>0</v>
      </c>
      <c r="C152" s="201">
        <f ca="1">IF($Q152&lt;&gt;2,0,IF($R152=0,1,IF(E153&gt;0,OFFSET(QCI!$N$13,SUBSTITUTE(E153,".",""),0),OFFSET(ORÇAMENTO!$AB$15,CRONO!$E152,0))/$R152))</f>
        <v>0</v>
      </c>
      <c r="D152" s="204" t="e">
        <f ca="1">IF(AND($Q152=2,ACOMPANHAMENTO="BM"),D153,D154/$R152)</f>
        <v>#VALUE!</v>
      </c>
      <c r="E152" s="201" t="e">
        <f ca="1">IF(A152&lt;=ORÇAMENTO.MáximoListaCrono,MATCH(A152,ORÇAMENTO.ListaCrono,0),NA())</f>
        <v>#N/A</v>
      </c>
      <c r="F152" s="201" t="str">
        <f t="shared" ref="F152" ca="1" si="326">IF(AND($E153&lt;&gt;-1,$R152&gt;0),"F","")</f>
        <v/>
      </c>
      <c r="G152" s="205" t="str">
        <f ca="1">IF(OR(R152=0,R152=""),"Linha",IF(AND(OR(ACOMPANHAMENTO="PLE",$Q152&lt;&gt;2),$E153=0),"Linha",1-SUM(T152:AF152)))</f>
        <v>Linha</v>
      </c>
      <c r="H152" s="206" t="str">
        <f ca="1">IF($E153=0,OFFSET(ORÇAMENTO!O$15,$E152,0),IF($E153&lt;&gt;-1,OFFSET(QCI!$D$13,$E153,0),""))</f>
        <v/>
      </c>
      <c r="I152" s="207" t="str">
        <f ca="1">IF($E153=0,OFFSET(ORÇAMENTO!R$15,$E152,0),IF($E153&lt;&gt;-1,OFFSET(QCI!$G$13,$E153,0),""))</f>
        <v/>
      </c>
      <c r="J152" s="207"/>
      <c r="K152" s="207"/>
      <c r="L152" s="208">
        <f ca="1">IF($E153=0,OFFSET(ORÇAMENTO!C$15,$E152,0),1)</f>
        <v>1</v>
      </c>
      <c r="M152" s="209">
        <f ca="1">IF($E153=-1,0,IF(M$13&lt;=$L152,IF(ISERROR(MATCH(M$13,OFFSET($L152,1,0,ROW($L$164)-ROW($L152)-1),0)),ROW($L$164)-ROW($L152)-1,MATCH(M$13,OFFSET($L152,1,0,ROW($L$164)-ROW($L152)-1),0)-1),0))</f>
        <v>0</v>
      </c>
      <c r="N152" s="209">
        <f ca="1">IF($E153=-1,0,IF(N$13&lt;=$L152,IF(ISERROR(MATCH(N$13,OFFSET($L152,1,0,ROW($L$164)-ROW($L152)-1),0)),ROW($L$164)-ROW($L152)-1,MATCH(N$13,OFFSET($L152,1,0,ROW($L$164)-ROW($L152)-1),0)-1),0))</f>
        <v>0</v>
      </c>
      <c r="O152" s="209">
        <f ca="1">IF($E153=-1,0,IF(O$13&lt;=$L152,IF(ISERROR(MATCH(O$13,OFFSET($L152,1,0,ROW($L$164)-ROW($L152)-1),0)),ROW($L$164)-ROW($L152)-1,MATCH(O$13,OFFSET($L152,1,0,ROW($L$164)-ROW($L152)-1),0)-1),0))</f>
        <v>0</v>
      </c>
      <c r="P152" s="209">
        <f ca="1">IF($E153=-1,0,IF(P$13&lt;=$L152,IF(ISERROR(MATCH(P$13,OFFSET($L152,1,0,ROW($L$164)-ROW($L152)-1),0)),ROW($L$164)-ROW($L152)-1,MATCH(P$13,OFFSET($L152,1,0,ROW($L$164)-ROW($L152)-1),0)-1),0))</f>
        <v>0</v>
      </c>
      <c r="Q152" s="209">
        <f t="shared" ref="Q152" ca="1" si="327">MIN(OFFSET(L152,0,1,,L152))</f>
        <v>0</v>
      </c>
      <c r="R152" s="210" t="str">
        <f ca="1">IF($E153=0,OFFSET(ORÇAMENTO!X$15,$E152,0),IF($E153&lt;&gt;-1,OFFSET(QCI!$O$13,$E153,0),""))</f>
        <v/>
      </c>
      <c r="S152" s="211" t="s">
        <v>270</v>
      </c>
      <c r="T152" s="212" t="e">
        <f t="shared" ref="T152:AE152" ca="1" si="328">IF(AND($Q152=2,ACOMPANHAMENTO="BM"),T153,T154/$R152)</f>
        <v>#VALUE!</v>
      </c>
      <c r="U152" s="204" t="e">
        <f t="shared" ca="1" si="328"/>
        <v>#VALUE!</v>
      </c>
      <c r="V152" s="204" t="e">
        <f t="shared" ca="1" si="328"/>
        <v>#VALUE!</v>
      </c>
      <c r="W152" s="204" t="e">
        <f t="shared" ca="1" si="328"/>
        <v>#VALUE!</v>
      </c>
      <c r="X152" s="204" t="e">
        <f t="shared" ca="1" si="328"/>
        <v>#VALUE!</v>
      </c>
      <c r="Y152" s="204" t="e">
        <f t="shared" ca="1" si="328"/>
        <v>#VALUE!</v>
      </c>
      <c r="Z152" s="204" t="e">
        <f t="shared" ca="1" si="328"/>
        <v>#VALUE!</v>
      </c>
      <c r="AA152" s="204" t="e">
        <f t="shared" ca="1" si="328"/>
        <v>#VALUE!</v>
      </c>
      <c r="AB152" s="204" t="e">
        <f t="shared" ca="1" si="328"/>
        <v>#VALUE!</v>
      </c>
      <c r="AC152" s="204" t="e">
        <f t="shared" ca="1" si="328"/>
        <v>#VALUE!</v>
      </c>
      <c r="AD152" s="204" t="e">
        <f t="shared" ca="1" si="328"/>
        <v>#VALUE!</v>
      </c>
      <c r="AE152" s="213" t="e">
        <f t="shared" ca="1" si="328"/>
        <v>#VALUE!</v>
      </c>
    </row>
    <row r="153" spans="1:32" ht="12.75" hidden="1" customHeight="1" x14ac:dyDescent="0.2">
      <c r="D153" s="566"/>
      <c r="E153" s="201">
        <f ca="1">IF(ISERROR(E152),IF(1+COUNTIF($L$13:OFFSET(L152,-1,0),1)&lt;=MAX(QCI!$D$13:$D$24),1+COUNTIF($L$13:OFFSET(L152,-1,0),1),-1),0)</f>
        <v>-1</v>
      </c>
      <c r="F153" s="201" t="str">
        <f t="shared" ref="F153" ca="1" si="329">IF(AND($E153&lt;&gt;-1,$R152&gt;0),"F","")</f>
        <v/>
      </c>
      <c r="G153" s="214" t="str">
        <f ca="1">IF(OR(R152=0,R152=""),"vazia",IF(AND(OR(ACOMPANHAMENTO="PLE",$Q152&lt;&gt;2),$E153=0),"calculada","--&gt;"))</f>
        <v>vazia</v>
      </c>
      <c r="H153" s="215"/>
      <c r="I153" s="216" t="str">
        <f t="shared" ref="I153" ca="1" si="330">IF(AND(G152&lt;&gt;0,ISNUMBER(G152)),"PREENCHA ESTA LINHA --&gt;","")</f>
        <v/>
      </c>
      <c r="J153" s="216"/>
      <c r="K153" s="216"/>
      <c r="L153" s="217"/>
      <c r="M153" s="217"/>
      <c r="N153" s="217"/>
      <c r="O153" s="217"/>
      <c r="P153" s="217"/>
      <c r="Q153" s="217"/>
      <c r="R153" s="218"/>
      <c r="S153" s="219"/>
      <c r="T153" s="567"/>
      <c r="U153" s="566"/>
      <c r="V153" s="566"/>
      <c r="W153" s="566"/>
      <c r="X153" s="566"/>
      <c r="Y153" s="566"/>
      <c r="Z153" s="566"/>
      <c r="AA153" s="566"/>
      <c r="AB153" s="566"/>
      <c r="AC153" s="566"/>
      <c r="AD153" s="566"/>
      <c r="AE153" s="568"/>
      <c r="AF153" s="530"/>
    </row>
    <row r="154" spans="1:32" ht="0.2" hidden="1" customHeight="1" x14ac:dyDescent="0.2">
      <c r="D154" s="220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$120,"="&amp;CRONO!D$12,CÁLCULO!$AB$15:$AL$120)/(ORÇAMENTO!$X$15-CÁLCULO.TotalAdmLocal)*CRONO!$E154,0),D153*$R152),SUMIF(OFFSET($R154,1,0,$Q152-2),($L152+1)&amp;"$",OFFSET(D154,1,0,$Q152-2)))</f>
        <v>0</v>
      </c>
      <c r="E154" s="201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21"/>
      <c r="R154" s="222" t="str">
        <f t="shared" ref="R154" ca="1" si="331">L152&amp;"$"</f>
        <v>1$</v>
      </c>
      <c r="S154" s="223"/>
      <c r="T154" s="224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$120,"&lt;="&amp;CRONO!T$12,CÁLCULO!$AB$15:$AL$120)/(ORÇAMENTO!$X$15-CÁLCULO.TotalAdmLocal)*CRONO!$E154,0),T153*$R152),SUMIF(OFFSET($R154,1,0,$Q152-2),($L152+1)&amp;"$",OFFSET(T154,1,0,$Q152-2)))</f>
        <v>0</v>
      </c>
      <c r="U154" s="220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$120,"="&amp;CRONO!U$12,CÁLCULO!$AB$15:$AL$120)/(ORÇAMENTO!$X$15-CÁLCULO.TotalAdmLocal)*CRONO!$E154,0),U153*$R152),SUMIF(OFFSET($R154,1,0,$Q152-2),($L152+1)&amp;"$",OFFSET(U154,1,0,$Q152-2)))</f>
        <v>0</v>
      </c>
      <c r="V154" s="220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$120,"="&amp;CRONO!V$12,CÁLCULO!$AB$15:$AL$120)/(ORÇAMENTO!$X$15-CÁLCULO.TotalAdmLocal)*CRONO!$E154,0),V153*$R152),SUMIF(OFFSET($R154,1,0,$Q152-2),($L152+1)&amp;"$",OFFSET(V154,1,0,$Q152-2)))</f>
        <v>0</v>
      </c>
      <c r="W154" s="220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$120,"="&amp;CRONO!W$12,CÁLCULO!$AB$15:$AL$120)/(ORÇAMENTO!$X$15-CÁLCULO.TotalAdmLocal)*CRONO!$E154,0),W153*$R152),SUMIF(OFFSET($R154,1,0,$Q152-2),($L152+1)&amp;"$",OFFSET(W154,1,0,$Q152-2)))</f>
        <v>0</v>
      </c>
      <c r="X154" s="220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$120,"="&amp;CRONO!X$12,CÁLCULO!$AB$15:$AL$120)/(ORÇAMENTO!$X$15-CÁLCULO.TotalAdmLocal)*CRONO!$E154,0),X153*$R152),SUMIF(OFFSET($R154,1,0,$Q152-2),($L152+1)&amp;"$",OFFSET(X154,1,0,$Q152-2)))</f>
        <v>0</v>
      </c>
      <c r="Y154" s="220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$120,"="&amp;CRONO!Y$12,CÁLCULO!$AB$15:$AL$120)/(ORÇAMENTO!$X$15-CÁLCULO.TotalAdmLocal)*CRONO!$E154,0),Y153*$R152),SUMIF(OFFSET($R154,1,0,$Q152-2),($L152+1)&amp;"$",OFFSET(Y154,1,0,$Q152-2)))</f>
        <v>0</v>
      </c>
      <c r="Z154" s="220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$120,"="&amp;CRONO!Z$12,CÁLCULO!$AB$15:$AL$120)/(ORÇAMENTO!$X$15-CÁLCULO.TotalAdmLocal)*CRONO!$E154,0),Z153*$R152),SUMIF(OFFSET($R154,1,0,$Q152-2),($L152+1)&amp;"$",OFFSET(Z154,1,0,$Q152-2)))</f>
        <v>0</v>
      </c>
      <c r="AA154" s="220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$120,"="&amp;CRONO!AA$12,CÁLCULO!$AB$15:$AL$120)/(ORÇAMENTO!$X$15-CÁLCULO.TotalAdmLocal)*CRONO!$E154,0),AA153*$R152),SUMIF(OFFSET($R154,1,0,$Q152-2),($L152+1)&amp;"$",OFFSET(AA154,1,0,$Q152-2)))</f>
        <v>0</v>
      </c>
      <c r="AB154" s="220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$120,"="&amp;CRONO!AB$12,CÁLCULO!$AB$15:$AL$120)/(ORÇAMENTO!$X$15-CÁLCULO.TotalAdmLocal)*CRONO!$E154,0),AB153*$R152),SUMIF(OFFSET($R154,1,0,$Q152-2),($L152+1)&amp;"$",OFFSET(AB154,1,0,$Q152-2)))</f>
        <v>0</v>
      </c>
      <c r="AC154" s="220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$120,"="&amp;CRONO!AC$12,CÁLCULO!$AB$15:$AL$120)/(ORÇAMENTO!$X$15-CÁLCULO.TotalAdmLocal)*CRONO!$E154,0),AC153*$R152),SUMIF(OFFSET($R154,1,0,$Q152-2),($L152+1)&amp;"$",OFFSET(AC154,1,0,$Q152-2)))</f>
        <v>0</v>
      </c>
      <c r="AD154" s="220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$120,"="&amp;CRONO!AD$12,CÁLCULO!$AB$15:$AL$120)/(ORÇAMENTO!$X$15-CÁLCULO.TotalAdmLocal)*CRONO!$E154,0),AD153*$R152),SUMIF(OFFSET($R154,1,0,$Q152-2),($L152+1)&amp;"$",OFFSET(AD154,1,0,$Q152-2)))</f>
        <v>0</v>
      </c>
      <c r="AE154" s="225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$120,"="&amp;CRONO!AE$12,CÁLCULO!$AB$15:$AL$120)/(ORÇAMENTO!$X$15-CÁLCULO.TotalAdmLocal)*CRONO!$E154,0),AE153*$R152),SUMIF(OFFSET($R154,1,0,$Q152-2),($L152+1)&amp;"$",OFFSET(AE154,1,0,$Q152-2)))</f>
        <v>0</v>
      </c>
    </row>
    <row r="155" spans="1:32" hidden="1" x14ac:dyDescent="0.2">
      <c r="A155" s="201">
        <f t="shared" ref="A155" ca="1" si="332">OFFSET(A155,-3,0)+1</f>
        <v>48</v>
      </c>
      <c r="B155" s="201">
        <f ca="1">IF($Q155&lt;&gt;2,0,IF($R155=0,1,IF(E156&gt;0,OFFSET(QCI!$M$13,SUBSTITUTE(E156,".",""),0),OFFSET(ORÇAMENTO!$AA$15,CRONO!$E155,0))/$R155))</f>
        <v>0</v>
      </c>
      <c r="C155" s="201">
        <f ca="1">IF($Q155&lt;&gt;2,0,IF($R155=0,1,IF(E156&gt;0,OFFSET(QCI!$N$13,SUBSTITUTE(E156,".",""),0),OFFSET(ORÇAMENTO!$AB$15,CRONO!$E155,0))/$R155))</f>
        <v>0</v>
      </c>
      <c r="D155" s="204" t="e">
        <f ca="1">IF(AND($Q155=2,ACOMPANHAMENTO="BM"),D156,D157/$R155)</f>
        <v>#VALUE!</v>
      </c>
      <c r="E155" s="201" t="e">
        <f ca="1">IF(A155&lt;=ORÇAMENTO.MáximoListaCrono,MATCH(A155,ORÇAMENTO.ListaCrono,0),NA())</f>
        <v>#N/A</v>
      </c>
      <c r="F155" s="201" t="str">
        <f t="shared" ref="F155" ca="1" si="333">IF(AND($E156&lt;&gt;-1,$R155&gt;0),"F","")</f>
        <v/>
      </c>
      <c r="G155" s="205" t="str">
        <f ca="1">IF(OR(R155=0,R155=""),"Linha",IF(AND(OR(ACOMPANHAMENTO="PLE",$Q155&lt;&gt;2),$E156=0),"Linha",1-SUM(T155:AF155)))</f>
        <v>Linha</v>
      </c>
      <c r="H155" s="206" t="str">
        <f ca="1">IF($E156=0,OFFSET(ORÇAMENTO!O$15,$E155,0),IF($E156&lt;&gt;-1,OFFSET(QCI!$D$13,$E156,0),""))</f>
        <v/>
      </c>
      <c r="I155" s="207" t="str">
        <f ca="1">IF($E156=0,OFFSET(ORÇAMENTO!R$15,$E155,0),IF($E156&lt;&gt;-1,OFFSET(QCI!$G$13,$E156,0),""))</f>
        <v/>
      </c>
      <c r="J155" s="207"/>
      <c r="K155" s="207"/>
      <c r="L155" s="208">
        <f ca="1">IF($E156=0,OFFSET(ORÇAMENTO!C$15,$E155,0),1)</f>
        <v>1</v>
      </c>
      <c r="M155" s="209">
        <f ca="1">IF($E156=-1,0,IF(M$13&lt;=$L155,IF(ISERROR(MATCH(M$13,OFFSET($L155,1,0,ROW($L$164)-ROW($L155)-1),0)),ROW($L$164)-ROW($L155)-1,MATCH(M$13,OFFSET($L155,1,0,ROW($L$164)-ROW($L155)-1),0)-1),0))</f>
        <v>0</v>
      </c>
      <c r="N155" s="209">
        <f ca="1">IF($E156=-1,0,IF(N$13&lt;=$L155,IF(ISERROR(MATCH(N$13,OFFSET($L155,1,0,ROW($L$164)-ROW($L155)-1),0)),ROW($L$164)-ROW($L155)-1,MATCH(N$13,OFFSET($L155,1,0,ROW($L$164)-ROW($L155)-1),0)-1),0))</f>
        <v>0</v>
      </c>
      <c r="O155" s="209">
        <f ca="1">IF($E156=-1,0,IF(O$13&lt;=$L155,IF(ISERROR(MATCH(O$13,OFFSET($L155,1,0,ROW($L$164)-ROW($L155)-1),0)),ROW($L$164)-ROW($L155)-1,MATCH(O$13,OFFSET($L155,1,0,ROW($L$164)-ROW($L155)-1),0)-1),0))</f>
        <v>0</v>
      </c>
      <c r="P155" s="209">
        <f ca="1">IF($E156=-1,0,IF(P$13&lt;=$L155,IF(ISERROR(MATCH(P$13,OFFSET($L155,1,0,ROW($L$164)-ROW($L155)-1),0)),ROW($L$164)-ROW($L155)-1,MATCH(P$13,OFFSET($L155,1,0,ROW($L$164)-ROW($L155)-1),0)-1),0))</f>
        <v>0</v>
      </c>
      <c r="Q155" s="209">
        <f t="shared" ref="Q155" ca="1" si="334">MIN(OFFSET(L155,0,1,,L155))</f>
        <v>0</v>
      </c>
      <c r="R155" s="210" t="str">
        <f ca="1">IF($E156=0,OFFSET(ORÇAMENTO!X$15,$E155,0),IF($E156&lt;&gt;-1,OFFSET(QCI!$O$13,$E156,0),""))</f>
        <v/>
      </c>
      <c r="S155" s="211" t="s">
        <v>270</v>
      </c>
      <c r="T155" s="212" t="e">
        <f t="shared" ref="T155:AE155" ca="1" si="335">IF(AND($Q155=2,ACOMPANHAMENTO="BM"),T156,T157/$R155)</f>
        <v>#VALUE!</v>
      </c>
      <c r="U155" s="204" t="e">
        <f t="shared" ca="1" si="335"/>
        <v>#VALUE!</v>
      </c>
      <c r="V155" s="204" t="e">
        <f t="shared" ca="1" si="335"/>
        <v>#VALUE!</v>
      </c>
      <c r="W155" s="204" t="e">
        <f t="shared" ca="1" si="335"/>
        <v>#VALUE!</v>
      </c>
      <c r="X155" s="204" t="e">
        <f t="shared" ca="1" si="335"/>
        <v>#VALUE!</v>
      </c>
      <c r="Y155" s="204" t="e">
        <f t="shared" ca="1" si="335"/>
        <v>#VALUE!</v>
      </c>
      <c r="Z155" s="204" t="e">
        <f t="shared" ca="1" si="335"/>
        <v>#VALUE!</v>
      </c>
      <c r="AA155" s="204" t="e">
        <f t="shared" ca="1" si="335"/>
        <v>#VALUE!</v>
      </c>
      <c r="AB155" s="204" t="e">
        <f t="shared" ca="1" si="335"/>
        <v>#VALUE!</v>
      </c>
      <c r="AC155" s="204" t="e">
        <f t="shared" ca="1" si="335"/>
        <v>#VALUE!</v>
      </c>
      <c r="AD155" s="204" t="e">
        <f t="shared" ca="1" si="335"/>
        <v>#VALUE!</v>
      </c>
      <c r="AE155" s="213" t="e">
        <f t="shared" ca="1" si="335"/>
        <v>#VALUE!</v>
      </c>
    </row>
    <row r="156" spans="1:32" ht="12.75" hidden="1" customHeight="1" x14ac:dyDescent="0.2">
      <c r="D156" s="566"/>
      <c r="E156" s="201">
        <f ca="1">IF(ISERROR(E155),IF(1+COUNTIF($L$13:OFFSET(L155,-1,0),1)&lt;=MAX(QCI!$D$13:$D$24),1+COUNTIF($L$13:OFFSET(L155,-1,0),1),-1),0)</f>
        <v>-1</v>
      </c>
      <c r="F156" s="201" t="str">
        <f t="shared" ref="F156" ca="1" si="336">IF(AND($E156&lt;&gt;-1,$R155&gt;0),"F","")</f>
        <v/>
      </c>
      <c r="G156" s="214" t="str">
        <f ca="1">IF(OR(R155=0,R155=""),"vazia",IF(AND(OR(ACOMPANHAMENTO="PLE",$Q155&lt;&gt;2),$E156=0),"calculada","--&gt;"))</f>
        <v>vazia</v>
      </c>
      <c r="H156" s="215"/>
      <c r="I156" s="216" t="str">
        <f t="shared" ref="I156" ca="1" si="337">IF(AND(G155&lt;&gt;0,ISNUMBER(G155)),"PREENCHA ESTA LINHA --&gt;","")</f>
        <v/>
      </c>
      <c r="J156" s="216"/>
      <c r="K156" s="216"/>
      <c r="L156" s="217"/>
      <c r="M156" s="217"/>
      <c r="N156" s="217"/>
      <c r="O156" s="217"/>
      <c r="P156" s="217"/>
      <c r="Q156" s="217"/>
      <c r="R156" s="218"/>
      <c r="S156" s="219"/>
      <c r="T156" s="567"/>
      <c r="U156" s="566"/>
      <c r="V156" s="566"/>
      <c r="W156" s="566"/>
      <c r="X156" s="566"/>
      <c r="Y156" s="566"/>
      <c r="Z156" s="566"/>
      <c r="AA156" s="566"/>
      <c r="AB156" s="566"/>
      <c r="AC156" s="566"/>
      <c r="AD156" s="566"/>
      <c r="AE156" s="568"/>
      <c r="AF156" s="530"/>
    </row>
    <row r="157" spans="1:32" ht="0.2" hidden="1" customHeight="1" x14ac:dyDescent="0.2">
      <c r="D157" s="220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$120,"="&amp;CRONO!D$12,CÁLCULO!$AB$15:$AL$120)/(ORÇAMENTO!$X$15-CÁLCULO.TotalAdmLocal)*CRONO!$E157,0),D156*$R155),SUMIF(OFFSET($R157,1,0,$Q155-2),($L155+1)&amp;"$",OFFSET(D157,1,0,$Q155-2)))</f>
        <v>0</v>
      </c>
      <c r="E157" s="201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21"/>
      <c r="R157" s="222" t="str">
        <f t="shared" ref="R157" ca="1" si="338">L155&amp;"$"</f>
        <v>1$</v>
      </c>
      <c r="S157" s="223"/>
      <c r="T157" s="224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$120,"&lt;="&amp;CRONO!T$12,CÁLCULO!$AB$15:$AL$120)/(ORÇAMENTO!$X$15-CÁLCULO.TotalAdmLocal)*CRONO!$E157,0),T156*$R155),SUMIF(OFFSET($R157,1,0,$Q155-2),($L155+1)&amp;"$",OFFSET(T157,1,0,$Q155-2)))</f>
        <v>0</v>
      </c>
      <c r="U157" s="220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$120,"="&amp;CRONO!U$12,CÁLCULO!$AB$15:$AL$120)/(ORÇAMENTO!$X$15-CÁLCULO.TotalAdmLocal)*CRONO!$E157,0),U156*$R155),SUMIF(OFFSET($R157,1,0,$Q155-2),($L155+1)&amp;"$",OFFSET(U157,1,0,$Q155-2)))</f>
        <v>0</v>
      </c>
      <c r="V157" s="220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$120,"="&amp;CRONO!V$12,CÁLCULO!$AB$15:$AL$120)/(ORÇAMENTO!$X$15-CÁLCULO.TotalAdmLocal)*CRONO!$E157,0),V156*$R155),SUMIF(OFFSET($R157,1,0,$Q155-2),($L155+1)&amp;"$",OFFSET(V157,1,0,$Q155-2)))</f>
        <v>0</v>
      </c>
      <c r="W157" s="220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$120,"="&amp;CRONO!W$12,CÁLCULO!$AB$15:$AL$120)/(ORÇAMENTO!$X$15-CÁLCULO.TotalAdmLocal)*CRONO!$E157,0),W156*$R155),SUMIF(OFFSET($R157,1,0,$Q155-2),($L155+1)&amp;"$",OFFSET(W157,1,0,$Q155-2)))</f>
        <v>0</v>
      </c>
      <c r="X157" s="220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$120,"="&amp;CRONO!X$12,CÁLCULO!$AB$15:$AL$120)/(ORÇAMENTO!$X$15-CÁLCULO.TotalAdmLocal)*CRONO!$E157,0),X156*$R155),SUMIF(OFFSET($R157,1,0,$Q155-2),($L155+1)&amp;"$",OFFSET(X157,1,0,$Q155-2)))</f>
        <v>0</v>
      </c>
      <c r="Y157" s="220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$120,"="&amp;CRONO!Y$12,CÁLCULO!$AB$15:$AL$120)/(ORÇAMENTO!$X$15-CÁLCULO.TotalAdmLocal)*CRONO!$E157,0),Y156*$R155),SUMIF(OFFSET($R157,1,0,$Q155-2),($L155+1)&amp;"$",OFFSET(Y157,1,0,$Q155-2)))</f>
        <v>0</v>
      </c>
      <c r="Z157" s="220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$120,"="&amp;CRONO!Z$12,CÁLCULO!$AB$15:$AL$120)/(ORÇAMENTO!$X$15-CÁLCULO.TotalAdmLocal)*CRONO!$E157,0),Z156*$R155),SUMIF(OFFSET($R157,1,0,$Q155-2),($L155+1)&amp;"$",OFFSET(Z157,1,0,$Q155-2)))</f>
        <v>0</v>
      </c>
      <c r="AA157" s="220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$120,"="&amp;CRONO!AA$12,CÁLCULO!$AB$15:$AL$120)/(ORÇAMENTO!$X$15-CÁLCULO.TotalAdmLocal)*CRONO!$E157,0),AA156*$R155),SUMIF(OFFSET($R157,1,0,$Q155-2),($L155+1)&amp;"$",OFFSET(AA157,1,0,$Q155-2)))</f>
        <v>0</v>
      </c>
      <c r="AB157" s="220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$120,"="&amp;CRONO!AB$12,CÁLCULO!$AB$15:$AL$120)/(ORÇAMENTO!$X$15-CÁLCULO.TotalAdmLocal)*CRONO!$E157,0),AB156*$R155),SUMIF(OFFSET($R157,1,0,$Q155-2),($L155+1)&amp;"$",OFFSET(AB157,1,0,$Q155-2)))</f>
        <v>0</v>
      </c>
      <c r="AC157" s="220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$120,"="&amp;CRONO!AC$12,CÁLCULO!$AB$15:$AL$120)/(ORÇAMENTO!$X$15-CÁLCULO.TotalAdmLocal)*CRONO!$E157,0),AC156*$R155),SUMIF(OFFSET($R157,1,0,$Q155-2),($L155+1)&amp;"$",OFFSET(AC157,1,0,$Q155-2)))</f>
        <v>0</v>
      </c>
      <c r="AD157" s="220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$120,"="&amp;CRONO!AD$12,CÁLCULO!$AB$15:$AL$120)/(ORÇAMENTO!$X$15-CÁLCULO.TotalAdmLocal)*CRONO!$E157,0),AD156*$R155),SUMIF(OFFSET($R157,1,0,$Q155-2),($L155+1)&amp;"$",OFFSET(AD157,1,0,$Q155-2)))</f>
        <v>0</v>
      </c>
      <c r="AE157" s="225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$120,"="&amp;CRONO!AE$12,CÁLCULO!$AB$15:$AL$120)/(ORÇAMENTO!$X$15-CÁLCULO.TotalAdmLocal)*CRONO!$E157,0),AE156*$R155),SUMIF(OFFSET($R157,1,0,$Q155-2),($L155+1)&amp;"$",OFFSET(AE157,1,0,$Q155-2)))</f>
        <v>0</v>
      </c>
    </row>
    <row r="158" spans="1:32" hidden="1" x14ac:dyDescent="0.2">
      <c r="A158" s="201">
        <f t="shared" ref="A158" ca="1" si="339">OFFSET(A158,-3,0)+1</f>
        <v>49</v>
      </c>
      <c r="B158" s="201">
        <f ca="1">IF($Q158&lt;&gt;2,0,IF($R158=0,1,IF(E159&gt;0,OFFSET(QCI!$M$13,SUBSTITUTE(E159,".",""),0),OFFSET(ORÇAMENTO!$AA$15,CRONO!$E158,0))/$R158))</f>
        <v>0</v>
      </c>
      <c r="C158" s="201">
        <f ca="1">IF($Q158&lt;&gt;2,0,IF($R158=0,1,IF(E159&gt;0,OFFSET(QCI!$N$13,SUBSTITUTE(E159,".",""),0),OFFSET(ORÇAMENTO!$AB$15,CRONO!$E158,0))/$R158))</f>
        <v>0</v>
      </c>
      <c r="D158" s="204" t="e">
        <f ca="1">IF(AND($Q158=2,ACOMPANHAMENTO="BM"),D159,D160/$R158)</f>
        <v>#VALUE!</v>
      </c>
      <c r="E158" s="201" t="e">
        <f ca="1">IF(A158&lt;=ORÇAMENTO.MáximoListaCrono,MATCH(A158,ORÇAMENTO.ListaCrono,0),NA())</f>
        <v>#N/A</v>
      </c>
      <c r="F158" s="201" t="str">
        <f t="shared" ref="F158" ca="1" si="340">IF(AND($E159&lt;&gt;-1,$R158&gt;0),"F","")</f>
        <v/>
      </c>
      <c r="G158" s="205" t="str">
        <f ca="1">IF(OR(R158=0,R158=""),"Linha",IF(AND(OR(ACOMPANHAMENTO="PLE",$Q158&lt;&gt;2),$E159=0),"Linha",1-SUM(T158:AF158)))</f>
        <v>Linha</v>
      </c>
      <c r="H158" s="206" t="str">
        <f ca="1">IF($E159=0,OFFSET(ORÇAMENTO!O$15,$E158,0),IF($E159&lt;&gt;-1,OFFSET(QCI!$D$13,$E159,0),""))</f>
        <v/>
      </c>
      <c r="I158" s="207" t="str">
        <f ca="1">IF($E159=0,OFFSET(ORÇAMENTO!R$15,$E158,0),IF($E159&lt;&gt;-1,OFFSET(QCI!$G$13,$E159,0),""))</f>
        <v/>
      </c>
      <c r="J158" s="207"/>
      <c r="K158" s="207"/>
      <c r="L158" s="208">
        <f ca="1">IF($E159=0,OFFSET(ORÇAMENTO!C$15,$E158,0),1)</f>
        <v>1</v>
      </c>
      <c r="M158" s="209">
        <f t="shared" ref="M158" ca="1" si="341">IF($E159=-1,0,IF(M$13&lt;=$L158,IF(ISERROR(MATCH(M$13,OFFSET($L158,1,0,ROW($L$164)-ROW($L158)-1),0)),ROW($L$164)-ROW($L158)-1,MATCH(M$13,OFFSET($L158,1,0,ROW($L$164)-ROW($L158)-1),0)-1),0))</f>
        <v>0</v>
      </c>
      <c r="N158" s="209">
        <f t="shared" ref="N158" ca="1" si="342">IF($E159=-1,0,IF(N$13&lt;=$L158,IF(ISERROR(MATCH(N$13,OFFSET($L158,1,0,ROW($L$164)-ROW($L158)-1),0)),ROW($L$164)-ROW($L158)-1,MATCH(N$13,OFFSET($L158,1,0,ROW($L$164)-ROW($L158)-1),0)-1),0))</f>
        <v>0</v>
      </c>
      <c r="O158" s="209">
        <f t="shared" ref="O158" ca="1" si="343">IF($E159=-1,0,IF(O$13&lt;=$L158,IF(ISERROR(MATCH(O$13,OFFSET($L158,1,0,ROW($L$164)-ROW($L158)-1),0)),ROW($L$164)-ROW($L158)-1,MATCH(O$13,OFFSET($L158,1,0,ROW($L$164)-ROW($L158)-1),0)-1),0))</f>
        <v>0</v>
      </c>
      <c r="P158" s="209">
        <f t="shared" ref="P158" ca="1" si="344">IF($E159=-1,0,IF(P$13&lt;=$L158,IF(ISERROR(MATCH(P$13,OFFSET($L158,1,0,ROW($L$164)-ROW($L158)-1),0)),ROW($L$164)-ROW($L158)-1,MATCH(P$13,OFFSET($L158,1,0,ROW($L$164)-ROW($L158)-1),0)-1),0))</f>
        <v>0</v>
      </c>
      <c r="Q158" s="209">
        <f t="shared" ref="Q158" ca="1" si="345">MIN(OFFSET(L158,0,1,,L158))</f>
        <v>0</v>
      </c>
      <c r="R158" s="210" t="str">
        <f ca="1">IF($E159=0,OFFSET(ORÇAMENTO!X$15,$E158,0),IF($E159&lt;&gt;-1,OFFSET(QCI!$O$13,$E159,0),""))</f>
        <v/>
      </c>
      <c r="S158" s="211" t="s">
        <v>270</v>
      </c>
      <c r="T158" s="212" t="e">
        <f t="shared" ref="T158:AE158" ca="1" si="346">IF(AND($Q158=2,ACOMPANHAMENTO="BM"),T159,T160/$R158)</f>
        <v>#VALUE!</v>
      </c>
      <c r="U158" s="204" t="e">
        <f t="shared" ca="1" si="346"/>
        <v>#VALUE!</v>
      </c>
      <c r="V158" s="204" t="e">
        <f t="shared" ca="1" si="346"/>
        <v>#VALUE!</v>
      </c>
      <c r="W158" s="204" t="e">
        <f t="shared" ca="1" si="346"/>
        <v>#VALUE!</v>
      </c>
      <c r="X158" s="204" t="e">
        <f t="shared" ca="1" si="346"/>
        <v>#VALUE!</v>
      </c>
      <c r="Y158" s="204" t="e">
        <f t="shared" ca="1" si="346"/>
        <v>#VALUE!</v>
      </c>
      <c r="Z158" s="204" t="e">
        <f t="shared" ca="1" si="346"/>
        <v>#VALUE!</v>
      </c>
      <c r="AA158" s="204" t="e">
        <f t="shared" ca="1" si="346"/>
        <v>#VALUE!</v>
      </c>
      <c r="AB158" s="204" t="e">
        <f t="shared" ca="1" si="346"/>
        <v>#VALUE!</v>
      </c>
      <c r="AC158" s="204" t="e">
        <f t="shared" ca="1" si="346"/>
        <v>#VALUE!</v>
      </c>
      <c r="AD158" s="204" t="e">
        <f t="shared" ca="1" si="346"/>
        <v>#VALUE!</v>
      </c>
      <c r="AE158" s="213" t="e">
        <f t="shared" ca="1" si="346"/>
        <v>#VALUE!</v>
      </c>
    </row>
    <row r="159" spans="1:32" ht="12.75" hidden="1" customHeight="1" x14ac:dyDescent="0.2">
      <c r="D159" s="566"/>
      <c r="E159" s="201">
        <f ca="1">IF(ISERROR(E158),IF(1+COUNTIF($L$13:OFFSET(L158,-1,0),1)&lt;=MAX(QCI!$D$13:$D$24),1+COUNTIF($L$13:OFFSET(L158,-1,0),1),-1),0)</f>
        <v>-1</v>
      </c>
      <c r="F159" s="201" t="str">
        <f t="shared" ref="F159" ca="1" si="347">IF(AND($E159&lt;&gt;-1,$R158&gt;0),"F","")</f>
        <v/>
      </c>
      <c r="G159" s="214" t="str">
        <f ca="1">IF(OR(R158=0,R158=""),"vazia",IF(AND(OR(ACOMPANHAMENTO="PLE",$Q158&lt;&gt;2),$E159=0),"calculada","--&gt;"))</f>
        <v>vazia</v>
      </c>
      <c r="H159" s="215"/>
      <c r="I159" s="216" t="str">
        <f t="shared" ref="I159" ca="1" si="348">IF(AND(G158&lt;&gt;0,ISNUMBER(G158)),"PREENCHA ESTA LINHA --&gt;","")</f>
        <v/>
      </c>
      <c r="J159" s="216"/>
      <c r="K159" s="216"/>
      <c r="L159" s="217"/>
      <c r="M159" s="217"/>
      <c r="N159" s="217"/>
      <c r="O159" s="217"/>
      <c r="P159" s="217"/>
      <c r="Q159" s="217"/>
      <c r="R159" s="218"/>
      <c r="S159" s="219"/>
      <c r="T159" s="567"/>
      <c r="U159" s="566"/>
      <c r="V159" s="566"/>
      <c r="W159" s="566"/>
      <c r="X159" s="566"/>
      <c r="Y159" s="566"/>
      <c r="Z159" s="566"/>
      <c r="AA159" s="566"/>
      <c r="AB159" s="566"/>
      <c r="AC159" s="566"/>
      <c r="AD159" s="566"/>
      <c r="AE159" s="568"/>
      <c r="AF159" s="530"/>
    </row>
    <row r="160" spans="1:32" ht="0.2" hidden="1" customHeight="1" x14ac:dyDescent="0.2">
      <c r="D160" s="220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$120,"="&amp;CRONO!D$12,CÁLCULO!$AB$15:$AL$120)/(ORÇAMENTO!$X$15-CÁLCULO.TotalAdmLocal)*CRONO!$E160,0),D159*$R158),SUMIF(OFFSET($R160,1,0,$Q158-2),($L158+1)&amp;"$",OFFSET(D160,1,0,$Q158-2)))</f>
        <v>0</v>
      </c>
      <c r="E160" s="201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21"/>
      <c r="R160" s="222" t="str">
        <f t="shared" ref="R160" ca="1" si="349">L158&amp;"$"</f>
        <v>1$</v>
      </c>
      <c r="S160" s="223"/>
      <c r="T160" s="224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$120,"&lt;="&amp;CRONO!T$12,CÁLCULO!$AB$15:$AL$120)/(ORÇAMENTO!$X$15-CÁLCULO.TotalAdmLocal)*CRONO!$E160,0),T159*$R158),SUMIF(OFFSET($R160,1,0,$Q158-2),($L158+1)&amp;"$",OFFSET(T160,1,0,$Q158-2)))</f>
        <v>0</v>
      </c>
      <c r="U160" s="220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$120,"="&amp;CRONO!U$12,CÁLCULO!$AB$15:$AL$120)/(ORÇAMENTO!$X$15-CÁLCULO.TotalAdmLocal)*CRONO!$E160,0),U159*$R158),SUMIF(OFFSET($R160,1,0,$Q158-2),($L158+1)&amp;"$",OFFSET(U160,1,0,$Q158-2)))</f>
        <v>0</v>
      </c>
      <c r="V160" s="220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$120,"="&amp;CRONO!V$12,CÁLCULO!$AB$15:$AL$120)/(ORÇAMENTO!$X$15-CÁLCULO.TotalAdmLocal)*CRONO!$E160,0),V159*$R158),SUMIF(OFFSET($R160,1,0,$Q158-2),($L158+1)&amp;"$",OFFSET(V160,1,0,$Q158-2)))</f>
        <v>0</v>
      </c>
      <c r="W160" s="220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$120,"="&amp;CRONO!W$12,CÁLCULO!$AB$15:$AL$120)/(ORÇAMENTO!$X$15-CÁLCULO.TotalAdmLocal)*CRONO!$E160,0),W159*$R158),SUMIF(OFFSET($R160,1,0,$Q158-2),($L158+1)&amp;"$",OFFSET(W160,1,0,$Q158-2)))</f>
        <v>0</v>
      </c>
      <c r="X160" s="220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$120,"="&amp;CRONO!X$12,CÁLCULO!$AB$15:$AL$120)/(ORÇAMENTO!$X$15-CÁLCULO.TotalAdmLocal)*CRONO!$E160,0),X159*$R158),SUMIF(OFFSET($R160,1,0,$Q158-2),($L158+1)&amp;"$",OFFSET(X160,1,0,$Q158-2)))</f>
        <v>0</v>
      </c>
      <c r="Y160" s="220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$120,"="&amp;CRONO!Y$12,CÁLCULO!$AB$15:$AL$120)/(ORÇAMENTO!$X$15-CÁLCULO.TotalAdmLocal)*CRONO!$E160,0),Y159*$R158),SUMIF(OFFSET($R160,1,0,$Q158-2),($L158+1)&amp;"$",OFFSET(Y160,1,0,$Q158-2)))</f>
        <v>0</v>
      </c>
      <c r="Z160" s="220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$120,"="&amp;CRONO!Z$12,CÁLCULO!$AB$15:$AL$120)/(ORÇAMENTO!$X$15-CÁLCULO.TotalAdmLocal)*CRONO!$E160,0),Z159*$R158),SUMIF(OFFSET($R160,1,0,$Q158-2),($L158+1)&amp;"$",OFFSET(Z160,1,0,$Q158-2)))</f>
        <v>0</v>
      </c>
      <c r="AA160" s="220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$120,"="&amp;CRONO!AA$12,CÁLCULO!$AB$15:$AL$120)/(ORÇAMENTO!$X$15-CÁLCULO.TotalAdmLocal)*CRONO!$E160,0),AA159*$R158),SUMIF(OFFSET($R160,1,0,$Q158-2),($L158+1)&amp;"$",OFFSET(AA160,1,0,$Q158-2)))</f>
        <v>0</v>
      </c>
      <c r="AB160" s="220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$120,"="&amp;CRONO!AB$12,CÁLCULO!$AB$15:$AL$120)/(ORÇAMENTO!$X$15-CÁLCULO.TotalAdmLocal)*CRONO!$E160,0),AB159*$R158),SUMIF(OFFSET($R160,1,0,$Q158-2),($L158+1)&amp;"$",OFFSET(AB160,1,0,$Q158-2)))</f>
        <v>0</v>
      </c>
      <c r="AC160" s="220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$120,"="&amp;CRONO!AC$12,CÁLCULO!$AB$15:$AL$120)/(ORÇAMENTO!$X$15-CÁLCULO.TotalAdmLocal)*CRONO!$E160,0),AC159*$R158),SUMIF(OFFSET($R160,1,0,$Q158-2),($L158+1)&amp;"$",OFFSET(AC160,1,0,$Q158-2)))</f>
        <v>0</v>
      </c>
      <c r="AD160" s="220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$120,"="&amp;CRONO!AD$12,CÁLCULO!$AB$15:$AL$120)/(ORÇAMENTO!$X$15-CÁLCULO.TotalAdmLocal)*CRONO!$E160,0),AD159*$R158),SUMIF(OFFSET($R160,1,0,$Q158-2),($L158+1)&amp;"$",OFFSET(AD160,1,0,$Q158-2)))</f>
        <v>0</v>
      </c>
      <c r="AE160" s="225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$120,"="&amp;CRONO!AE$12,CÁLCULO!$AB$15:$AL$120)/(ORÇAMENTO!$X$15-CÁLCULO.TotalAdmLocal)*CRONO!$E160,0),AE159*$R158),SUMIF(OFFSET($R160,1,0,$Q158-2),($L158+1)&amp;"$",OFFSET(AE160,1,0,$Q158-2)))</f>
        <v>0</v>
      </c>
    </row>
    <row r="161" spans="1:32" hidden="1" x14ac:dyDescent="0.2">
      <c r="A161" s="201">
        <f t="shared" ref="A161" ca="1" si="350">OFFSET(A161,-3,0)+1</f>
        <v>50</v>
      </c>
      <c r="B161" s="201">
        <f ca="1">IF($Q161&lt;&gt;2,0,IF($R161=0,1,IF(E162&gt;0,OFFSET(QCI!$M$13,SUBSTITUTE(E162,".",""),0),OFFSET(ORÇAMENTO!$AA$15,CRONO!$E161,0))/$R161))</f>
        <v>0</v>
      </c>
      <c r="C161" s="201">
        <f ca="1">IF($Q161&lt;&gt;2,0,IF($R161=0,1,IF(E162&gt;0,OFFSET(QCI!$N$13,SUBSTITUTE(E162,".",""),0),OFFSET(ORÇAMENTO!$AB$15,CRONO!$E161,0))/$R161))</f>
        <v>0</v>
      </c>
      <c r="D161" s="204" t="e">
        <f ca="1">IF(AND($Q161=2,ACOMPANHAMENTO="BM"),D162,D163/$R161)</f>
        <v>#VALUE!</v>
      </c>
      <c r="E161" s="201" t="e">
        <f ca="1">IF(A161&lt;=ORÇAMENTO.MáximoListaCrono,MATCH(A161,ORÇAMENTO.ListaCrono,0),NA())</f>
        <v>#N/A</v>
      </c>
      <c r="F161" s="201" t="str">
        <f t="shared" ref="F161" ca="1" si="351">IF(AND($E162&lt;&gt;-1,$R161&gt;0),"F","")</f>
        <v/>
      </c>
      <c r="G161" s="205" t="str">
        <f ca="1">IF(OR(R161=0,R161=""),"Linha",IF(AND(OR(ACOMPANHAMENTO="PLE",$Q161&lt;&gt;2),$E162=0),"Linha",1-SUM(T161:AF161)))</f>
        <v>Linha</v>
      </c>
      <c r="H161" s="206" t="str">
        <f ca="1">IF($E162=0,OFFSET(ORÇAMENTO!O$15,$E161,0),IF($E162&lt;&gt;-1,OFFSET(QCI!$D$13,$E162,0),""))</f>
        <v/>
      </c>
      <c r="I161" s="207" t="str">
        <f ca="1">IF($E162=0,OFFSET(ORÇAMENTO!R$15,$E161,0),IF($E162&lt;&gt;-1,OFFSET(QCI!$G$13,$E162,0),""))</f>
        <v/>
      </c>
      <c r="J161" s="207"/>
      <c r="K161" s="207"/>
      <c r="L161" s="208">
        <f ca="1">IF($E162=0,OFFSET(ORÇAMENTO!C$15,$E161,0),1)</f>
        <v>1</v>
      </c>
      <c r="M161" s="209">
        <f t="shared" ref="M161" ca="1" si="352">IF($E162=-1,0,IF(M$13&lt;=$L161,IF(ISERROR(MATCH(M$13,OFFSET($L161,1,0,ROW($L$164)-ROW($L161)-1),0)),ROW($L$164)-ROW($L161)-1,MATCH(M$13,OFFSET($L161,1,0,ROW($L$164)-ROW($L161)-1),0)-1),0))</f>
        <v>0</v>
      </c>
      <c r="N161" s="209">
        <f t="shared" ref="N161" ca="1" si="353">IF($E162=-1,0,IF(N$13&lt;=$L161,IF(ISERROR(MATCH(N$13,OFFSET($L161,1,0,ROW($L$164)-ROW($L161)-1),0)),ROW($L$164)-ROW($L161)-1,MATCH(N$13,OFFSET($L161,1,0,ROW($L$164)-ROW($L161)-1),0)-1),0))</f>
        <v>0</v>
      </c>
      <c r="O161" s="209">
        <f t="shared" ref="O161" ca="1" si="354">IF($E162=-1,0,IF(O$13&lt;=$L161,IF(ISERROR(MATCH(O$13,OFFSET($L161,1,0,ROW($L$164)-ROW($L161)-1),0)),ROW($L$164)-ROW($L161)-1,MATCH(O$13,OFFSET($L161,1,0,ROW($L$164)-ROW($L161)-1),0)-1),0))</f>
        <v>0</v>
      </c>
      <c r="P161" s="209">
        <f t="shared" ref="P161" ca="1" si="355">IF($E162=-1,0,IF(P$13&lt;=$L161,IF(ISERROR(MATCH(P$13,OFFSET($L161,1,0,ROW($L$164)-ROW($L161)-1),0)),ROW($L$164)-ROW($L161)-1,MATCH(P$13,OFFSET($L161,1,0,ROW($L$164)-ROW($L161)-1),0)-1),0))</f>
        <v>0</v>
      </c>
      <c r="Q161" s="209">
        <f t="shared" ref="Q161" ca="1" si="356">MIN(OFFSET(L161,0,1,,L161))</f>
        <v>0</v>
      </c>
      <c r="R161" s="210" t="str">
        <f ca="1">IF($E162=0,OFFSET(ORÇAMENTO!X$15,$E161,0),IF($E162&lt;&gt;-1,OFFSET(QCI!$O$13,$E162,0),""))</f>
        <v/>
      </c>
      <c r="S161" s="211" t="s">
        <v>270</v>
      </c>
      <c r="T161" s="212" t="e">
        <f t="shared" ref="T161:AE161" ca="1" si="357">IF(AND($Q161=2,ACOMPANHAMENTO="BM"),T162,T163/$R161)</f>
        <v>#VALUE!</v>
      </c>
      <c r="U161" s="204" t="e">
        <f t="shared" ca="1" si="357"/>
        <v>#VALUE!</v>
      </c>
      <c r="V161" s="204" t="e">
        <f t="shared" ca="1" si="357"/>
        <v>#VALUE!</v>
      </c>
      <c r="W161" s="204" t="e">
        <f t="shared" ca="1" si="357"/>
        <v>#VALUE!</v>
      </c>
      <c r="X161" s="204" t="e">
        <f t="shared" ca="1" si="357"/>
        <v>#VALUE!</v>
      </c>
      <c r="Y161" s="204" t="e">
        <f t="shared" ca="1" si="357"/>
        <v>#VALUE!</v>
      </c>
      <c r="Z161" s="204" t="e">
        <f t="shared" ca="1" si="357"/>
        <v>#VALUE!</v>
      </c>
      <c r="AA161" s="204" t="e">
        <f t="shared" ca="1" si="357"/>
        <v>#VALUE!</v>
      </c>
      <c r="AB161" s="204" t="e">
        <f t="shared" ca="1" si="357"/>
        <v>#VALUE!</v>
      </c>
      <c r="AC161" s="204" t="e">
        <f t="shared" ca="1" si="357"/>
        <v>#VALUE!</v>
      </c>
      <c r="AD161" s="204" t="e">
        <f t="shared" ca="1" si="357"/>
        <v>#VALUE!</v>
      </c>
      <c r="AE161" s="213" t="e">
        <f t="shared" ca="1" si="357"/>
        <v>#VALUE!</v>
      </c>
    </row>
    <row r="162" spans="1:32" ht="12.75" hidden="1" customHeight="1" x14ac:dyDescent="0.2">
      <c r="D162" s="566"/>
      <c r="E162" s="201">
        <f ca="1">IF(ISERROR(E161),IF(1+COUNTIF($L$13:OFFSET(L161,-1,0),1)&lt;=MAX(QCI!$D$13:$D$24),1+COUNTIF($L$13:OFFSET(L161,-1,0),1),-1),0)</f>
        <v>-1</v>
      </c>
      <c r="F162" s="201" t="str">
        <f t="shared" ref="F162" ca="1" si="358">IF(AND($E162&lt;&gt;-1,$R161&gt;0),"F","")</f>
        <v/>
      </c>
      <c r="G162" s="214" t="str">
        <f ca="1">IF(OR(R161=0,R161=""),"vazia",IF(AND(OR(ACOMPANHAMENTO="PLE",$Q161&lt;&gt;2),$E162=0),"calculada","--&gt;"))</f>
        <v>vazia</v>
      </c>
      <c r="H162" s="215"/>
      <c r="I162" s="216" t="str">
        <f t="shared" ref="I162" ca="1" si="359">IF(AND(G161&lt;&gt;0,ISNUMBER(G161)),"PREENCHA ESTA LINHA --&gt;","")</f>
        <v/>
      </c>
      <c r="J162" s="216"/>
      <c r="K162" s="216"/>
      <c r="L162" s="217"/>
      <c r="M162" s="217"/>
      <c r="N162" s="217"/>
      <c r="O162" s="217"/>
      <c r="P162" s="217"/>
      <c r="Q162" s="217"/>
      <c r="R162" s="218"/>
      <c r="S162" s="219"/>
      <c r="T162" s="567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8"/>
      <c r="AF162" s="530"/>
    </row>
    <row r="163" spans="1:32" ht="0.2" hidden="1" customHeight="1" x14ac:dyDescent="0.2">
      <c r="D163" s="220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$120,"="&amp;CRONO!D$12,CÁLCULO!$AB$15:$AL$120)/(ORÇAMENTO!$X$15-CÁLCULO.TotalAdmLocal)*CRONO!$E163,0),D162*$R161),SUMIF(OFFSET($R163,1,0,$Q161-2),($L161+1)&amp;"$",OFFSET(D163,1,0,$Q161-2)))</f>
        <v>0</v>
      </c>
      <c r="E163" s="201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21"/>
      <c r="R163" s="222" t="str">
        <f t="shared" ref="R163" ca="1" si="360">L161&amp;"$"</f>
        <v>1$</v>
      </c>
      <c r="S163" s="223"/>
      <c r="T163" s="224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$120,"&lt;="&amp;CRONO!T$12,CÁLCULO!$AB$15:$AL$120)/(ORÇAMENTO!$X$15-CÁLCULO.TotalAdmLocal)*CRONO!$E163,0),T162*$R161),SUMIF(OFFSET($R163,1,0,$Q161-2),($L161+1)&amp;"$",OFFSET(T163,1,0,$Q161-2)))</f>
        <v>0</v>
      </c>
      <c r="U163" s="220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$120,"="&amp;CRONO!U$12,CÁLCULO!$AB$15:$AL$120)/(ORÇAMENTO!$X$15-CÁLCULO.TotalAdmLocal)*CRONO!$E163,0),U162*$R161),SUMIF(OFFSET($R163,1,0,$Q161-2),($L161+1)&amp;"$",OFFSET(U163,1,0,$Q161-2)))</f>
        <v>0</v>
      </c>
      <c r="V163" s="220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$120,"="&amp;CRONO!V$12,CÁLCULO!$AB$15:$AL$120)/(ORÇAMENTO!$X$15-CÁLCULO.TotalAdmLocal)*CRONO!$E163,0),V162*$R161),SUMIF(OFFSET($R163,1,0,$Q161-2),($L161+1)&amp;"$",OFFSET(V163,1,0,$Q161-2)))</f>
        <v>0</v>
      </c>
      <c r="W163" s="220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$120,"="&amp;CRONO!W$12,CÁLCULO!$AB$15:$AL$120)/(ORÇAMENTO!$X$15-CÁLCULO.TotalAdmLocal)*CRONO!$E163,0),W162*$R161),SUMIF(OFFSET($R163,1,0,$Q161-2),($L161+1)&amp;"$",OFFSET(W163,1,0,$Q161-2)))</f>
        <v>0</v>
      </c>
      <c r="X163" s="220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$120,"="&amp;CRONO!X$12,CÁLCULO!$AB$15:$AL$120)/(ORÇAMENTO!$X$15-CÁLCULO.TotalAdmLocal)*CRONO!$E163,0),X162*$R161),SUMIF(OFFSET($R163,1,0,$Q161-2),($L161+1)&amp;"$",OFFSET(X163,1,0,$Q161-2)))</f>
        <v>0</v>
      </c>
      <c r="Y163" s="220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$120,"="&amp;CRONO!Y$12,CÁLCULO!$AB$15:$AL$120)/(ORÇAMENTO!$X$15-CÁLCULO.TotalAdmLocal)*CRONO!$E163,0),Y162*$R161),SUMIF(OFFSET($R163,1,0,$Q161-2),($L161+1)&amp;"$",OFFSET(Y163,1,0,$Q161-2)))</f>
        <v>0</v>
      </c>
      <c r="Z163" s="220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$120,"="&amp;CRONO!Z$12,CÁLCULO!$AB$15:$AL$120)/(ORÇAMENTO!$X$15-CÁLCULO.TotalAdmLocal)*CRONO!$E163,0),Z162*$R161),SUMIF(OFFSET($R163,1,0,$Q161-2),($L161+1)&amp;"$",OFFSET(Z163,1,0,$Q161-2)))</f>
        <v>0</v>
      </c>
      <c r="AA163" s="220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$120,"="&amp;CRONO!AA$12,CÁLCULO!$AB$15:$AL$120)/(ORÇAMENTO!$X$15-CÁLCULO.TotalAdmLocal)*CRONO!$E163,0),AA162*$R161),SUMIF(OFFSET($R163,1,0,$Q161-2),($L161+1)&amp;"$",OFFSET(AA163,1,0,$Q161-2)))</f>
        <v>0</v>
      </c>
      <c r="AB163" s="220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$120,"="&amp;CRONO!AB$12,CÁLCULO!$AB$15:$AL$120)/(ORÇAMENTO!$X$15-CÁLCULO.TotalAdmLocal)*CRONO!$E163,0),AB162*$R161),SUMIF(OFFSET($R163,1,0,$Q161-2),($L161+1)&amp;"$",OFFSET(AB163,1,0,$Q161-2)))</f>
        <v>0</v>
      </c>
      <c r="AC163" s="220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$120,"="&amp;CRONO!AC$12,CÁLCULO!$AB$15:$AL$120)/(ORÇAMENTO!$X$15-CÁLCULO.TotalAdmLocal)*CRONO!$E163,0),AC162*$R161),SUMIF(OFFSET($R163,1,0,$Q161-2),($L161+1)&amp;"$",OFFSET(AC163,1,0,$Q161-2)))</f>
        <v>0</v>
      </c>
      <c r="AD163" s="220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$120,"="&amp;CRONO!AD$12,CÁLCULO!$AB$15:$AL$120)/(ORÇAMENTO!$X$15-CÁLCULO.TotalAdmLocal)*CRONO!$E163,0),AD162*$R161),SUMIF(OFFSET($R163,1,0,$Q161-2),($L161+1)&amp;"$",OFFSET(AD163,1,0,$Q161-2)))</f>
        <v>0</v>
      </c>
      <c r="AE163" s="225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$120,"="&amp;CRONO!AE$12,CÁLCULO!$AB$15:$AL$120)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499"/>
      <c r="F164" s="201" t="s">
        <v>246</v>
      </c>
      <c r="G164" s="501"/>
      <c r="H164" s="502"/>
      <c r="I164" s="503"/>
      <c r="J164" s="503"/>
      <c r="K164" s="503"/>
      <c r="L164" s="504" t="s">
        <v>281</v>
      </c>
      <c r="M164" s="504"/>
      <c r="N164" s="504"/>
      <c r="O164" s="504"/>
      <c r="P164" s="504"/>
      <c r="Q164" s="504"/>
      <c r="R164" s="505"/>
      <c r="S164" s="505"/>
      <c r="T164" s="503"/>
      <c r="U164" s="503"/>
      <c r="V164" s="503"/>
      <c r="W164" s="503"/>
      <c r="X164" s="503"/>
      <c r="Y164" s="503"/>
      <c r="Z164" s="503"/>
      <c r="AA164" s="503"/>
      <c r="AB164" s="503"/>
      <c r="AC164" s="503"/>
      <c r="AD164" s="503"/>
      <c r="AE164" s="506"/>
      <c r="AF164" s="500"/>
    </row>
    <row r="165" spans="1:32" ht="12.75" customHeight="1" x14ac:dyDescent="0.2">
      <c r="D165" s="249" t="e">
        <f ca="1">D169/$Q$165</f>
        <v>#DIV/0!</v>
      </c>
      <c r="F165" s="201" t="s">
        <v>246</v>
      </c>
      <c r="H165" s="634" t="str">
        <f ca="1">"Total:    R$ "&amp;TEXT(Q165,"#.##0,00")</f>
        <v>Total:    R$ 0,00</v>
      </c>
      <c r="I165" s="634"/>
      <c r="J165" s="634"/>
      <c r="K165" s="250"/>
      <c r="Q165" s="251">
        <f ca="1">SUMIF(L12:L164,1,R12:R164)</f>
        <v>0</v>
      </c>
      <c r="R165" s="252"/>
      <c r="S165" s="253" t="s">
        <v>282</v>
      </c>
      <c r="T165" s="254" t="e">
        <f t="shared" ref="T165:AE165" ca="1" si="361">ROUND(T169,2)/$Q$165</f>
        <v>#DIV/0!</v>
      </c>
      <c r="U165" s="255" t="e">
        <f t="shared" ca="1" si="361"/>
        <v>#DIV/0!</v>
      </c>
      <c r="V165" s="255" t="e">
        <f t="shared" ca="1" si="361"/>
        <v>#DIV/0!</v>
      </c>
      <c r="W165" s="255" t="e">
        <f t="shared" ca="1" si="361"/>
        <v>#DIV/0!</v>
      </c>
      <c r="X165" s="255" t="e">
        <f t="shared" ca="1" si="361"/>
        <v>#DIV/0!</v>
      </c>
      <c r="Y165" s="255" t="e">
        <f t="shared" ca="1" si="361"/>
        <v>#DIV/0!</v>
      </c>
      <c r="Z165" s="255" t="e">
        <f t="shared" ca="1" si="361"/>
        <v>#DIV/0!</v>
      </c>
      <c r="AA165" s="255" t="e">
        <f t="shared" ca="1" si="361"/>
        <v>#DIV/0!</v>
      </c>
      <c r="AB165" s="255" t="e">
        <f t="shared" ca="1" si="361"/>
        <v>#DIV/0!</v>
      </c>
      <c r="AC165" s="255" t="e">
        <f t="shared" ca="1" si="361"/>
        <v>#DIV/0!</v>
      </c>
      <c r="AD165" s="255" t="e">
        <f t="shared" ca="1" si="361"/>
        <v>#DIV/0!</v>
      </c>
      <c r="AE165" s="256" t="e">
        <f t="shared" ca="1" si="361"/>
        <v>#DIV/0!</v>
      </c>
    </row>
    <row r="166" spans="1:32" ht="15" customHeight="1" x14ac:dyDescent="0.2">
      <c r="D166" s="257">
        <f ca="1">ROUND(D171,2)-ROUND(C171,2)</f>
        <v>0</v>
      </c>
      <c r="F166" s="201" t="s">
        <v>246</v>
      </c>
      <c r="H166" s="634"/>
      <c r="I166" s="634"/>
      <c r="J166" s="634"/>
      <c r="K166" s="258"/>
      <c r="Q166" s="251"/>
      <c r="R166" s="259"/>
      <c r="S166" s="260" t="str">
        <f>IF(import.recurso="FGTS","Financiamento:","Repasse:")</f>
        <v>Repasse:</v>
      </c>
      <c r="T166" s="261">
        <f ca="1">ROUND(T171,2)</f>
        <v>0</v>
      </c>
      <c r="U166" s="257">
        <f t="shared" ref="U166:AE166" ca="1" si="362">ROUND(U171,2)-ROUND(T171,2)</f>
        <v>0</v>
      </c>
      <c r="V166" s="257">
        <f t="shared" ca="1" si="362"/>
        <v>0</v>
      </c>
      <c r="W166" s="257">
        <f t="shared" ca="1" si="362"/>
        <v>0</v>
      </c>
      <c r="X166" s="257">
        <f t="shared" ca="1" si="362"/>
        <v>0</v>
      </c>
      <c r="Y166" s="257">
        <f t="shared" ca="1" si="362"/>
        <v>0</v>
      </c>
      <c r="Z166" s="257">
        <f t="shared" ca="1" si="362"/>
        <v>0</v>
      </c>
      <c r="AA166" s="257">
        <f t="shared" ca="1" si="362"/>
        <v>0</v>
      </c>
      <c r="AB166" s="257">
        <f t="shared" ca="1" si="362"/>
        <v>0</v>
      </c>
      <c r="AC166" s="257">
        <f t="shared" ca="1" si="362"/>
        <v>0</v>
      </c>
      <c r="AD166" s="257">
        <f t="shared" ca="1" si="362"/>
        <v>0</v>
      </c>
      <c r="AE166" s="262">
        <f t="shared" ca="1" si="362"/>
        <v>0</v>
      </c>
    </row>
    <row r="167" spans="1:32" ht="12.75" customHeight="1" x14ac:dyDescent="0.2">
      <c r="D167" s="257">
        <f ca="1">ROUND(D172,2)-ROUND(C172,2)</f>
        <v>0</v>
      </c>
      <c r="F167" s="201" t="s">
        <v>246</v>
      </c>
      <c r="H167" s="263"/>
      <c r="K167" s="264" t="s">
        <v>283</v>
      </c>
      <c r="Q167" s="251"/>
      <c r="R167" s="265"/>
      <c r="S167" s="266" t="s">
        <v>284</v>
      </c>
      <c r="T167" s="267">
        <f ca="1">ROUND(T172,2)</f>
        <v>0</v>
      </c>
      <c r="U167" s="268">
        <f t="shared" ref="U167:AE167" ca="1" si="363">ROUND(U172,2)-ROUND(T172,2)</f>
        <v>0</v>
      </c>
      <c r="V167" s="268">
        <f t="shared" ca="1" si="363"/>
        <v>0</v>
      </c>
      <c r="W167" s="268">
        <f t="shared" ca="1" si="363"/>
        <v>0</v>
      </c>
      <c r="X167" s="268">
        <f t="shared" ca="1" si="363"/>
        <v>0</v>
      </c>
      <c r="Y167" s="268">
        <f t="shared" ca="1" si="363"/>
        <v>0</v>
      </c>
      <c r="Z167" s="268">
        <f t="shared" ca="1" si="363"/>
        <v>0</v>
      </c>
      <c r="AA167" s="268">
        <f t="shared" ca="1" si="363"/>
        <v>0</v>
      </c>
      <c r="AB167" s="268">
        <f t="shared" ca="1" si="363"/>
        <v>0</v>
      </c>
      <c r="AC167" s="268">
        <f t="shared" ca="1" si="363"/>
        <v>0</v>
      </c>
      <c r="AD167" s="268">
        <f t="shared" ca="1" si="363"/>
        <v>0</v>
      </c>
      <c r="AE167" s="269">
        <f t="shared" ca="1" si="363"/>
        <v>0</v>
      </c>
    </row>
    <row r="168" spans="1:32" x14ac:dyDescent="0.2">
      <c r="D168" s="270">
        <f ca="1">ROUND(D173,2)-ROUND(C173,2)</f>
        <v>0</v>
      </c>
      <c r="F168" s="201" t="s">
        <v>246</v>
      </c>
      <c r="H168" s="263"/>
      <c r="K168" s="264"/>
      <c r="Q168" s="251"/>
      <c r="R168" s="271"/>
      <c r="S168" s="272" t="s">
        <v>285</v>
      </c>
      <c r="T168" s="273">
        <f ca="1">ROUND(T173,2)</f>
        <v>0</v>
      </c>
      <c r="U168" s="270">
        <f t="shared" ref="U168:AE168" ca="1" si="364">ROUND(U173,2)-ROUND(T173,2)</f>
        <v>0</v>
      </c>
      <c r="V168" s="270">
        <f t="shared" ca="1" si="364"/>
        <v>0</v>
      </c>
      <c r="W168" s="270">
        <f t="shared" ca="1" si="364"/>
        <v>0</v>
      </c>
      <c r="X168" s="270">
        <f t="shared" ca="1" si="364"/>
        <v>0</v>
      </c>
      <c r="Y168" s="270">
        <f t="shared" ca="1" si="364"/>
        <v>0</v>
      </c>
      <c r="Z168" s="270">
        <f t="shared" ca="1" si="364"/>
        <v>0</v>
      </c>
      <c r="AA168" s="270">
        <f t="shared" ca="1" si="364"/>
        <v>0</v>
      </c>
      <c r="AB168" s="270">
        <f t="shared" ca="1" si="364"/>
        <v>0</v>
      </c>
      <c r="AC168" s="270">
        <f t="shared" ca="1" si="364"/>
        <v>0</v>
      </c>
      <c r="AD168" s="270">
        <f t="shared" ca="1" si="364"/>
        <v>0</v>
      </c>
      <c r="AE168" s="274">
        <f t="shared" ca="1" si="364"/>
        <v>0</v>
      </c>
    </row>
    <row r="169" spans="1:32" x14ac:dyDescent="0.2">
      <c r="D169" s="275">
        <f ca="1">ROUND(D174,2)-ROUND(C174,2)</f>
        <v>0</v>
      </c>
      <c r="F169" s="201" t="s">
        <v>246</v>
      </c>
      <c r="K169" s="276"/>
      <c r="R169" s="277"/>
      <c r="S169" s="278" t="s">
        <v>286</v>
      </c>
      <c r="T169" s="279">
        <f ca="1">ROUND(T174,2)</f>
        <v>0</v>
      </c>
      <c r="U169" s="280">
        <f t="shared" ref="U169:AE169" ca="1" si="365">ROUND(U174,2)-ROUND(T174,2)</f>
        <v>0</v>
      </c>
      <c r="V169" s="280">
        <f t="shared" ca="1" si="365"/>
        <v>0</v>
      </c>
      <c r="W169" s="280">
        <f t="shared" ca="1" si="365"/>
        <v>0</v>
      </c>
      <c r="X169" s="280">
        <f t="shared" ca="1" si="365"/>
        <v>0</v>
      </c>
      <c r="Y169" s="280">
        <f t="shared" ca="1" si="365"/>
        <v>0</v>
      </c>
      <c r="Z169" s="280">
        <f t="shared" ca="1" si="365"/>
        <v>0</v>
      </c>
      <c r="AA169" s="280">
        <f t="shared" ca="1" si="365"/>
        <v>0</v>
      </c>
      <c r="AB169" s="280">
        <f t="shared" ca="1" si="365"/>
        <v>0</v>
      </c>
      <c r="AC169" s="280">
        <f t="shared" ca="1" si="365"/>
        <v>0</v>
      </c>
      <c r="AD169" s="280">
        <f t="shared" ca="1" si="365"/>
        <v>0</v>
      </c>
      <c r="AE169" s="281">
        <f t="shared" ca="1" si="365"/>
        <v>0</v>
      </c>
    </row>
    <row r="170" spans="1:32" x14ac:dyDescent="0.2">
      <c r="D170" s="249" t="e">
        <f ca="1">D174/$Q$165</f>
        <v>#DIV/0!</v>
      </c>
      <c r="F170" s="201" t="s">
        <v>246</v>
      </c>
      <c r="K170" s="250"/>
      <c r="R170" s="252"/>
      <c r="S170" s="253" t="s">
        <v>282</v>
      </c>
      <c r="T170" s="254" t="e">
        <f ca="1">ROUND(T174,2)/$Q$165</f>
        <v>#DIV/0!</v>
      </c>
      <c r="U170" s="255" t="e">
        <f t="shared" ref="U170:AE170" ca="1" si="366">ROUND(U174,2)/$Q$165</f>
        <v>#DIV/0!</v>
      </c>
      <c r="V170" s="255" t="e">
        <f t="shared" ca="1" si="366"/>
        <v>#DIV/0!</v>
      </c>
      <c r="W170" s="255" t="e">
        <f t="shared" ca="1" si="366"/>
        <v>#DIV/0!</v>
      </c>
      <c r="X170" s="255" t="e">
        <f t="shared" ca="1" si="366"/>
        <v>#DIV/0!</v>
      </c>
      <c r="Y170" s="255" t="e">
        <f t="shared" ca="1" si="366"/>
        <v>#DIV/0!</v>
      </c>
      <c r="Z170" s="255" t="e">
        <f t="shared" ca="1" si="366"/>
        <v>#DIV/0!</v>
      </c>
      <c r="AA170" s="255" t="e">
        <f t="shared" ca="1" si="366"/>
        <v>#DIV/0!</v>
      </c>
      <c r="AB170" s="255" t="e">
        <f t="shared" ca="1" si="366"/>
        <v>#DIV/0!</v>
      </c>
      <c r="AC170" s="255" t="e">
        <f t="shared" ca="1" si="366"/>
        <v>#DIV/0!</v>
      </c>
      <c r="AD170" s="255" t="e">
        <f t="shared" ca="1" si="366"/>
        <v>#DIV/0!</v>
      </c>
      <c r="AE170" s="256" t="e">
        <f t="shared" ca="1" si="366"/>
        <v>#DIV/0!</v>
      </c>
    </row>
    <row r="171" spans="1:32" x14ac:dyDescent="0.2">
      <c r="D171" s="257">
        <f ca="1">ROUND(D174-D173-D172,2)</f>
        <v>0</v>
      </c>
      <c r="F171" s="201" t="s">
        <v>246</v>
      </c>
      <c r="K171" s="258"/>
      <c r="R171" s="259"/>
      <c r="S171" s="260" t="str">
        <f>IF(import.recurso="FGTS","Financiamento:","Repasse:")</f>
        <v>Repasse:</v>
      </c>
      <c r="T171" s="261">
        <f ca="1">ROUND(T174-T173-T172,2)</f>
        <v>0</v>
      </c>
      <c r="U171" s="257">
        <f t="shared" ref="U171:AE171" ca="1" si="367">ROUND(U174-U173-U172,2)</f>
        <v>0</v>
      </c>
      <c r="V171" s="257">
        <f t="shared" ca="1" si="367"/>
        <v>0</v>
      </c>
      <c r="W171" s="257">
        <f t="shared" ca="1" si="367"/>
        <v>0</v>
      </c>
      <c r="X171" s="257">
        <f t="shared" ca="1" si="367"/>
        <v>0</v>
      </c>
      <c r="Y171" s="257">
        <f t="shared" ca="1" si="367"/>
        <v>0</v>
      </c>
      <c r="Z171" s="257">
        <f t="shared" ca="1" si="367"/>
        <v>0</v>
      </c>
      <c r="AA171" s="257">
        <f t="shared" ca="1" si="367"/>
        <v>0</v>
      </c>
      <c r="AB171" s="257">
        <f t="shared" ca="1" si="367"/>
        <v>0</v>
      </c>
      <c r="AC171" s="257">
        <f t="shared" ca="1" si="367"/>
        <v>0</v>
      </c>
      <c r="AD171" s="257">
        <f t="shared" ca="1" si="367"/>
        <v>0</v>
      </c>
      <c r="AE171" s="262">
        <f t="shared" ca="1" si="367"/>
        <v>0</v>
      </c>
      <c r="AF171" s="202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57">
        <f t="array" aca="1" ref="D172" ca="1">C172+SUM((OFFSET($B$13,1,0):OFFSET($B$164,-3,0))*IF(ISNUMBER(OFFSET(D$11,5,0):OFFSET(D$164,-1,0)),OFFSET(D$11,5,0):OFFSET(D$164,-1,0),0))</f>
        <v>0</v>
      </c>
      <c r="F172" s="201" t="s">
        <v>246</v>
      </c>
      <c r="K172" s="264" t="s">
        <v>287</v>
      </c>
      <c r="R172" s="265"/>
      <c r="S172" s="266" t="s">
        <v>284</v>
      </c>
      <c r="T172" s="267">
        <f t="array" aca="1" ref="T172" ca="1">SUM((OFFSET($B$13,1,0):OFFSET($B$164,-3,0))*IF(ISNUMBER(OFFSET(T$11,5,0):OFFSET(T$164,-1,0)),OFFSET(T$11,5,0):OFFSET(T$164,-1,0),0))</f>
        <v>0</v>
      </c>
      <c r="U172" s="268">
        <f t="array" aca="1" ref="U172" ca="1">T172+SUM((OFFSET($B$13,1,0):OFFSET($B$164,-3,0))*IF(ISNUMBER(OFFSET(U$11,5,0):OFFSET(U$164,-1,0)),OFFSET(U$11,5,0):OFFSET(U$164,-1,0),0))</f>
        <v>0</v>
      </c>
      <c r="V172" s="268">
        <f t="array" aca="1" ref="V172" ca="1">U172+SUM((OFFSET($B$13,1,0):OFFSET($B$164,-3,0))*IF(ISNUMBER(OFFSET(V$11,5,0):OFFSET(V$164,-1,0)),OFFSET(V$11,5,0):OFFSET(V$164,-1,0),0))</f>
        <v>0</v>
      </c>
      <c r="W172" s="268">
        <f t="array" aca="1" ref="W172" ca="1">V172+SUM((OFFSET($B$13,1,0):OFFSET($B$164,-3,0))*IF(ISNUMBER(OFFSET(W$11,5,0):OFFSET(W$164,-1,0)),OFFSET(W$11,5,0):OFFSET(W$164,-1,0),0))</f>
        <v>0</v>
      </c>
      <c r="X172" s="268">
        <f t="array" aca="1" ref="X172" ca="1">W172+SUM((OFFSET($B$13,1,0):OFFSET($B$164,-3,0))*IF(ISNUMBER(OFFSET(X$11,5,0):OFFSET(X$164,-1,0)),OFFSET(X$11,5,0):OFFSET(X$164,-1,0),0))</f>
        <v>0</v>
      </c>
      <c r="Y172" s="268">
        <f t="array" aca="1" ref="Y172" ca="1">X172+SUM((OFFSET($B$13,1,0):OFFSET($B$164,-3,0))*IF(ISNUMBER(OFFSET(Y$11,5,0):OFFSET(Y$164,-1,0)),OFFSET(Y$11,5,0):OFFSET(Y$164,-1,0),0))</f>
        <v>0</v>
      </c>
      <c r="Z172" s="268">
        <f t="array" aca="1" ref="Z172" ca="1">Y172+SUM((OFFSET($B$13,1,0):OFFSET($B$164,-3,0))*IF(ISNUMBER(OFFSET(Z$11,5,0):OFFSET(Z$164,-1,0)),OFFSET(Z$11,5,0):OFFSET(Z$164,-1,0),0))</f>
        <v>0</v>
      </c>
      <c r="AA172" s="268">
        <f t="array" aca="1" ref="AA172" ca="1">Z172+SUM((OFFSET($B$13,1,0):OFFSET($B$164,-3,0))*IF(ISNUMBER(OFFSET(AA$11,5,0):OFFSET(AA$164,-1,0)),OFFSET(AA$11,5,0):OFFSET(AA$164,-1,0),0))</f>
        <v>0</v>
      </c>
      <c r="AB172" s="268">
        <f t="array" aca="1" ref="AB172" ca="1">AA172+SUM((OFFSET($B$13,1,0):OFFSET($B$164,-3,0))*IF(ISNUMBER(OFFSET(AB$11,5,0):OFFSET(AB$164,-1,0)),OFFSET(AB$11,5,0):OFFSET(AB$164,-1,0),0))</f>
        <v>0</v>
      </c>
      <c r="AC172" s="268">
        <f t="array" aca="1" ref="AC172" ca="1">AB172+SUM((OFFSET($B$13,1,0):OFFSET($B$164,-3,0))*IF(ISNUMBER(OFFSET(AC$11,5,0):OFFSET(AC$164,-1,0)),OFFSET(AC$11,5,0):OFFSET(AC$164,-1,0),0))</f>
        <v>0</v>
      </c>
      <c r="AD172" s="268">
        <f t="array" aca="1" ref="AD172" ca="1">AC172+SUM((OFFSET($B$13,1,0):OFFSET($B$164,-3,0))*IF(ISNUMBER(OFFSET(AD$11,5,0):OFFSET(AD$164,-1,0)),OFFSET(AD$11,5,0):OFFSET(AD$164,-1,0),0))</f>
        <v>0</v>
      </c>
      <c r="AE172" s="269">
        <f t="array" aca="1" ref="AE172" ca="1">AD172+SUM((OFFSET($B$13,1,0):OFFSET($B$164,-3,0))*IF(ISNUMBER(OFFSET(AE$11,5,0):OFFSET(AE$164,-1,0)),OFFSET(AE$11,5,0):OFFSET(AE$164,-1,0),0))</f>
        <v>0</v>
      </c>
      <c r="AF172" s="202">
        <f ca="1">AE172+SUMPRODUCT((OFFSET($C$13,1,0):OFFSET($C$164,-3,0))*IF(ISNUMBER(OFFSET(AF$11,5,0):OFFSET(AF$164,-1,0)),OFFSET(AF$11,5,0):OFFSET(AF$164,-1,0),0))</f>
        <v>0</v>
      </c>
    </row>
    <row r="173" spans="1:32" x14ac:dyDescent="0.2">
      <c r="D173" s="270">
        <f t="array" aca="1" ref="D173" ca="1">C173+SUM((OFFSET($C$13,1,0):OFFSET($C$164,-3,0))*IF(ISNUMBER(OFFSET(D$11,5,0):OFFSET(D$164,-1,0)),OFFSET(D$11,5,0):OFFSET(D$164,-1,0),0))</f>
        <v>0</v>
      </c>
      <c r="F173" s="201" t="s">
        <v>246</v>
      </c>
      <c r="K173" s="264"/>
      <c r="R173" s="271"/>
      <c r="S173" s="272" t="s">
        <v>285</v>
      </c>
      <c r="T173" s="273">
        <f t="array" aca="1" ref="T173" ca="1">SUM((OFFSET($C$13,1,0):OFFSET($C$164,-3,0))*IF(ISNUMBER(OFFSET(T$11,5,0):OFFSET(T$164,-1,0)),OFFSET(T$11,5,0):OFFSET(T$164,-1,0),0))</f>
        <v>0</v>
      </c>
      <c r="U173" s="270">
        <f t="array" aca="1" ref="U173" ca="1">T173+SUM((OFFSET($C$13,1,0):OFFSET($C$164,-3,0))*IF(ISNUMBER(OFFSET(U$11,5,0):OFFSET(U$164,-1,0)),OFFSET(U$11,5,0):OFFSET(U$164,-1,0),0))</f>
        <v>0</v>
      </c>
      <c r="V173" s="270">
        <f t="array" aca="1" ref="V173" ca="1">U173+SUM((OFFSET($C$13,1,0):OFFSET($C$164,-3,0))*IF(ISNUMBER(OFFSET(V$11,5,0):OFFSET(V$164,-1,0)),OFFSET(V$11,5,0):OFFSET(V$164,-1,0),0))</f>
        <v>0</v>
      </c>
      <c r="W173" s="270">
        <f t="array" aca="1" ref="W173" ca="1">V173+SUM((OFFSET($C$13,1,0):OFFSET($C$164,-3,0))*IF(ISNUMBER(OFFSET(W$11,5,0):OFFSET(W$164,-1,0)),OFFSET(W$11,5,0):OFFSET(W$164,-1,0),0))</f>
        <v>0</v>
      </c>
      <c r="X173" s="270">
        <f t="array" aca="1" ref="X173" ca="1">W173+SUM((OFFSET($C$13,1,0):OFFSET($C$164,-3,0))*IF(ISNUMBER(OFFSET(X$11,5,0):OFFSET(X$164,-1,0)),OFFSET(X$11,5,0):OFFSET(X$164,-1,0),0))</f>
        <v>0</v>
      </c>
      <c r="Y173" s="270">
        <f t="array" aca="1" ref="Y173" ca="1">X173+SUM((OFFSET($C$13,1,0):OFFSET($C$164,-3,0))*IF(ISNUMBER(OFFSET(Y$11,5,0):OFFSET(Y$164,-1,0)),OFFSET(Y$11,5,0):OFFSET(Y$164,-1,0),0))</f>
        <v>0</v>
      </c>
      <c r="Z173" s="270">
        <f t="array" aca="1" ref="Z173" ca="1">Y173+SUM((OFFSET($C$13,1,0):OFFSET($C$164,-3,0))*IF(ISNUMBER(OFFSET(Z$11,5,0):OFFSET(Z$164,-1,0)),OFFSET(Z$11,5,0):OFFSET(Z$164,-1,0),0))</f>
        <v>0</v>
      </c>
      <c r="AA173" s="270">
        <f t="array" aca="1" ref="AA173" ca="1">Z173+SUM((OFFSET($C$13,1,0):OFFSET($C$164,-3,0))*IF(ISNUMBER(OFFSET(AA$11,5,0):OFFSET(AA$164,-1,0)),OFFSET(AA$11,5,0):OFFSET(AA$164,-1,0),0))</f>
        <v>0</v>
      </c>
      <c r="AB173" s="270">
        <f t="array" aca="1" ref="AB173" ca="1">AA173+SUM((OFFSET($C$13,1,0):OFFSET($C$164,-3,0))*IF(ISNUMBER(OFFSET(AB$11,5,0):OFFSET(AB$164,-1,0)),OFFSET(AB$11,5,0):OFFSET(AB$164,-1,0),0))</f>
        <v>0</v>
      </c>
      <c r="AC173" s="270">
        <f t="array" aca="1" ref="AC173" ca="1">AB173+SUM((OFFSET($C$13,1,0):OFFSET($C$164,-3,0))*IF(ISNUMBER(OFFSET(AC$11,5,0):OFFSET(AC$164,-1,0)),OFFSET(AC$11,5,0):OFFSET(AC$164,-1,0),0))</f>
        <v>0</v>
      </c>
      <c r="AD173" s="270">
        <f t="array" aca="1" ref="AD173" ca="1">AC173+SUM((OFFSET($C$13,1,0):OFFSET($C$164,-3,0))*IF(ISNUMBER(OFFSET(AD$11,5,0):OFFSET(AD$164,-1,0)),OFFSET(AD$11,5,0):OFFSET(AD$164,-1,0),0))</f>
        <v>0</v>
      </c>
      <c r="AE173" s="274">
        <f t="array" aca="1" ref="AE173" ca="1">AD173+SUM((OFFSET($C$13,1,0):OFFSET($C$164,-3,0))*IF(ISNUMBER(OFFSET(AE$11,5,0):OFFSET(AE$164,-1,0)),OFFSET(AE$11,5,0):OFFSET(AE$164,-1,0),0))</f>
        <v>0</v>
      </c>
      <c r="AF173" s="202">
        <f ca="1">ROUND(AF174-AF171-AF172,2)</f>
        <v>0</v>
      </c>
    </row>
    <row r="174" spans="1:32" x14ac:dyDescent="0.2">
      <c r="D174" s="275">
        <f ca="1">C174+SUMIF($R$12:$R$164,"1$",D12:D164)</f>
        <v>0</v>
      </c>
      <c r="F174" s="201" t="s">
        <v>246</v>
      </c>
      <c r="K174" s="276"/>
      <c r="R174" s="277"/>
      <c r="S174" s="278" t="s">
        <v>286</v>
      </c>
      <c r="T174" s="279">
        <f ca="1">SUMIF($R$12:$R$164,"1$",T12:T164)</f>
        <v>0</v>
      </c>
      <c r="U174" s="280">
        <f t="shared" ref="U174:AF174" ca="1" si="368">T174+SUMIF($R$12:$R$164,"1$",U12:U164)</f>
        <v>0</v>
      </c>
      <c r="V174" s="280">
        <f t="shared" ca="1" si="368"/>
        <v>0</v>
      </c>
      <c r="W174" s="280">
        <f t="shared" ca="1" si="368"/>
        <v>0</v>
      </c>
      <c r="X174" s="280">
        <f t="shared" ca="1" si="368"/>
        <v>0</v>
      </c>
      <c r="Y174" s="280">
        <f t="shared" ca="1" si="368"/>
        <v>0</v>
      </c>
      <c r="Z174" s="280">
        <f t="shared" ca="1" si="368"/>
        <v>0</v>
      </c>
      <c r="AA174" s="280">
        <f t="shared" ca="1" si="368"/>
        <v>0</v>
      </c>
      <c r="AB174" s="280">
        <f t="shared" ca="1" si="368"/>
        <v>0</v>
      </c>
      <c r="AC174" s="280">
        <f t="shared" ca="1" si="368"/>
        <v>0</v>
      </c>
      <c r="AD174" s="280">
        <f t="shared" ca="1" si="368"/>
        <v>0</v>
      </c>
      <c r="AE174" s="281">
        <f t="shared" ca="1" si="368"/>
        <v>0</v>
      </c>
      <c r="AF174" s="202">
        <f t="shared" ca="1" si="368"/>
        <v>0</v>
      </c>
    </row>
    <row r="175" spans="1:32" x14ac:dyDescent="0.2">
      <c r="F175" s="201" t="s">
        <v>246</v>
      </c>
    </row>
    <row r="176" spans="1:32" ht="32.25" customHeight="1" x14ac:dyDescent="0.2">
      <c r="F176" s="201" t="s">
        <v>246</v>
      </c>
      <c r="H176" s="615" t="str">
        <f>Import.Município</f>
        <v>LAGES/SC</v>
      </c>
      <c r="I176" s="615"/>
      <c r="J176" s="615"/>
      <c r="K176" s="615"/>
      <c r="L176" s="615"/>
      <c r="M176" s="615"/>
      <c r="N176" s="615"/>
      <c r="O176" s="615"/>
      <c r="P176" s="615"/>
      <c r="Q176" s="615"/>
      <c r="R176" s="615"/>
      <c r="Z176" s="550"/>
      <c r="AA176" s="550"/>
      <c r="AB176" s="550"/>
      <c r="AC176" s="550"/>
      <c r="AD176" s="552"/>
      <c r="AE176" s="552"/>
    </row>
    <row r="177" spans="6:31" x14ac:dyDescent="0.2">
      <c r="F177" s="201" t="s">
        <v>246</v>
      </c>
      <c r="H177" s="10" t="s">
        <v>188</v>
      </c>
      <c r="I177"/>
      <c r="J177"/>
      <c r="K177"/>
      <c r="Z177" s="192" t="s">
        <v>190</v>
      </c>
      <c r="AA177" s="192"/>
      <c r="AB177" s="192"/>
      <c r="AC177" s="192"/>
      <c r="AD177" s="201"/>
      <c r="AE177" s="201"/>
    </row>
    <row r="178" spans="6:31" x14ac:dyDescent="0.2">
      <c r="F178" s="201" t="s">
        <v>246</v>
      </c>
      <c r="H178"/>
      <c r="I178"/>
      <c r="J178"/>
      <c r="K178"/>
      <c r="Z178" s="444" t="str">
        <f t="array" aca="1" ref="Z178:Z180" ca="1">OFFSET(Import.RespOrçamento,0,-1) &amp; " " &amp; Import.RespOrçamento</f>
        <v>Nome: RODRIGO FAGUNDES DE ALMEIDA</v>
      </c>
      <c r="AB178"/>
      <c r="AC178" s="77"/>
      <c r="AD178" s="201"/>
      <c r="AE178" s="201"/>
    </row>
    <row r="179" spans="6:31" x14ac:dyDescent="0.2">
      <c r="F179" s="201" t="s">
        <v>246</v>
      </c>
      <c r="H179" s="638">
        <f ca="1">DADOS!$F$25</f>
        <v>45639</v>
      </c>
      <c r="I179" s="638"/>
      <c r="J179" s="638"/>
      <c r="K179" s="191"/>
      <c r="L179" s="282"/>
      <c r="M179" s="282"/>
      <c r="N179" s="282"/>
      <c r="O179" s="282"/>
      <c r="P179" s="282"/>
      <c r="Q179" s="282"/>
      <c r="R179" s="283"/>
      <c r="Z179" s="444" t="str">
        <f ca="1"/>
        <v>CREA/CAU: CREA/SC 147572-3</v>
      </c>
      <c r="AB179" s="77"/>
      <c r="AC179" s="77"/>
      <c r="AD179" s="201"/>
      <c r="AE179" s="201"/>
    </row>
    <row r="180" spans="6:31" x14ac:dyDescent="0.2">
      <c r="F180" s="201" t="s">
        <v>246</v>
      </c>
      <c r="H180" s="10" t="s">
        <v>189</v>
      </c>
      <c r="I180"/>
      <c r="J180"/>
      <c r="K180"/>
      <c r="Z180" s="444" t="str">
        <f ca="1"/>
        <v>ART/RRT: 9360947-0</v>
      </c>
      <c r="AB180" s="77"/>
      <c r="AC180" s="77"/>
      <c r="AD180" s="201"/>
      <c r="AE180" s="201"/>
    </row>
  </sheetData>
  <sheetProtection algorithmName="SHA-512" hashValue="dOqybGunl4z6blpMpWjQMbH25chZ1Oxsby0jWB1a3vUsYCTcXtazKZKH7vLQoSjxIWU4x11M6IvYV/3mXvAKSQ==" saltValue="GjDetmkYP+1gAHQHEeYJVA==" spinCount="100000" sheet="1" objects="1" scenarios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8" type="noConversion"/>
  <conditionalFormatting sqref="T12:T13">
    <cfRule type="expression" dxfId="232" priority="1937" stopIfTrue="1">
      <formula>NOT(ISNUMBER(S$12))</formula>
    </cfRule>
  </conditionalFormatting>
  <conditionalFormatting sqref="D2 T2:AF2">
    <cfRule type="expression" dxfId="231" priority="1938" stopIfTrue="1">
      <formula>AND(ISNUMBER($G1),$G1&lt;&gt;0)</formula>
    </cfRule>
  </conditionalFormatting>
  <conditionalFormatting sqref="H2:R2">
    <cfRule type="expression" dxfId="230" priority="1939" stopIfTrue="1">
      <formula>$L1=2</formula>
    </cfRule>
    <cfRule type="expression" dxfId="229" priority="1940" stopIfTrue="1">
      <formula>AND($L1=1,$R1&lt;&gt;"")</formula>
    </cfRule>
  </conditionalFormatting>
  <conditionalFormatting sqref="H1:R1">
    <cfRule type="expression" dxfId="228" priority="1941" stopIfTrue="1">
      <formula>$L1=2</formula>
    </cfRule>
    <cfRule type="expression" dxfId="227" priority="1942" stopIfTrue="1">
      <formula>AND($L1=1,$R1&lt;&gt;"")</formula>
    </cfRule>
  </conditionalFormatting>
  <conditionalFormatting sqref="D165:D169 T166:AE166 T168:AE168">
    <cfRule type="expression" dxfId="226" priority="1943" stopIfTrue="1">
      <formula>D$165=0</formula>
    </cfRule>
  </conditionalFormatting>
  <conditionalFormatting sqref="D170:D174">
    <cfRule type="expression" dxfId="225" priority="1944" stopIfTrue="1">
      <formula>C$170=1</formula>
    </cfRule>
  </conditionalFormatting>
  <conditionalFormatting sqref="U170:AE170 U172:AE172 U174:AE174">
    <cfRule type="expression" dxfId="224" priority="1945" stopIfTrue="1">
      <formula>OFFSET(U$170,0,-1)&gt;=1</formula>
    </cfRule>
  </conditionalFormatting>
  <conditionalFormatting sqref="U171:AE171 U173:AE173">
    <cfRule type="expression" dxfId="223" priority="1946" stopIfTrue="1">
      <formula>OFFSET(U$170,0,-1)&gt;=1</formula>
    </cfRule>
  </conditionalFormatting>
  <conditionalFormatting sqref="T165:AE165 T167:AE167 T169:AE169">
    <cfRule type="expression" dxfId="222" priority="1947" stopIfTrue="1">
      <formula>T$165=0</formula>
    </cfRule>
  </conditionalFormatting>
  <conditionalFormatting sqref="AE7:AE8">
    <cfRule type="expression" dxfId="221" priority="1948" stopIfTrue="1">
      <formula>OR(TIPOORCAMENTO&lt;&gt;"Licitado",QCI.ExisteManual)</formula>
    </cfRule>
  </conditionalFormatting>
  <conditionalFormatting sqref="D1 T1:AE1">
    <cfRule type="expression" dxfId="220" priority="1949" stopIfTrue="1">
      <formula>D1&lt;&gt;0</formula>
    </cfRule>
  </conditionalFormatting>
  <conditionalFormatting sqref="Y7:AD8">
    <cfRule type="expression" dxfId="219" priority="1936" stopIfTrue="1">
      <formula>QCI.ExisteManual</formula>
    </cfRule>
  </conditionalFormatting>
  <conditionalFormatting sqref="D15 D18 D21 T15:AF15 T18:AF18 T21:AF21">
    <cfRule type="expression" dxfId="218" priority="97" stopIfTrue="1">
      <formula>AND(ISNUMBER($G14),$G14&lt;&gt;0)</formula>
    </cfRule>
  </conditionalFormatting>
  <conditionalFormatting sqref="H15:R15 H18:R18 H21:R21">
    <cfRule type="expression" dxfId="217" priority="98" stopIfTrue="1">
      <formula>$L14=2</formula>
    </cfRule>
    <cfRule type="expression" dxfId="216" priority="99" stopIfTrue="1">
      <formula>AND($L14=1,$R14&lt;&gt;"")</formula>
    </cfRule>
  </conditionalFormatting>
  <conditionalFormatting sqref="H14:R14 H17:R17 H20:R20">
    <cfRule type="expression" dxfId="215" priority="100" stopIfTrue="1">
      <formula>$L14=2</formula>
    </cfRule>
    <cfRule type="expression" dxfId="214" priority="101" stopIfTrue="1">
      <formula>AND($L14=1,$R14&lt;&gt;"")</formula>
    </cfRule>
  </conditionalFormatting>
  <conditionalFormatting sqref="D14 D17 D20 T14:AE14 T17:AE17 T20:AE20">
    <cfRule type="expression" dxfId="213" priority="102" stopIfTrue="1">
      <formula>D14&lt;&gt;0</formula>
    </cfRule>
  </conditionalFormatting>
  <conditionalFormatting sqref="D24 D27 D30 T24:AF24 T27:AF27 T30:AF30">
    <cfRule type="expression" dxfId="212" priority="91" stopIfTrue="1">
      <formula>AND(ISNUMBER($G23),$G23&lt;&gt;0)</formula>
    </cfRule>
  </conditionalFormatting>
  <conditionalFormatting sqref="H24:R24 H27:R27 H30:R30">
    <cfRule type="expression" dxfId="211" priority="92" stopIfTrue="1">
      <formula>$L23=2</formula>
    </cfRule>
    <cfRule type="expression" dxfId="210" priority="93" stopIfTrue="1">
      <formula>AND($L23=1,$R23&lt;&gt;"")</formula>
    </cfRule>
  </conditionalFormatting>
  <conditionalFormatting sqref="H23:R23 H26:R26 H29:R29">
    <cfRule type="expression" dxfId="209" priority="94" stopIfTrue="1">
      <formula>$L23=2</formula>
    </cfRule>
    <cfRule type="expression" dxfId="208" priority="95" stopIfTrue="1">
      <formula>AND($L23=1,$R23&lt;&gt;"")</formula>
    </cfRule>
  </conditionalFormatting>
  <conditionalFormatting sqref="D23 D26 D29 T23:AE23 T26:AE26 T29:AE29">
    <cfRule type="expression" dxfId="207" priority="96" stopIfTrue="1">
      <formula>D23&lt;&gt;0</formula>
    </cfRule>
  </conditionalFormatting>
  <conditionalFormatting sqref="D33 D36 D39 T33:AF33 T36:AF36 T39:AF39">
    <cfRule type="expression" dxfId="206" priority="85" stopIfTrue="1">
      <formula>AND(ISNUMBER($G32),$G32&lt;&gt;0)</formula>
    </cfRule>
  </conditionalFormatting>
  <conditionalFormatting sqref="H33:R33 H36:R36 H39:R39">
    <cfRule type="expression" dxfId="205" priority="86" stopIfTrue="1">
      <formula>$L32=2</formula>
    </cfRule>
    <cfRule type="expression" dxfId="204" priority="87" stopIfTrue="1">
      <formula>AND($L32=1,$R32&lt;&gt;"")</formula>
    </cfRule>
  </conditionalFormatting>
  <conditionalFormatting sqref="H32:R32 H35:R35 H38:R38">
    <cfRule type="expression" dxfId="203" priority="88" stopIfTrue="1">
      <formula>$L32=2</formula>
    </cfRule>
    <cfRule type="expression" dxfId="202" priority="89" stopIfTrue="1">
      <formula>AND($L32=1,$R32&lt;&gt;"")</formula>
    </cfRule>
  </conditionalFormatting>
  <conditionalFormatting sqref="D32 D35 D38 T32:AE32 T35:AE35 T38:AE38">
    <cfRule type="expression" dxfId="201" priority="90" stopIfTrue="1">
      <formula>D32&lt;&gt;0</formula>
    </cfRule>
  </conditionalFormatting>
  <conditionalFormatting sqref="D42 D45 D48 T42:AF42 T45:AF45 T48:AF48">
    <cfRule type="expression" dxfId="200" priority="79" stopIfTrue="1">
      <formula>AND(ISNUMBER($G41),$G41&lt;&gt;0)</formula>
    </cfRule>
  </conditionalFormatting>
  <conditionalFormatting sqref="H42:R42 H45:R45 H48:R48">
    <cfRule type="expression" dxfId="199" priority="80" stopIfTrue="1">
      <formula>$L41=2</formula>
    </cfRule>
    <cfRule type="expression" dxfId="198" priority="81" stopIfTrue="1">
      <formula>AND($L41=1,$R41&lt;&gt;"")</formula>
    </cfRule>
  </conditionalFormatting>
  <conditionalFormatting sqref="H41:R41 H44:R44 H47:R47">
    <cfRule type="expression" dxfId="197" priority="82" stopIfTrue="1">
      <formula>$L41=2</formula>
    </cfRule>
    <cfRule type="expression" dxfId="196" priority="83" stopIfTrue="1">
      <formula>AND($L41=1,$R41&lt;&gt;"")</formula>
    </cfRule>
  </conditionalFormatting>
  <conditionalFormatting sqref="D41 D44 D47 T41:AE41 T44:AE44 T47:AE47">
    <cfRule type="expression" dxfId="195" priority="84" stopIfTrue="1">
      <formula>D41&lt;&gt;0</formula>
    </cfRule>
  </conditionalFormatting>
  <conditionalFormatting sqref="D51 D54 D57 T51:AF51 T54:AF54 T57:AF57">
    <cfRule type="expression" dxfId="194" priority="73" stopIfTrue="1">
      <formula>AND(ISNUMBER($G50),$G50&lt;&gt;0)</formula>
    </cfRule>
  </conditionalFormatting>
  <conditionalFormatting sqref="H51:R51 H54:R54 H57:R57">
    <cfRule type="expression" dxfId="193" priority="74" stopIfTrue="1">
      <formula>$L50=2</formula>
    </cfRule>
    <cfRule type="expression" dxfId="192" priority="75" stopIfTrue="1">
      <formula>AND($L50=1,$R50&lt;&gt;"")</formula>
    </cfRule>
  </conditionalFormatting>
  <conditionalFormatting sqref="H50:R50 H53:R53 H56:R56">
    <cfRule type="expression" dxfId="191" priority="76" stopIfTrue="1">
      <formula>$L50=2</formula>
    </cfRule>
    <cfRule type="expression" dxfId="190" priority="77" stopIfTrue="1">
      <formula>AND($L50=1,$R50&lt;&gt;"")</formula>
    </cfRule>
  </conditionalFormatting>
  <conditionalFormatting sqref="D50 D53 D56 T50:AE50 T53:AE53 T56:AE56">
    <cfRule type="expression" dxfId="189" priority="78" stopIfTrue="1">
      <formula>D50&lt;&gt;0</formula>
    </cfRule>
  </conditionalFormatting>
  <conditionalFormatting sqref="D60 D63 D66 T60:AF60 T63:AF63 T66:AF66">
    <cfRule type="expression" dxfId="188" priority="67" stopIfTrue="1">
      <formula>AND(ISNUMBER($G59),$G59&lt;&gt;0)</formula>
    </cfRule>
  </conditionalFormatting>
  <conditionalFormatting sqref="H60:R60 H63:R63 H66:R66">
    <cfRule type="expression" dxfId="187" priority="68" stopIfTrue="1">
      <formula>$L59=2</formula>
    </cfRule>
    <cfRule type="expression" dxfId="186" priority="69" stopIfTrue="1">
      <formula>AND($L59=1,$R59&lt;&gt;"")</formula>
    </cfRule>
  </conditionalFormatting>
  <conditionalFormatting sqref="H59:R59 H62:R62 H65:R65">
    <cfRule type="expression" dxfId="185" priority="70" stopIfTrue="1">
      <formula>$L59=2</formula>
    </cfRule>
    <cfRule type="expression" dxfId="184" priority="71" stopIfTrue="1">
      <formula>AND($L59=1,$R59&lt;&gt;"")</formula>
    </cfRule>
  </conditionalFormatting>
  <conditionalFormatting sqref="D59 D62 D65 T59:AE59 T62:AE62 T65:AE65">
    <cfRule type="expression" dxfId="183" priority="72" stopIfTrue="1">
      <formula>D59&lt;&gt;0</formula>
    </cfRule>
  </conditionalFormatting>
  <conditionalFormatting sqref="D69 D72 D75 T69:AF69 T72:AF72 T75:AF75">
    <cfRule type="expression" dxfId="182" priority="61" stopIfTrue="1">
      <formula>AND(ISNUMBER($G68),$G68&lt;&gt;0)</formula>
    </cfRule>
  </conditionalFormatting>
  <conditionalFormatting sqref="H69:R69 H72:R72 H75:R75">
    <cfRule type="expression" dxfId="181" priority="62" stopIfTrue="1">
      <formula>$L68=2</formula>
    </cfRule>
    <cfRule type="expression" dxfId="180" priority="63" stopIfTrue="1">
      <formula>AND($L68=1,$R68&lt;&gt;"")</formula>
    </cfRule>
  </conditionalFormatting>
  <conditionalFormatting sqref="H68:R68 H71:R71 H74:R74">
    <cfRule type="expression" dxfId="179" priority="64" stopIfTrue="1">
      <formula>$L68=2</formula>
    </cfRule>
    <cfRule type="expression" dxfId="178" priority="65" stopIfTrue="1">
      <formula>AND($L68=1,$R68&lt;&gt;"")</formula>
    </cfRule>
  </conditionalFormatting>
  <conditionalFormatting sqref="D68 D71 D74 T68:AE68 T71:AE71 T74:AE74">
    <cfRule type="expression" dxfId="177" priority="66" stopIfTrue="1">
      <formula>D68&lt;&gt;0</formula>
    </cfRule>
  </conditionalFormatting>
  <conditionalFormatting sqref="D78 D81 D84 T78:AF78 T81:AF81 T84:AF84">
    <cfRule type="expression" dxfId="176" priority="55" stopIfTrue="1">
      <formula>AND(ISNUMBER($G77),$G77&lt;&gt;0)</formula>
    </cfRule>
  </conditionalFormatting>
  <conditionalFormatting sqref="H78:R78 H81:R81 H84:R84">
    <cfRule type="expression" dxfId="175" priority="56" stopIfTrue="1">
      <formula>$L77=2</formula>
    </cfRule>
    <cfRule type="expression" dxfId="174" priority="57" stopIfTrue="1">
      <formula>AND($L77=1,$R77&lt;&gt;"")</formula>
    </cfRule>
  </conditionalFormatting>
  <conditionalFormatting sqref="H77:R77 H80:R80 H83:R83">
    <cfRule type="expression" dxfId="173" priority="58" stopIfTrue="1">
      <formula>$L77=2</formula>
    </cfRule>
    <cfRule type="expression" dxfId="172" priority="59" stopIfTrue="1">
      <formula>AND($L77=1,$R77&lt;&gt;"")</formula>
    </cfRule>
  </conditionalFormatting>
  <conditionalFormatting sqref="D77 D80 D83 T77:AE77 T80:AE80 T83:AE83">
    <cfRule type="expression" dxfId="171" priority="60" stopIfTrue="1">
      <formula>D77&lt;&gt;0</formula>
    </cfRule>
  </conditionalFormatting>
  <conditionalFormatting sqref="D87 D90 D93 T87:AF87 T90:AF90 T93:AF93">
    <cfRule type="expression" dxfId="170" priority="49" stopIfTrue="1">
      <formula>AND(ISNUMBER($G86),$G86&lt;&gt;0)</formula>
    </cfRule>
  </conditionalFormatting>
  <conditionalFormatting sqref="H87:R87 H90:R90 H93:R93">
    <cfRule type="expression" dxfId="169" priority="50" stopIfTrue="1">
      <formula>$L86=2</formula>
    </cfRule>
    <cfRule type="expression" dxfId="168" priority="51" stopIfTrue="1">
      <formula>AND($L86=1,$R86&lt;&gt;"")</formula>
    </cfRule>
  </conditionalFormatting>
  <conditionalFormatting sqref="H86:R86 H89:R89 H92:R92">
    <cfRule type="expression" dxfId="167" priority="52" stopIfTrue="1">
      <formula>$L86=2</formula>
    </cfRule>
    <cfRule type="expression" dxfId="166" priority="53" stopIfTrue="1">
      <formula>AND($L86=1,$R86&lt;&gt;"")</formula>
    </cfRule>
  </conditionalFormatting>
  <conditionalFormatting sqref="D86 D89 D92 T86:AE86 T89:AE89 T92:AE92">
    <cfRule type="expression" dxfId="165" priority="54" stopIfTrue="1">
      <formula>D86&lt;&gt;0</formula>
    </cfRule>
  </conditionalFormatting>
  <conditionalFormatting sqref="D96 D99 D102 T96:AF96 T99:AF99 T102:AF102">
    <cfRule type="expression" dxfId="164" priority="43" stopIfTrue="1">
      <formula>AND(ISNUMBER($G95),$G95&lt;&gt;0)</formula>
    </cfRule>
  </conditionalFormatting>
  <conditionalFormatting sqref="H96:R96 H99:R99 H102:R102">
    <cfRule type="expression" dxfId="163" priority="44" stopIfTrue="1">
      <formula>$L95=2</formula>
    </cfRule>
    <cfRule type="expression" dxfId="162" priority="45" stopIfTrue="1">
      <formula>AND($L95=1,$R95&lt;&gt;"")</formula>
    </cfRule>
  </conditionalFormatting>
  <conditionalFormatting sqref="H95:R95 H98:R98 H101:R101">
    <cfRule type="expression" dxfId="161" priority="46" stopIfTrue="1">
      <formula>$L95=2</formula>
    </cfRule>
    <cfRule type="expression" dxfId="160" priority="47" stopIfTrue="1">
      <formula>AND($L95=1,$R95&lt;&gt;"")</formula>
    </cfRule>
  </conditionalFormatting>
  <conditionalFormatting sqref="D95 D98 D101 T95:AE95 T98:AE98 T101:AE101">
    <cfRule type="expression" dxfId="159" priority="48" stopIfTrue="1">
      <formula>D95&lt;&gt;0</formula>
    </cfRule>
  </conditionalFormatting>
  <conditionalFormatting sqref="D105 D108 D111 T105:AF105 T108:AF108 T111:AF111">
    <cfRule type="expression" dxfId="158" priority="37" stopIfTrue="1">
      <formula>AND(ISNUMBER($G104),$G104&lt;&gt;0)</formula>
    </cfRule>
  </conditionalFormatting>
  <conditionalFormatting sqref="H105:R105 H108:R108 H111:R111">
    <cfRule type="expression" dxfId="157" priority="38" stopIfTrue="1">
      <formula>$L104=2</formula>
    </cfRule>
    <cfRule type="expression" dxfId="156" priority="39" stopIfTrue="1">
      <formula>AND($L104=1,$R104&lt;&gt;"")</formula>
    </cfRule>
  </conditionalFormatting>
  <conditionalFormatting sqref="H104:R104 H107:R107 H110:R110">
    <cfRule type="expression" dxfId="155" priority="40" stopIfTrue="1">
      <formula>$L104=2</formula>
    </cfRule>
    <cfRule type="expression" dxfId="154" priority="41" stopIfTrue="1">
      <formula>AND($L104=1,$R104&lt;&gt;"")</formula>
    </cfRule>
  </conditionalFormatting>
  <conditionalFormatting sqref="D104 D107 D110 T104:AE104 T107:AE107 T110:AE110">
    <cfRule type="expression" dxfId="153" priority="42" stopIfTrue="1">
      <formula>D104&lt;&gt;0</formula>
    </cfRule>
  </conditionalFormatting>
  <conditionalFormatting sqref="D114 D117 D120 T114:AF114 T117:AF117 T120:AF120">
    <cfRule type="expression" dxfId="152" priority="31" stopIfTrue="1">
      <formula>AND(ISNUMBER($G113),$G113&lt;&gt;0)</formula>
    </cfRule>
  </conditionalFormatting>
  <conditionalFormatting sqref="H114:R114 H117:R117 H120:R120">
    <cfRule type="expression" dxfId="151" priority="32" stopIfTrue="1">
      <formula>$L113=2</formula>
    </cfRule>
    <cfRule type="expression" dxfId="150" priority="33" stopIfTrue="1">
      <formula>AND($L113=1,$R113&lt;&gt;"")</formula>
    </cfRule>
  </conditionalFormatting>
  <conditionalFormatting sqref="H113:R113 H116:R116 H119:R119">
    <cfRule type="expression" dxfId="149" priority="34" stopIfTrue="1">
      <formula>$L113=2</formula>
    </cfRule>
    <cfRule type="expression" dxfId="148" priority="35" stopIfTrue="1">
      <formula>AND($L113=1,$R113&lt;&gt;"")</formula>
    </cfRule>
  </conditionalFormatting>
  <conditionalFormatting sqref="D113 D116 D119 T113:AE113 T116:AE116 T119:AE119">
    <cfRule type="expression" dxfId="147" priority="36" stopIfTrue="1">
      <formula>D113&lt;&gt;0</formula>
    </cfRule>
  </conditionalFormatting>
  <conditionalFormatting sqref="D123 D126 D129 T123:AF123 T126:AF126 T129:AF129">
    <cfRule type="expression" dxfId="146" priority="25" stopIfTrue="1">
      <formula>AND(ISNUMBER($G122),$G122&lt;&gt;0)</formula>
    </cfRule>
  </conditionalFormatting>
  <conditionalFormatting sqref="H123:R123 H126:R126 H129:R129">
    <cfRule type="expression" dxfId="145" priority="26" stopIfTrue="1">
      <formula>$L122=2</formula>
    </cfRule>
    <cfRule type="expression" dxfId="144" priority="27" stopIfTrue="1">
      <formula>AND($L122=1,$R122&lt;&gt;"")</formula>
    </cfRule>
  </conditionalFormatting>
  <conditionalFormatting sqref="H122:R122 H125:R125 H128:R128">
    <cfRule type="expression" dxfId="143" priority="28" stopIfTrue="1">
      <formula>$L122=2</formula>
    </cfRule>
    <cfRule type="expression" dxfId="142" priority="29" stopIfTrue="1">
      <formula>AND($L122=1,$R122&lt;&gt;"")</formula>
    </cfRule>
  </conditionalFormatting>
  <conditionalFormatting sqref="D122 D125 D128 T122:AE122 T125:AE125 T128:AE128">
    <cfRule type="expression" dxfId="141" priority="30" stopIfTrue="1">
      <formula>D122&lt;&gt;0</formula>
    </cfRule>
  </conditionalFormatting>
  <conditionalFormatting sqref="D132 D135 D138 T132:AF132 T135:AF135 T138:AF138">
    <cfRule type="expression" dxfId="140" priority="19" stopIfTrue="1">
      <formula>AND(ISNUMBER($G131),$G131&lt;&gt;0)</formula>
    </cfRule>
  </conditionalFormatting>
  <conditionalFormatting sqref="H132:R132 H135:R135 H138:R138">
    <cfRule type="expression" dxfId="139" priority="20" stopIfTrue="1">
      <formula>$L131=2</formula>
    </cfRule>
    <cfRule type="expression" dxfId="138" priority="21" stopIfTrue="1">
      <formula>AND($L131=1,$R131&lt;&gt;"")</formula>
    </cfRule>
  </conditionalFormatting>
  <conditionalFormatting sqref="H131:R131 H134:R134 H137:R137">
    <cfRule type="expression" dxfId="137" priority="22" stopIfTrue="1">
      <formula>$L131=2</formula>
    </cfRule>
    <cfRule type="expression" dxfId="136" priority="23" stopIfTrue="1">
      <formula>AND($L131=1,$R131&lt;&gt;"")</formula>
    </cfRule>
  </conditionalFormatting>
  <conditionalFormatting sqref="D131 D134 D137 T131:AE131 T134:AE134 T137:AE137">
    <cfRule type="expression" dxfId="135" priority="24" stopIfTrue="1">
      <formula>D131&lt;&gt;0</formula>
    </cfRule>
  </conditionalFormatting>
  <conditionalFormatting sqref="D141 D144 D147 T141:AF141 T144:AF144 T147:AF147">
    <cfRule type="expression" dxfId="134" priority="13" stopIfTrue="1">
      <formula>AND(ISNUMBER($G140),$G140&lt;&gt;0)</formula>
    </cfRule>
  </conditionalFormatting>
  <conditionalFormatting sqref="H141:R141 H144:R144 H147:R147">
    <cfRule type="expression" dxfId="133" priority="14" stopIfTrue="1">
      <formula>$L140=2</formula>
    </cfRule>
    <cfRule type="expression" dxfId="132" priority="15" stopIfTrue="1">
      <formula>AND($L140=1,$R140&lt;&gt;"")</formula>
    </cfRule>
  </conditionalFormatting>
  <conditionalFormatting sqref="H140:R140 H143:R143 H146:R146">
    <cfRule type="expression" dxfId="131" priority="16" stopIfTrue="1">
      <formula>$L140=2</formula>
    </cfRule>
    <cfRule type="expression" dxfId="130" priority="17" stopIfTrue="1">
      <formula>AND($L140=1,$R140&lt;&gt;"")</formula>
    </cfRule>
  </conditionalFormatting>
  <conditionalFormatting sqref="D140 D143 D146 T140:AE140 T143:AE143 T146:AE146">
    <cfRule type="expression" dxfId="129" priority="18" stopIfTrue="1">
      <formula>D140&lt;&gt;0</formula>
    </cfRule>
  </conditionalFormatting>
  <conditionalFormatting sqref="D150 D153 D156 T150:AF150 T153:AF153 T156:AF156">
    <cfRule type="expression" dxfId="128" priority="7" stopIfTrue="1">
      <formula>AND(ISNUMBER($G149),$G149&lt;&gt;0)</formula>
    </cfRule>
  </conditionalFormatting>
  <conditionalFormatting sqref="H150:R150 H153:R153 H156:R156">
    <cfRule type="expression" dxfId="127" priority="8" stopIfTrue="1">
      <formula>$L149=2</formula>
    </cfRule>
    <cfRule type="expression" dxfId="126" priority="9" stopIfTrue="1">
      <formula>AND($L149=1,$R149&lt;&gt;"")</formula>
    </cfRule>
  </conditionalFormatting>
  <conditionalFormatting sqref="H149:R149 H152:R152 H155:R155">
    <cfRule type="expression" dxfId="125" priority="10" stopIfTrue="1">
      <formula>$L149=2</formula>
    </cfRule>
    <cfRule type="expression" dxfId="124" priority="11" stopIfTrue="1">
      <formula>AND($L149=1,$R149&lt;&gt;"")</formula>
    </cfRule>
  </conditionalFormatting>
  <conditionalFormatting sqref="D149 D152 D155 T149:AE149 T152:AE152 T155:AE155">
    <cfRule type="expression" dxfId="123" priority="12" stopIfTrue="1">
      <formula>D149&lt;&gt;0</formula>
    </cfRule>
  </conditionalFormatting>
  <conditionalFormatting sqref="D159 D162 T159:AF159 T162:AF162">
    <cfRule type="expression" dxfId="122" priority="1" stopIfTrue="1">
      <formula>AND(ISNUMBER($G158),$G158&lt;&gt;0)</formula>
    </cfRule>
  </conditionalFormatting>
  <conditionalFormatting sqref="H159:R159 H162:R162">
    <cfRule type="expression" dxfId="121" priority="2" stopIfTrue="1">
      <formula>$L158=2</formula>
    </cfRule>
    <cfRule type="expression" dxfId="120" priority="3" stopIfTrue="1">
      <formula>AND($L158=1,$R158&lt;&gt;"")</formula>
    </cfRule>
  </conditionalFormatting>
  <conditionalFormatting sqref="H158:R158 H161:R161">
    <cfRule type="expression" dxfId="119" priority="4" stopIfTrue="1">
      <formula>$L158=2</formula>
    </cfRule>
    <cfRule type="expression" dxfId="118" priority="5" stopIfTrue="1">
      <formula>AND($L158=1,$R158&lt;&gt;"")</formula>
    </cfRule>
  </conditionalFormatting>
  <conditionalFormatting sqref="D158 D161 T158:AE158 T161:AE161">
    <cfRule type="expression" dxfId="1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&amp;LPMv3.0.6&amp;R&amp;P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V37" sqref="V37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7" t="e">
        <f ca="1">IF(AUTOEVENTO="Manual",IF(OFFSET(EVENTOS!$F$14,CRONOPLE!$B1,0)&gt;0,"F",""),IF(CRONOPLE!B1&lt;=MAX(CÁLCULO!$M$15:$M$120),"F",""))</f>
        <v>#REF!</v>
      </c>
      <c r="B1" s="284" t="e">
        <f ca="1">OFFSET(B1,-1,0)+1</f>
        <v>#REF!</v>
      </c>
      <c r="C1" s="285" t="e">
        <f ca="1">IF(AUTOEVENTO="Manual",IF($B1&lt;&gt;1,OFFSET(EVENTOS!$D$14,$B1,0),0),IF(B1&lt;=MAX(CÁLCULO!$M$15:$M$120),VLOOKUP($B1,CÁLCULO!$M$15:$N$120,2,FALSE),0))</f>
        <v>#REF!</v>
      </c>
      <c r="E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80" t="s">
        <v>288</v>
      </c>
    </row>
    <row r="7" spans="1:31" x14ac:dyDescent="0.2">
      <c r="B7" t="s">
        <v>289</v>
      </c>
    </row>
    <row r="9" spans="1:31" ht="15" x14ac:dyDescent="0.25">
      <c r="B9" s="287" t="str">
        <f ca="1">IF(ACOMPANHAMENTO="BM","NO ACOMPANHAMENTO POR BM, UTILIZE A ABA CRONO",IF(MAX($B$14:$B$65)&lt;MAX(CÁLCULO!$M$15:$M$120),"ERRO: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288"/>
      <c r="C11" s="289"/>
      <c r="E11" s="290">
        <f ca="1">IF(E$12&gt;CÁLCULO.NúmeroDeFrentes,"",OFFSET(CÁLCULO!$P$12,0,E$12))</f>
        <v>0</v>
      </c>
      <c r="G11" s="290">
        <f ca="1">IF(G$12&gt;CÁLCULO.NúmeroDeFrentes,"",OFFSET(CÁLCULO!$P$12,0,G$12))</f>
        <v>0</v>
      </c>
      <c r="H11" s="290">
        <f ca="1">IF(H$12&gt;CÁLCULO.NúmeroDeFrentes,"",OFFSET(CÁLCULO!$P$12,0,H$12))</f>
        <v>0</v>
      </c>
      <c r="I11" s="290">
        <f ca="1">IF(I$12&gt;CÁLCULO.NúmeroDeFrentes,"",OFFSET(CÁLCULO!$P$12,0,I$12))</f>
        <v>0</v>
      </c>
      <c r="J11" s="290">
        <f ca="1">IF(J$12&gt;CÁLCULO.NúmeroDeFrentes,"",OFFSET(CÁLCULO!$P$12,0,J$12))</f>
        <v>0</v>
      </c>
      <c r="K11" s="290">
        <f ca="1">IF(K$12&gt;CÁLCULO.NúmeroDeFrentes,"",OFFSET(CÁLCULO!$P$12,0,K$12))</f>
        <v>0</v>
      </c>
      <c r="L11" s="290">
        <f ca="1">IF(L$12&gt;CÁLCULO.NúmeroDeFrentes,"",OFFSET(CÁLCULO!$P$12,0,L$12))</f>
        <v>0</v>
      </c>
      <c r="M11" s="290">
        <f ca="1">IF(M$12&gt;CÁLCULO.NúmeroDeFrentes,"",OFFSET(CÁLCULO!$P$12,0,M$12))</f>
        <v>0</v>
      </c>
      <c r="N11" s="290">
        <f ca="1">IF(N$12&gt;CÁLCULO.NúmeroDeFrentes,"",OFFSET(CÁLCULO!$P$12,0,N$12))</f>
        <v>0</v>
      </c>
      <c r="O11" s="290">
        <f ca="1">IF(O$12&gt;CÁLCULO.NúmeroDeFrentes,"",OFFSET(CÁLCULO!$P$12,0,O$12))</f>
        <v>0</v>
      </c>
      <c r="P11" s="290">
        <f ca="1">IF(P$12&gt;CÁLCULO.NúmeroDeFrentes,"",OFFSET(CÁLCULO!$P$12,0,P$12))</f>
        <v>0</v>
      </c>
      <c r="Q11" s="290" t="str">
        <f ca="1">IF(Q$12&gt;CÁLCULO.NúmeroDeFrentes,"",OFFSET(CÁLCULO!$P$12,0,Q$12))</f>
        <v/>
      </c>
      <c r="R11" s="290" t="str">
        <f ca="1">IF(R$12&gt;CÁLCULO.NúmeroDeFrentes,"",OFFSET(CÁLCULO!$P$12,0,R$12))</f>
        <v/>
      </c>
      <c r="S11" s="290" t="str">
        <f ca="1">IF(S$12&gt;CÁLCULO.NúmeroDeFrentes,"",OFFSET(CÁLCULO!$P$12,0,S$12))</f>
        <v/>
      </c>
      <c r="T11" s="290" t="str">
        <f ca="1">IF(T$12&gt;CÁLCULO.NúmeroDeFrentes,"",OFFSET(CÁLCULO!$P$12,0,T$12))</f>
        <v/>
      </c>
      <c r="U11" s="290" t="str">
        <f ca="1">IF(U$12&gt;CÁLCULO.NúmeroDeFrentes,"",OFFSET(CÁLCULO!$P$12,0,U$12))</f>
        <v/>
      </c>
      <c r="V11" s="290" t="str">
        <f ca="1">IF(V$12&gt;CÁLCULO.NúmeroDeFrentes,"",OFFSET(CÁLCULO!$P$12,0,V$12))</f>
        <v/>
      </c>
      <c r="W11" s="290" t="str">
        <f ca="1">IF(W$12&gt;CÁLCULO.NúmeroDeFrentes,"",OFFSET(CÁLCULO!$P$12,0,W$12))</f>
        <v/>
      </c>
      <c r="X11" s="290" t="str">
        <f ca="1">IF(X$12&gt;CÁLCULO.NúmeroDeFrentes,"",OFFSET(CÁLCULO!$P$12,0,X$12))</f>
        <v/>
      </c>
      <c r="Y11" s="290" t="str">
        <f ca="1">IF(Y$12&gt;CÁLCULO.NúmeroDeFrentes,"",OFFSET(CÁLCULO!$P$12,0,Y$12))</f>
        <v/>
      </c>
      <c r="Z11" s="290" t="str">
        <f ca="1">IF(Z$12&gt;CÁLCULO.NúmeroDeFrentes,"",OFFSET(CÁLCULO!$P$12,0,Z$12))</f>
        <v/>
      </c>
      <c r="AA11" s="290" t="str">
        <f ca="1">IF(AA$12&gt;CÁLCULO.NúmeroDeFrentes,"",OFFSET(CÁLCULO!$P$12,0,AA$12))</f>
        <v/>
      </c>
      <c r="AB11" s="290" t="str">
        <f ca="1">IF(AB$12&gt;CÁLCULO.NúmeroDeFrentes,"",OFFSET(CÁLCULO!$P$12,0,AB$12))</f>
        <v/>
      </c>
      <c r="AC11" s="290" t="str">
        <f ca="1">IF(AC$12&gt;CÁLCULO.NúmeroDeFrentes,"",OFFSET(CÁLCULO!$P$12,0,AC$12))</f>
        <v/>
      </c>
      <c r="AD11" s="290" t="str">
        <f ca="1">IF(AD$12&gt;CÁLCULO.NúmeroDeFrentes,"",OFFSET(CÁLCULO!$P$12,0,AD$12))</f>
        <v/>
      </c>
      <c r="AE11" s="290" t="str">
        <f ca="1">IF(AE$12&gt;CÁLCULO.NúmeroDeFrentes,"",OFFSET(CÁLCULO!$P$12,0,AE$12))</f>
        <v/>
      </c>
    </row>
    <row r="12" spans="1:31" ht="12.75" customHeight="1" x14ac:dyDescent="0.2">
      <c r="A12" s="105"/>
      <c r="B12" s="644" t="s">
        <v>266</v>
      </c>
      <c r="C12" s="644" t="s">
        <v>291</v>
      </c>
      <c r="E12" s="291">
        <f ca="1">OFFSET(E12,0,-1)+1</f>
        <v>1</v>
      </c>
      <c r="G12" s="291">
        <f ca="1">OFFSET(G12,0,-1)+1</f>
        <v>1</v>
      </c>
      <c r="H12" s="291">
        <f ca="1">OFFSET(H12,0,-1)+1</f>
        <v>2</v>
      </c>
      <c r="I12" s="291">
        <f t="shared" ref="I12:AE12" ca="1" si="0">OFFSET(I12,0,-1)+1</f>
        <v>3</v>
      </c>
      <c r="J12" s="291">
        <f t="shared" ca="1" si="0"/>
        <v>4</v>
      </c>
      <c r="K12" s="291">
        <f t="shared" ca="1" si="0"/>
        <v>5</v>
      </c>
      <c r="L12" s="291">
        <f t="shared" ca="1" si="0"/>
        <v>6</v>
      </c>
      <c r="M12" s="291">
        <f t="shared" ca="1" si="0"/>
        <v>7</v>
      </c>
      <c r="N12" s="291">
        <f t="shared" ca="1" si="0"/>
        <v>8</v>
      </c>
      <c r="O12" s="291">
        <f t="shared" ca="1" si="0"/>
        <v>9</v>
      </c>
      <c r="P12" s="291">
        <f t="shared" ca="1" si="0"/>
        <v>10</v>
      </c>
      <c r="Q12" s="291">
        <f t="shared" ca="1" si="0"/>
        <v>11</v>
      </c>
      <c r="R12" s="291">
        <f t="shared" ca="1" si="0"/>
        <v>12</v>
      </c>
      <c r="S12" s="291">
        <f t="shared" ca="1" si="0"/>
        <v>13</v>
      </c>
      <c r="T12" s="291">
        <f t="shared" ca="1" si="0"/>
        <v>14</v>
      </c>
      <c r="U12" s="291">
        <f t="shared" ca="1" si="0"/>
        <v>15</v>
      </c>
      <c r="V12" s="291">
        <f t="shared" ca="1" si="0"/>
        <v>16</v>
      </c>
      <c r="W12" s="291">
        <f t="shared" ca="1" si="0"/>
        <v>17</v>
      </c>
      <c r="X12" s="291">
        <f t="shared" ca="1" si="0"/>
        <v>18</v>
      </c>
      <c r="Y12" s="291">
        <f t="shared" ca="1" si="0"/>
        <v>19</v>
      </c>
      <c r="Z12" s="291">
        <f t="shared" ca="1" si="0"/>
        <v>20</v>
      </c>
      <c r="AA12" s="291">
        <f t="shared" ca="1" si="0"/>
        <v>21</v>
      </c>
      <c r="AB12" s="291">
        <f t="shared" ca="1" si="0"/>
        <v>22</v>
      </c>
      <c r="AC12" s="291">
        <f t="shared" ca="1" si="0"/>
        <v>23</v>
      </c>
      <c r="AD12" s="291">
        <f t="shared" ca="1" si="0"/>
        <v>24</v>
      </c>
      <c r="AE12" s="291">
        <f t="shared" ca="1" si="0"/>
        <v>25</v>
      </c>
    </row>
    <row r="13" spans="1:31" x14ac:dyDescent="0.2">
      <c r="B13" s="644"/>
      <c r="C13" s="644"/>
      <c r="E13" s="292"/>
      <c r="G13" s="293"/>
      <c r="H13" s="292"/>
      <c r="I13" s="292"/>
      <c r="J13" s="292"/>
      <c r="K13" s="292"/>
      <c r="L13" s="292"/>
      <c r="M13" s="292" t="s">
        <v>292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4"/>
    </row>
    <row r="14" spans="1:31" ht="7.5" customHeight="1" x14ac:dyDescent="0.2">
      <c r="A14" s="7"/>
    </row>
    <row r="15" spans="1:31" x14ac:dyDescent="0.2">
      <c r="A15" s="7"/>
      <c r="B15" s="295">
        <v>1</v>
      </c>
      <c r="C15" s="296" t="s">
        <v>269</v>
      </c>
      <c r="E15" s="297"/>
      <c r="G15" s="298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9"/>
    </row>
    <row r="16" spans="1:31" x14ac:dyDescent="0.2">
      <c r="A16" s="7" t="str">
        <f ca="1">IF(AUTOEVENTO="Manual",IF(OFFSET(EVENTOS!$F$14,CRONOPLE!$B16,0)&gt;0,"F",""),IF(CRONOPLE!B16&lt;=MAX(CÁLCULO!$M$15:$M$120),"F",""))</f>
        <v>F</v>
      </c>
      <c r="B16" s="284">
        <f t="shared" ref="B16:B64" ca="1" si="1">OFFSET(B16,-1,0)+1</f>
        <v>2</v>
      </c>
      <c r="C16" s="285" t="str">
        <f ca="1">IF(AUTOEVENTO="Manual",IF($B16&lt;&gt;1,OFFSET(EVENTOS!$D$14,$B16,0),0),IF(B16&lt;=MAX(CÁLCULO!$M$15:$M$120),VLOOKUP($B16,CÁLCULO!$M$15:$N$120,2,FALSE),0))</f>
        <v>ADMINISTRAÇÃO E CANTEIRO DE OBRAS</v>
      </c>
      <c r="E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</row>
    <row r="17" spans="1:31" x14ac:dyDescent="0.2">
      <c r="A17" s="7" t="str">
        <f ca="1">IF(AUTOEVENTO="Manual",IF(OFFSET(EVENTOS!$F$14,CRONOPLE!$B17,0)&gt;0,"F",""),IF(CRONOPLE!B17&lt;=MAX(CÁLCULO!$M$15:$M$120),"F",""))</f>
        <v>F</v>
      </c>
      <c r="B17" s="284">
        <f t="shared" ca="1" si="1"/>
        <v>3</v>
      </c>
      <c r="C17" s="285" t="str">
        <f ca="1">IF(AUTOEVENTO="Manual",IF($B17&lt;&gt;1,OFFSET(EVENTOS!$D$14,$B17,0),0),IF(B17&lt;=MAX(CÁLCULO!$M$15:$M$120),VLOOKUP($B17,CÁLCULO!$M$15:$N$120,2,FALSE),0))</f>
        <v>SERVIÇOS PRELIMINARES</v>
      </c>
      <c r="E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</row>
    <row r="18" spans="1:31" x14ac:dyDescent="0.2">
      <c r="A18" s="7" t="str">
        <f ca="1">IF(AUTOEVENTO="Manual",IF(OFFSET(EVENTOS!$F$14,CRONOPLE!$B18,0)&gt;0,"F",""),IF(CRONOPLE!B18&lt;=MAX(CÁLCULO!$M$15:$M$120),"F",""))</f>
        <v>F</v>
      </c>
      <c r="B18" s="284">
        <f t="shared" ca="1" si="1"/>
        <v>4</v>
      </c>
      <c r="C18" s="285" t="str">
        <f ca="1">IF(AUTOEVENTO="Manual",IF($B18&lt;&gt;1,OFFSET(EVENTOS!$D$14,$B18,0),0),IF(B18&lt;=MAX(CÁLCULO!$M$15:$M$120),VLOOKUP($B18,CÁLCULO!$M$15:$N$120,2,FALSE),0))</f>
        <v>FUNDAÇÕES</v>
      </c>
      <c r="E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</row>
    <row r="19" spans="1:31" x14ac:dyDescent="0.2">
      <c r="A19" s="7" t="str">
        <f ca="1">IF(AUTOEVENTO="Manual",IF(OFFSET(EVENTOS!$F$14,CRONOPLE!$B19,0)&gt;0,"F",""),IF(CRONOPLE!B19&lt;=MAX(CÁLCULO!$M$15:$M$120),"F",""))</f>
        <v>F</v>
      </c>
      <c r="B19" s="284">
        <f t="shared" ca="1" si="1"/>
        <v>5</v>
      </c>
      <c r="C19" s="285" t="str">
        <f ca="1">IF(AUTOEVENTO="Manual",IF($B19&lt;&gt;1,OFFSET(EVENTOS!$D$14,$B19,0),0),IF(B19&lt;=MAX(CÁLCULO!$M$15:$M$120),VLOOKUP($B19,CÁLCULO!$M$15:$N$120,2,FALSE),0))</f>
        <v>ESTRUTURA DE CONCRETO</v>
      </c>
      <c r="E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</row>
    <row r="20" spans="1:31" x14ac:dyDescent="0.2">
      <c r="A20" s="7" t="str">
        <f ca="1">IF(AUTOEVENTO="Manual",IF(OFFSET(EVENTOS!$F$14,CRONOPLE!$B20,0)&gt;0,"F",""),IF(CRONOPLE!B20&lt;=MAX(CÁLCULO!$M$15:$M$120),"F",""))</f>
        <v>F</v>
      </c>
      <c r="B20" s="284">
        <f t="shared" ca="1" si="1"/>
        <v>6</v>
      </c>
      <c r="C20" s="285" t="str">
        <f ca="1">IF(AUTOEVENTO="Manual",IF($B20&lt;&gt;1,OFFSET(EVENTOS!$D$14,$B20,0),0),IF(B20&lt;=MAX(CÁLCULO!$M$15:$M$120),VLOOKUP($B20,CÁLCULO!$M$15:$N$120,2,FALSE),0))</f>
        <v>PAREDES E DIVISÓRIAS</v>
      </c>
      <c r="E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</row>
    <row r="21" spans="1:31" x14ac:dyDescent="0.2">
      <c r="A21" s="7" t="str">
        <f ca="1">IF(AUTOEVENTO="Manual",IF(OFFSET(EVENTOS!$F$14,CRONOPLE!$B21,0)&gt;0,"F",""),IF(CRONOPLE!B21&lt;=MAX(CÁLCULO!$M$15:$M$120),"F",""))</f>
        <v>F</v>
      </c>
      <c r="B21" s="284">
        <f t="shared" ca="1" si="1"/>
        <v>7</v>
      </c>
      <c r="C21" s="285" t="str">
        <f ca="1">IF(AUTOEVENTO="Manual",IF($B21&lt;&gt;1,OFFSET(EVENTOS!$D$14,$B21,0),0),IF(B21&lt;=MAX(CÁLCULO!$M$15:$M$120),VLOOKUP($B21,CÁLCULO!$M$15:$N$120,2,FALSE),0))</f>
        <v>COBERTURA</v>
      </c>
      <c r="E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</row>
    <row r="22" spans="1:31" x14ac:dyDescent="0.2">
      <c r="A22" s="7" t="str">
        <f ca="1">IF(AUTOEVENTO="Manual",IF(OFFSET(EVENTOS!$F$14,CRONOPLE!$B22,0)&gt;0,"F",""),IF(CRONOPLE!B22&lt;=MAX(CÁLCULO!$M$15:$M$120),"F",""))</f>
        <v>F</v>
      </c>
      <c r="B22" s="284">
        <f t="shared" ca="1" si="1"/>
        <v>8</v>
      </c>
      <c r="C22" s="285" t="str">
        <f ca="1">IF(AUTOEVENTO="Manual",IF($B22&lt;&gt;1,OFFSET(EVENTOS!$D$14,$B22,0),0),IF(B22&lt;=MAX(CÁLCULO!$M$15:$M$120),VLOOKUP($B22,CÁLCULO!$M$15:$N$120,2,FALSE),0))</f>
        <v>REVESTIMENTOS DE FACHADA</v>
      </c>
      <c r="E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</row>
    <row r="23" spans="1:31" x14ac:dyDescent="0.2">
      <c r="A23" s="7" t="str">
        <f ca="1">IF(AUTOEVENTO="Manual",IF(OFFSET(EVENTOS!$F$14,CRONOPLE!$B23,0)&gt;0,"F",""),IF(CRONOPLE!B23&lt;=MAX(CÁLCULO!$M$15:$M$120),"F",""))</f>
        <v>F</v>
      </c>
      <c r="B23" s="284">
        <f t="shared" ca="1" si="1"/>
        <v>9</v>
      </c>
      <c r="C23" s="285" t="str">
        <f ca="1">IF(AUTOEVENTO="Manual",IF($B23&lt;&gt;1,OFFSET(EVENTOS!$D$14,$B23,0),0),IF(B23&lt;=MAX(CÁLCULO!$M$15:$M$120),VLOOKUP($B23,CÁLCULO!$M$15:$N$120,2,FALSE),0))</f>
        <v>REVESTIMENTOS DE PAREDES INTERNAS</v>
      </c>
      <c r="E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</row>
    <row r="24" spans="1:31" x14ac:dyDescent="0.2">
      <c r="A24" s="7" t="str">
        <f ca="1">IF(AUTOEVENTO="Manual",IF(OFFSET(EVENTOS!$F$14,CRONOPLE!$B24,0)&gt;0,"F",""),IF(CRONOPLE!B24&lt;=MAX(CÁLCULO!$M$15:$M$120),"F",""))</f>
        <v>F</v>
      </c>
      <c r="B24" s="284">
        <f t="shared" ca="1" si="1"/>
        <v>10</v>
      </c>
      <c r="C24" s="285" t="str">
        <f ca="1">IF(AUTOEVENTO="Manual",IF($B24&lt;&gt;1,OFFSET(EVENTOS!$D$14,$B24,0),0),IF(B24&lt;=MAX(CÁLCULO!$M$15:$M$120),VLOOKUP($B24,CÁLCULO!$M$15:$N$120,2,FALSE),0))</f>
        <v>IMPERMEABILIZAÇÃO</v>
      </c>
      <c r="E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</row>
    <row r="25" spans="1:31" x14ac:dyDescent="0.2">
      <c r="A25" s="7" t="str">
        <f ca="1">IF(AUTOEVENTO="Manual",IF(OFFSET(EVENTOS!$F$14,CRONOPLE!$B25,0)&gt;0,"F",""),IF(CRONOPLE!B25&lt;=MAX(CÁLCULO!$M$15:$M$120),"F",""))</f>
        <v>F</v>
      </c>
      <c r="B25" s="284">
        <f t="shared" ca="1" si="1"/>
        <v>11</v>
      </c>
      <c r="C25" s="285" t="str">
        <f ca="1">IF(AUTOEVENTO="Manual",IF($B25&lt;&gt;1,OFFSET(EVENTOS!$D$14,$B25,0),0),IF(B25&lt;=MAX(CÁLCULO!$M$15:$M$120),VLOOKUP($B25,CÁLCULO!$M$15:$N$120,2,FALSE),0))</f>
        <v>REVESTIMENTO DE PISO</v>
      </c>
      <c r="E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</row>
    <row r="26" spans="1:31" x14ac:dyDescent="0.2">
      <c r="A26" s="7" t="str">
        <f ca="1">IF(AUTOEVENTO="Manual",IF(OFFSET(EVENTOS!$F$14,CRONOPLE!$B26,0)&gt;0,"F",""),IF(CRONOPLE!B26&lt;=MAX(CÁLCULO!$M$15:$M$120),"F",""))</f>
        <v>F</v>
      </c>
      <c r="B26" s="284">
        <f t="shared" ca="1" si="1"/>
        <v>12</v>
      </c>
      <c r="C26" s="285" t="str">
        <f ca="1">IF(AUTOEVENTO="Manual",IF($B26&lt;&gt;1,OFFSET(EVENTOS!$D$14,$B26,0),0),IF(B26&lt;=MAX(CÁLCULO!$M$15:$M$120),VLOOKUP($B26,CÁLCULO!$M$15:$N$120,2,FALSE),0))</f>
        <v>ESQUADRIAS</v>
      </c>
      <c r="E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</row>
    <row r="27" spans="1:31" x14ac:dyDescent="0.2">
      <c r="A27" s="7" t="str">
        <f ca="1">IF(AUTOEVENTO="Manual",IF(OFFSET(EVENTOS!$F$14,CRONOPLE!$B27,0)&gt;0,"F",""),IF(CRONOPLE!B27&lt;=MAX(CÁLCULO!$M$15:$M$120),"F",""))</f>
        <v>F</v>
      </c>
      <c r="B27" s="284">
        <f t="shared" ca="1" si="1"/>
        <v>13</v>
      </c>
      <c r="C27" s="285" t="str">
        <f ca="1">IF(AUTOEVENTO="Manual",IF($B27&lt;&gt;1,OFFSET(EVENTOS!$D$14,$B27,0),0),IF(B27&lt;=MAX(CÁLCULO!$M$15:$M$120),VLOOKUP($B27,CÁLCULO!$M$15:$N$120,2,FALSE),0))</f>
        <v>LOUÇAS, METAIS E ACESSÓRIOS</v>
      </c>
      <c r="E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</row>
    <row r="28" spans="1:31" x14ac:dyDescent="0.2">
      <c r="A28" s="7" t="str">
        <f ca="1">IF(AUTOEVENTO="Manual",IF(OFFSET(EVENTOS!$F$14,CRONOPLE!$B28,0)&gt;0,"F",""),IF(CRONOPLE!B28&lt;=MAX(CÁLCULO!$M$15:$M$120),"F",""))</f>
        <v>F</v>
      </c>
      <c r="B28" s="284">
        <f t="shared" ca="1" si="1"/>
        <v>14</v>
      </c>
      <c r="C28" s="285" t="str">
        <f ca="1">IF(AUTOEVENTO="Manual",IF($B28&lt;&gt;1,OFFSET(EVENTOS!$D$14,$B28,0),0),IF(B28&lt;=MAX(CÁLCULO!$M$15:$M$120),VLOOKUP($B28,CÁLCULO!$M$15:$N$120,2,FALSE),0))</f>
        <v>INSTALAÇÕES HIDROSSANITÁRIAS</v>
      </c>
      <c r="E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</row>
    <row r="29" spans="1:31" x14ac:dyDescent="0.2">
      <c r="A29" s="7" t="str">
        <f ca="1">IF(AUTOEVENTO="Manual",IF(OFFSET(EVENTOS!$F$14,CRONOPLE!$B29,0)&gt;0,"F",""),IF(CRONOPLE!B29&lt;=MAX(CÁLCULO!$M$15:$M$120),"F",""))</f>
        <v>F</v>
      </c>
      <c r="B29" s="284">
        <f t="shared" ca="1" si="1"/>
        <v>15</v>
      </c>
      <c r="C29" s="285" t="str">
        <f ca="1">IF(AUTOEVENTO="Manual",IF($B29&lt;&gt;1,OFFSET(EVENTOS!$D$14,$B29,0),0),IF(B29&lt;=MAX(CÁLCULO!$M$15:$M$120),VLOOKUP($B29,CÁLCULO!$M$15:$N$120,2,FALSE),0))</f>
        <v>INSTALAÇÕES ELÉTRICAS</v>
      </c>
      <c r="E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</row>
    <row r="30" spans="1:31" x14ac:dyDescent="0.2">
      <c r="A30" s="7" t="str">
        <f ca="1">IF(AUTOEVENTO="Manual",IF(OFFSET(EVENTOS!$F$14,CRONOPLE!$B30,0)&gt;0,"F",""),IF(CRONOPLE!B30&lt;=MAX(CÁLCULO!$M$15:$M$120),"F",""))</f>
        <v/>
      </c>
      <c r="B30" s="284">
        <f t="shared" ca="1" si="1"/>
        <v>16</v>
      </c>
      <c r="C30" s="285">
        <f ca="1">IF(AUTOEVENTO="Manual",IF($B30&lt;&gt;1,OFFSET(EVENTOS!$D$14,$B30,0),0),IF(B30&lt;=MAX(CÁLCULO!$M$15:$M$120),VLOOKUP($B30,CÁLCULO!$M$15:$N$120,2,FALSE),0))</f>
        <v>0</v>
      </c>
      <c r="E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</row>
    <row r="31" spans="1:31" x14ac:dyDescent="0.2">
      <c r="A31" s="7" t="str">
        <f ca="1">IF(AUTOEVENTO="Manual",IF(OFFSET(EVENTOS!$F$14,CRONOPLE!$B31,0)&gt;0,"F",""),IF(CRONOPLE!B31&lt;=MAX(CÁLCULO!$M$15:$M$120),"F",""))</f>
        <v/>
      </c>
      <c r="B31" s="284">
        <f t="shared" ca="1" si="1"/>
        <v>17</v>
      </c>
      <c r="C31" s="285">
        <f ca="1">IF(AUTOEVENTO="Manual",IF($B31&lt;&gt;1,OFFSET(EVENTOS!$D$14,$B31,0),0),IF(B31&lt;=MAX(CÁLCULO!$M$15:$M$120),VLOOKUP($B31,CÁLCULO!$M$15:$N$120,2,FALSE),0))</f>
        <v>0</v>
      </c>
      <c r="E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</row>
    <row r="32" spans="1:31" x14ac:dyDescent="0.2">
      <c r="A32" s="7" t="str">
        <f ca="1">IF(AUTOEVENTO="Manual",IF(OFFSET(EVENTOS!$F$14,CRONOPLE!$B32,0)&gt;0,"F",""),IF(CRONOPLE!B32&lt;=MAX(CÁLCULO!$M$15:$M$120),"F",""))</f>
        <v/>
      </c>
      <c r="B32" s="284">
        <f t="shared" ca="1" si="1"/>
        <v>18</v>
      </c>
      <c r="C32" s="285">
        <f ca="1">IF(AUTOEVENTO="Manual",IF($B32&lt;&gt;1,OFFSET(EVENTOS!$D$14,$B32,0),0),IF(B32&lt;=MAX(CÁLCULO!$M$15:$M$120),VLOOKUP($B32,CÁLCULO!$M$15:$N$120,2,FALSE),0))</f>
        <v>0</v>
      </c>
      <c r="E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</row>
    <row r="33" spans="1:31" x14ac:dyDescent="0.2">
      <c r="A33" s="7" t="str">
        <f ca="1">IF(AUTOEVENTO="Manual",IF(OFFSET(EVENTOS!$F$14,CRONOPLE!$B33,0)&gt;0,"F",""),IF(CRONOPLE!B33&lt;=MAX(CÁLCULO!$M$15:$M$120),"F",""))</f>
        <v/>
      </c>
      <c r="B33" s="284">
        <f t="shared" ca="1" si="1"/>
        <v>19</v>
      </c>
      <c r="C33" s="285">
        <f ca="1">IF(AUTOEVENTO="Manual",IF($B33&lt;&gt;1,OFFSET(EVENTOS!$D$14,$B33,0),0),IF(B33&lt;=MAX(CÁLCULO!$M$15:$M$120),VLOOKUP($B33,CÁLCULO!$M$15:$N$120,2,FALSE),0))</f>
        <v>0</v>
      </c>
      <c r="E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</row>
    <row r="34" spans="1:31" x14ac:dyDescent="0.2">
      <c r="A34" s="7" t="str">
        <f ca="1">IF(AUTOEVENTO="Manual",IF(OFFSET(EVENTOS!$F$14,CRONOPLE!$B34,0)&gt;0,"F",""),IF(CRONOPLE!B34&lt;=MAX(CÁLCULO!$M$15:$M$120),"F",""))</f>
        <v/>
      </c>
      <c r="B34" s="284">
        <f t="shared" ca="1" si="1"/>
        <v>20</v>
      </c>
      <c r="C34" s="285">
        <f ca="1">IF(AUTOEVENTO="Manual",IF($B34&lt;&gt;1,OFFSET(EVENTOS!$D$14,$B34,0),0),IF(B34&lt;=MAX(CÁLCULO!$M$15:$M$120),VLOOKUP($B34,CÁLCULO!$M$15:$N$120,2,FALSE),0))</f>
        <v>0</v>
      </c>
      <c r="E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</row>
    <row r="35" spans="1:31" x14ac:dyDescent="0.2">
      <c r="A35" s="7" t="str">
        <f ca="1">IF(AUTOEVENTO="Manual",IF(OFFSET(EVENTOS!$F$14,CRONOPLE!$B35,0)&gt;0,"F",""),IF(CRONOPLE!B35&lt;=MAX(CÁLCULO!$M$15:$M$120),"F",""))</f>
        <v/>
      </c>
      <c r="B35" s="284">
        <f t="shared" ca="1" si="1"/>
        <v>21</v>
      </c>
      <c r="C35" s="285">
        <f ca="1">IF(AUTOEVENTO="Manual",IF($B35&lt;&gt;1,OFFSET(EVENTOS!$D$14,$B35,0),0),IF(B35&lt;=MAX(CÁLCULO!$M$15:$M$120),VLOOKUP($B35,CÁLCULO!$M$15:$N$120,2,FALSE),0))</f>
        <v>0</v>
      </c>
      <c r="E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</row>
    <row r="36" spans="1:31" x14ac:dyDescent="0.2">
      <c r="A36" s="7" t="str">
        <f ca="1">IF(AUTOEVENTO="Manual",IF(OFFSET(EVENTOS!$F$14,CRONOPLE!$B36,0)&gt;0,"F",""),IF(CRONOPLE!B36&lt;=MAX(CÁLCULO!$M$15:$M$120),"F",""))</f>
        <v/>
      </c>
      <c r="B36" s="284">
        <f t="shared" ca="1" si="1"/>
        <v>22</v>
      </c>
      <c r="C36" s="285">
        <f ca="1">IF(AUTOEVENTO="Manual",IF($B36&lt;&gt;1,OFFSET(EVENTOS!$D$14,$B36,0),0),IF(B36&lt;=MAX(CÁLCULO!$M$15:$M$120),VLOOKUP($B36,CÁLCULO!$M$15:$N$120,2,FALSE),0))</f>
        <v>0</v>
      </c>
      <c r="E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</row>
    <row r="37" spans="1:31" x14ac:dyDescent="0.2">
      <c r="A37" s="7" t="str">
        <f ca="1">IF(AUTOEVENTO="Manual",IF(OFFSET(EVENTOS!$F$14,CRONOPLE!$B37,0)&gt;0,"F",""),IF(CRONOPLE!B37&lt;=MAX(CÁLCULO!$M$15:$M$120),"F",""))</f>
        <v/>
      </c>
      <c r="B37" s="284">
        <f t="shared" ca="1" si="1"/>
        <v>23</v>
      </c>
      <c r="C37" s="285">
        <f ca="1">IF(AUTOEVENTO="Manual",IF($B37&lt;&gt;1,OFFSET(EVENTOS!$D$14,$B37,0),0),IF(B37&lt;=MAX(CÁLCULO!$M$15:$M$120),VLOOKUP($B37,CÁLCULO!$M$15:$N$120,2,FALSE),0))</f>
        <v>0</v>
      </c>
      <c r="E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</row>
    <row r="38" spans="1:31" x14ac:dyDescent="0.2">
      <c r="A38" s="7" t="str">
        <f ca="1">IF(AUTOEVENTO="Manual",IF(OFFSET(EVENTOS!$F$14,CRONOPLE!$B38,0)&gt;0,"F",""),IF(CRONOPLE!B38&lt;=MAX(CÁLCULO!$M$15:$M$120),"F",""))</f>
        <v/>
      </c>
      <c r="B38" s="284">
        <f t="shared" ca="1" si="1"/>
        <v>24</v>
      </c>
      <c r="C38" s="285">
        <f ca="1">IF(AUTOEVENTO="Manual",IF($B38&lt;&gt;1,OFFSET(EVENTOS!$D$14,$B38,0),0),IF(B38&lt;=MAX(CÁLCULO!$M$15:$M$120),VLOOKUP($B38,CÁLCULO!$M$15:$N$120,2,FALSE),0))</f>
        <v>0</v>
      </c>
      <c r="E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</row>
    <row r="39" spans="1:31" x14ac:dyDescent="0.2">
      <c r="A39" s="7" t="str">
        <f ca="1">IF(AUTOEVENTO="Manual",IF(OFFSET(EVENTOS!$F$14,CRONOPLE!$B39,0)&gt;0,"F",""),IF(CRONOPLE!B39&lt;=MAX(CÁLCULO!$M$15:$M$120),"F",""))</f>
        <v/>
      </c>
      <c r="B39" s="284">
        <f t="shared" ca="1" si="1"/>
        <v>25</v>
      </c>
      <c r="C39" s="285">
        <f ca="1">IF(AUTOEVENTO="Manual",IF($B39&lt;&gt;1,OFFSET(EVENTOS!$D$14,$B39,0),0),IF(B39&lt;=MAX(CÁLCULO!$M$15:$M$120),VLOOKUP($B39,CÁLCULO!$M$15:$N$120,2,FALSE),0))</f>
        <v>0</v>
      </c>
      <c r="E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</row>
    <row r="40" spans="1:31" x14ac:dyDescent="0.2">
      <c r="A40" s="7" t="str">
        <f ca="1">IF(AUTOEVENTO="Manual",IF(OFFSET(EVENTOS!$F$14,CRONOPLE!$B40,0)&gt;0,"F",""),IF(CRONOPLE!B40&lt;=MAX(CÁLCULO!$M$15:$M$120),"F",""))</f>
        <v/>
      </c>
      <c r="B40" s="284">
        <f t="shared" ca="1" si="1"/>
        <v>26</v>
      </c>
      <c r="C40" s="285">
        <f ca="1">IF(AUTOEVENTO="Manual",IF($B40&lt;&gt;1,OFFSET(EVENTOS!$D$14,$B40,0),0),IF(B40&lt;=MAX(CÁLCULO!$M$15:$M$120),VLOOKUP($B40,CÁLCULO!$M$15:$N$120,2,FALSE),0))</f>
        <v>0</v>
      </c>
      <c r="E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</row>
    <row r="41" spans="1:31" x14ac:dyDescent="0.2">
      <c r="A41" s="7" t="str">
        <f ca="1">IF(AUTOEVENTO="Manual",IF(OFFSET(EVENTOS!$F$14,CRONOPLE!$B41,0)&gt;0,"F",""),IF(CRONOPLE!B41&lt;=MAX(CÁLCULO!$M$15:$M$120),"F",""))</f>
        <v/>
      </c>
      <c r="B41" s="284">
        <f t="shared" ca="1" si="1"/>
        <v>27</v>
      </c>
      <c r="C41" s="285">
        <f ca="1">IF(AUTOEVENTO="Manual",IF($B41&lt;&gt;1,OFFSET(EVENTOS!$D$14,$B41,0),0),IF(B41&lt;=MAX(CÁLCULO!$M$15:$M$120),VLOOKUP($B41,CÁLCULO!$M$15:$N$120,2,FALSE),0))</f>
        <v>0</v>
      </c>
      <c r="E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</row>
    <row r="42" spans="1:31" x14ac:dyDescent="0.2">
      <c r="A42" s="7" t="str">
        <f ca="1">IF(AUTOEVENTO="Manual",IF(OFFSET(EVENTOS!$F$14,CRONOPLE!$B42,0)&gt;0,"F",""),IF(CRONOPLE!B42&lt;=MAX(CÁLCULO!$M$15:$M$120),"F",""))</f>
        <v/>
      </c>
      <c r="B42" s="284">
        <f t="shared" ca="1" si="1"/>
        <v>28</v>
      </c>
      <c r="C42" s="285">
        <f ca="1">IF(AUTOEVENTO="Manual",IF($B42&lt;&gt;1,OFFSET(EVENTOS!$D$14,$B42,0),0),IF(B42&lt;=MAX(CÁLCULO!$M$15:$M$120),VLOOKUP($B42,CÁLCULO!$M$15:$N$120,2,FALSE),0))</f>
        <v>0</v>
      </c>
      <c r="E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</row>
    <row r="43" spans="1:31" x14ac:dyDescent="0.2">
      <c r="A43" s="7" t="str">
        <f ca="1">IF(AUTOEVENTO="Manual",IF(OFFSET(EVENTOS!$F$14,CRONOPLE!$B43,0)&gt;0,"F",""),IF(CRONOPLE!B43&lt;=MAX(CÁLCULO!$M$15:$M$120),"F",""))</f>
        <v/>
      </c>
      <c r="B43" s="284">
        <f t="shared" ca="1" si="1"/>
        <v>29</v>
      </c>
      <c r="C43" s="285">
        <f ca="1">IF(AUTOEVENTO="Manual",IF($B43&lt;&gt;1,OFFSET(EVENTOS!$D$14,$B43,0),0),IF(B43&lt;=MAX(CÁLCULO!$M$15:$M$120),VLOOKUP($B43,CÁLCULO!$M$15:$N$120,2,FALSE),0))</f>
        <v>0</v>
      </c>
      <c r="E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</row>
    <row r="44" spans="1:31" x14ac:dyDescent="0.2">
      <c r="A44" s="7" t="str">
        <f ca="1">IF(AUTOEVENTO="Manual",IF(OFFSET(EVENTOS!$F$14,CRONOPLE!$B44,0)&gt;0,"F",""),IF(CRONOPLE!B44&lt;=MAX(CÁLCULO!$M$15:$M$120),"F",""))</f>
        <v/>
      </c>
      <c r="B44" s="284">
        <f t="shared" ca="1" si="1"/>
        <v>30</v>
      </c>
      <c r="C44" s="285">
        <f ca="1">IF(AUTOEVENTO="Manual",IF($B44&lt;&gt;1,OFFSET(EVENTOS!$D$14,$B44,0),0),IF(B44&lt;=MAX(CÁLCULO!$M$15:$M$120),VLOOKUP($B44,CÁLCULO!$M$15:$N$120,2,FALSE),0))</f>
        <v>0</v>
      </c>
      <c r="E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</row>
    <row r="45" spans="1:31" x14ac:dyDescent="0.2">
      <c r="A45" s="7" t="str">
        <f ca="1">IF(AUTOEVENTO="Manual",IF(OFFSET(EVENTOS!$F$14,CRONOPLE!$B45,0)&gt;0,"F",""),IF(CRONOPLE!B45&lt;=MAX(CÁLCULO!$M$15:$M$120),"F",""))</f>
        <v/>
      </c>
      <c r="B45" s="284">
        <f t="shared" ca="1" si="1"/>
        <v>31</v>
      </c>
      <c r="C45" s="285">
        <f ca="1">IF(AUTOEVENTO="Manual",IF($B45&lt;&gt;1,OFFSET(EVENTOS!$D$14,$B45,0),0),IF(B45&lt;=MAX(CÁLCULO!$M$15:$M$120),VLOOKUP($B45,CÁLCULO!$M$15:$N$120,2,FALSE),0))</f>
        <v>0</v>
      </c>
      <c r="E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</row>
    <row r="46" spans="1:31" x14ac:dyDescent="0.2">
      <c r="A46" s="7" t="str">
        <f ca="1">IF(AUTOEVENTO="Manual",IF(OFFSET(EVENTOS!$F$14,CRONOPLE!$B46,0)&gt;0,"F",""),IF(CRONOPLE!B46&lt;=MAX(CÁLCULO!$M$15:$M$120),"F",""))</f>
        <v/>
      </c>
      <c r="B46" s="284">
        <f t="shared" ca="1" si="1"/>
        <v>32</v>
      </c>
      <c r="C46" s="285">
        <f ca="1">IF(AUTOEVENTO="Manual",IF($B46&lt;&gt;1,OFFSET(EVENTOS!$D$14,$B46,0),0),IF(B46&lt;=MAX(CÁLCULO!$M$15:$M$120),VLOOKUP($B46,CÁLCULO!$M$15:$N$120,2,FALSE),0))</f>
        <v>0</v>
      </c>
      <c r="E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</row>
    <row r="47" spans="1:31" x14ac:dyDescent="0.2">
      <c r="A47" s="7" t="str">
        <f ca="1">IF(AUTOEVENTO="Manual",IF(OFFSET(EVENTOS!$F$14,CRONOPLE!$B47,0)&gt;0,"F",""),IF(CRONOPLE!B47&lt;=MAX(CÁLCULO!$M$15:$M$120),"F",""))</f>
        <v/>
      </c>
      <c r="B47" s="284">
        <f t="shared" ca="1" si="1"/>
        <v>33</v>
      </c>
      <c r="C47" s="285">
        <f ca="1">IF(AUTOEVENTO="Manual",IF($B47&lt;&gt;1,OFFSET(EVENTOS!$D$14,$B47,0),0),IF(B47&lt;=MAX(CÁLCULO!$M$15:$M$120),VLOOKUP($B47,CÁLCULO!$M$15:$N$120,2,FALSE),0))</f>
        <v>0</v>
      </c>
      <c r="E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</row>
    <row r="48" spans="1:31" x14ac:dyDescent="0.2">
      <c r="A48" s="7" t="str">
        <f ca="1">IF(AUTOEVENTO="Manual",IF(OFFSET(EVENTOS!$F$14,CRONOPLE!$B48,0)&gt;0,"F",""),IF(CRONOPLE!B48&lt;=MAX(CÁLCULO!$M$15:$M$120),"F",""))</f>
        <v/>
      </c>
      <c r="B48" s="284">
        <f t="shared" ca="1" si="1"/>
        <v>34</v>
      </c>
      <c r="C48" s="285">
        <f ca="1">IF(AUTOEVENTO="Manual",IF($B48&lt;&gt;1,OFFSET(EVENTOS!$D$14,$B48,0),0),IF(B48&lt;=MAX(CÁLCULO!$M$15:$M$120),VLOOKUP($B48,CÁLCULO!$M$15:$N$120,2,FALSE),0))</f>
        <v>0</v>
      </c>
      <c r="E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</row>
    <row r="49" spans="1:31" x14ac:dyDescent="0.2">
      <c r="A49" s="7" t="str">
        <f ca="1">IF(AUTOEVENTO="Manual",IF(OFFSET(EVENTOS!$F$14,CRONOPLE!$B49,0)&gt;0,"F",""),IF(CRONOPLE!B49&lt;=MAX(CÁLCULO!$M$15:$M$120),"F",""))</f>
        <v/>
      </c>
      <c r="B49" s="284">
        <f t="shared" ca="1" si="1"/>
        <v>35</v>
      </c>
      <c r="C49" s="285">
        <f ca="1">IF(AUTOEVENTO="Manual",IF($B49&lt;&gt;1,OFFSET(EVENTOS!$D$14,$B49,0),0),IF(B49&lt;=MAX(CÁLCULO!$M$15:$M$120),VLOOKUP($B49,CÁLCULO!$M$15:$N$120,2,FALSE),0))</f>
        <v>0</v>
      </c>
      <c r="E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</row>
    <row r="50" spans="1:31" x14ac:dyDescent="0.2">
      <c r="A50" s="7" t="str">
        <f ca="1">IF(AUTOEVENTO="Manual",IF(OFFSET(EVENTOS!$F$14,CRONOPLE!$B50,0)&gt;0,"F",""),IF(CRONOPLE!B50&lt;=MAX(CÁLCULO!$M$15:$M$120),"F",""))</f>
        <v/>
      </c>
      <c r="B50" s="284">
        <f t="shared" ca="1" si="1"/>
        <v>36</v>
      </c>
      <c r="C50" s="285">
        <f ca="1">IF(AUTOEVENTO="Manual",IF($B50&lt;&gt;1,OFFSET(EVENTOS!$D$14,$B50,0),0),IF(B50&lt;=MAX(CÁLCULO!$M$15:$M$120),VLOOKUP($B50,CÁLCULO!$M$15:$N$120,2,FALSE),0))</f>
        <v>0</v>
      </c>
      <c r="E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</row>
    <row r="51" spans="1:31" x14ac:dyDescent="0.2">
      <c r="A51" s="7" t="str">
        <f ca="1">IF(AUTOEVENTO="Manual",IF(OFFSET(EVENTOS!$F$14,CRONOPLE!$B51,0)&gt;0,"F",""),IF(CRONOPLE!B51&lt;=MAX(CÁLCULO!$M$15:$M$120),"F",""))</f>
        <v/>
      </c>
      <c r="B51" s="284">
        <f t="shared" ca="1" si="1"/>
        <v>37</v>
      </c>
      <c r="C51" s="285">
        <f ca="1">IF(AUTOEVENTO="Manual",IF($B51&lt;&gt;1,OFFSET(EVENTOS!$D$14,$B51,0),0),IF(B51&lt;=MAX(CÁLCULO!$M$15:$M$120),VLOOKUP($B51,CÁLCULO!$M$15:$N$120,2,FALSE),0))</f>
        <v>0</v>
      </c>
      <c r="E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</row>
    <row r="52" spans="1:31" x14ac:dyDescent="0.2">
      <c r="A52" s="7" t="str">
        <f ca="1">IF(AUTOEVENTO="Manual",IF(OFFSET(EVENTOS!$F$14,CRONOPLE!$B52,0)&gt;0,"F",""),IF(CRONOPLE!B52&lt;=MAX(CÁLCULO!$M$15:$M$120),"F",""))</f>
        <v/>
      </c>
      <c r="B52" s="284">
        <f t="shared" ca="1" si="1"/>
        <v>38</v>
      </c>
      <c r="C52" s="285">
        <f ca="1">IF(AUTOEVENTO="Manual",IF($B52&lt;&gt;1,OFFSET(EVENTOS!$D$14,$B52,0),0),IF(B52&lt;=MAX(CÁLCULO!$M$15:$M$120),VLOOKUP($B52,CÁLCULO!$M$15:$N$120,2,FALSE),0))</f>
        <v>0</v>
      </c>
      <c r="E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</row>
    <row r="53" spans="1:31" x14ac:dyDescent="0.2">
      <c r="A53" s="7" t="str">
        <f ca="1">IF(AUTOEVENTO="Manual",IF(OFFSET(EVENTOS!$F$14,CRONOPLE!$B53,0)&gt;0,"F",""),IF(CRONOPLE!B53&lt;=MAX(CÁLCULO!$M$15:$M$120),"F",""))</f>
        <v/>
      </c>
      <c r="B53" s="284">
        <f t="shared" ca="1" si="1"/>
        <v>39</v>
      </c>
      <c r="C53" s="285">
        <f ca="1">IF(AUTOEVENTO="Manual",IF($B53&lt;&gt;1,OFFSET(EVENTOS!$D$14,$B53,0),0),IF(B53&lt;=MAX(CÁLCULO!$M$15:$M$120),VLOOKUP($B53,CÁLCULO!$M$15:$N$120,2,FALSE),0))</f>
        <v>0</v>
      </c>
      <c r="E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</row>
    <row r="54" spans="1:31" x14ac:dyDescent="0.2">
      <c r="A54" s="7" t="str">
        <f ca="1">IF(AUTOEVENTO="Manual",IF(OFFSET(EVENTOS!$F$14,CRONOPLE!$B54,0)&gt;0,"F",""),IF(CRONOPLE!B54&lt;=MAX(CÁLCULO!$M$15:$M$120),"F",""))</f>
        <v/>
      </c>
      <c r="B54" s="284">
        <f t="shared" ca="1" si="1"/>
        <v>40</v>
      </c>
      <c r="C54" s="285">
        <f ca="1">IF(AUTOEVENTO="Manual",IF($B54&lt;&gt;1,OFFSET(EVENTOS!$D$14,$B54,0),0),IF(B54&lt;=MAX(CÁLCULO!$M$15:$M$120),VLOOKUP($B54,CÁLCULO!$M$15:$N$120,2,FALSE),0))</f>
        <v>0</v>
      </c>
      <c r="E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</row>
    <row r="55" spans="1:31" x14ac:dyDescent="0.2">
      <c r="A55" s="7" t="str">
        <f ca="1">IF(AUTOEVENTO="Manual",IF(OFFSET(EVENTOS!$F$14,CRONOPLE!$B55,0)&gt;0,"F",""),IF(CRONOPLE!B55&lt;=MAX(CÁLCULO!$M$15:$M$120),"F",""))</f>
        <v/>
      </c>
      <c r="B55" s="284">
        <f t="shared" ca="1" si="1"/>
        <v>41</v>
      </c>
      <c r="C55" s="285">
        <f ca="1">IF(AUTOEVENTO="Manual",IF($B55&lt;&gt;1,OFFSET(EVENTOS!$D$14,$B55,0),0),IF(B55&lt;=MAX(CÁLCULO!$M$15:$M$120),VLOOKUP($B55,CÁLCULO!$M$15:$N$120,2,FALSE),0))</f>
        <v>0</v>
      </c>
      <c r="E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</row>
    <row r="56" spans="1:31" x14ac:dyDescent="0.2">
      <c r="A56" s="7" t="str">
        <f ca="1">IF(AUTOEVENTO="Manual",IF(OFFSET(EVENTOS!$F$14,CRONOPLE!$B56,0)&gt;0,"F",""),IF(CRONOPLE!B56&lt;=MAX(CÁLCULO!$M$15:$M$120),"F",""))</f>
        <v/>
      </c>
      <c r="B56" s="284">
        <f t="shared" ca="1" si="1"/>
        <v>42</v>
      </c>
      <c r="C56" s="285">
        <f ca="1">IF(AUTOEVENTO="Manual",IF($B56&lt;&gt;1,OFFSET(EVENTOS!$D$14,$B56,0),0),IF(B56&lt;=MAX(CÁLCULO!$M$15:$M$120),VLOOKUP($B56,CÁLCULO!$M$15:$N$120,2,FALSE),0))</f>
        <v>0</v>
      </c>
      <c r="E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</row>
    <row r="57" spans="1:31" x14ac:dyDescent="0.2">
      <c r="A57" s="7" t="str">
        <f ca="1">IF(AUTOEVENTO="Manual",IF(OFFSET(EVENTOS!$F$14,CRONOPLE!$B57,0)&gt;0,"F",""),IF(CRONOPLE!B57&lt;=MAX(CÁLCULO!$M$15:$M$120),"F",""))</f>
        <v/>
      </c>
      <c r="B57" s="284">
        <f t="shared" ca="1" si="1"/>
        <v>43</v>
      </c>
      <c r="C57" s="285">
        <f ca="1">IF(AUTOEVENTO="Manual",IF($B57&lt;&gt;1,OFFSET(EVENTOS!$D$14,$B57,0),0),IF(B57&lt;=MAX(CÁLCULO!$M$15:$M$120),VLOOKUP($B57,CÁLCULO!$M$15:$N$120,2,FALSE),0))</f>
        <v>0</v>
      </c>
      <c r="E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</row>
    <row r="58" spans="1:31" x14ac:dyDescent="0.2">
      <c r="A58" s="7" t="str">
        <f ca="1">IF(AUTOEVENTO="Manual",IF(OFFSET(EVENTOS!$F$14,CRONOPLE!$B58,0)&gt;0,"F",""),IF(CRONOPLE!B58&lt;=MAX(CÁLCULO!$M$15:$M$120),"F",""))</f>
        <v/>
      </c>
      <c r="B58" s="284">
        <f t="shared" ca="1" si="1"/>
        <v>44</v>
      </c>
      <c r="C58" s="285">
        <f ca="1">IF(AUTOEVENTO="Manual",IF($B58&lt;&gt;1,OFFSET(EVENTOS!$D$14,$B58,0),0),IF(B58&lt;=MAX(CÁLCULO!$M$15:$M$120),VLOOKUP($B58,CÁLCULO!$M$15:$N$120,2,FALSE),0))</f>
        <v>0</v>
      </c>
      <c r="E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</row>
    <row r="59" spans="1:31" x14ac:dyDescent="0.2">
      <c r="A59" s="7" t="str">
        <f ca="1">IF(AUTOEVENTO="Manual",IF(OFFSET(EVENTOS!$F$14,CRONOPLE!$B59,0)&gt;0,"F",""),IF(CRONOPLE!B59&lt;=MAX(CÁLCULO!$M$15:$M$120),"F",""))</f>
        <v/>
      </c>
      <c r="B59" s="284">
        <f t="shared" ca="1" si="1"/>
        <v>45</v>
      </c>
      <c r="C59" s="285">
        <f ca="1">IF(AUTOEVENTO="Manual",IF($B59&lt;&gt;1,OFFSET(EVENTOS!$D$14,$B59,0),0),IF(B59&lt;=MAX(CÁLCULO!$M$15:$M$120),VLOOKUP($B59,CÁLCULO!$M$15:$N$120,2,FALSE),0))</f>
        <v>0</v>
      </c>
      <c r="E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</row>
    <row r="60" spans="1:31" x14ac:dyDescent="0.2">
      <c r="A60" s="7" t="str">
        <f ca="1">IF(AUTOEVENTO="Manual",IF(OFFSET(EVENTOS!$F$14,CRONOPLE!$B60,0)&gt;0,"F",""),IF(CRONOPLE!B60&lt;=MAX(CÁLCULO!$M$15:$M$120),"F",""))</f>
        <v/>
      </c>
      <c r="B60" s="284">
        <f t="shared" ca="1" si="1"/>
        <v>46</v>
      </c>
      <c r="C60" s="285">
        <f ca="1">IF(AUTOEVENTO="Manual",IF($B60&lt;&gt;1,OFFSET(EVENTOS!$D$14,$B60,0),0),IF(B60&lt;=MAX(CÁLCULO!$M$15:$M$120),VLOOKUP($B60,CÁLCULO!$M$15:$N$120,2,FALSE),0))</f>
        <v>0</v>
      </c>
      <c r="E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</row>
    <row r="61" spans="1:31" x14ac:dyDescent="0.2">
      <c r="A61" s="7" t="str">
        <f ca="1">IF(AUTOEVENTO="Manual",IF(OFFSET(EVENTOS!$F$14,CRONOPLE!$B61,0)&gt;0,"F",""),IF(CRONOPLE!B61&lt;=MAX(CÁLCULO!$M$15:$M$120),"F",""))</f>
        <v/>
      </c>
      <c r="B61" s="284">
        <f t="shared" ca="1" si="1"/>
        <v>47</v>
      </c>
      <c r="C61" s="285">
        <f ca="1">IF(AUTOEVENTO="Manual",IF($B61&lt;&gt;1,OFFSET(EVENTOS!$D$14,$B61,0),0),IF(B61&lt;=MAX(CÁLCULO!$M$15:$M$120),VLOOKUP($B61,CÁLCULO!$M$15:$N$120,2,FALSE),0))</f>
        <v>0</v>
      </c>
      <c r="E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</row>
    <row r="62" spans="1:31" x14ac:dyDescent="0.2">
      <c r="A62" s="7" t="str">
        <f ca="1">IF(AUTOEVENTO="Manual",IF(OFFSET(EVENTOS!$F$14,CRONOPLE!$B62,0)&gt;0,"F",""),IF(CRONOPLE!B62&lt;=MAX(CÁLCULO!$M$15:$M$120),"F",""))</f>
        <v/>
      </c>
      <c r="B62" s="284">
        <f t="shared" ca="1" si="1"/>
        <v>48</v>
      </c>
      <c r="C62" s="285">
        <f ca="1">IF(AUTOEVENTO="Manual",IF($B62&lt;&gt;1,OFFSET(EVENTOS!$D$14,$B62,0),0),IF(B62&lt;=MAX(CÁLCULO!$M$15:$M$120),VLOOKUP($B62,CÁLCULO!$M$15:$N$120,2,FALSE),0))</f>
        <v>0</v>
      </c>
      <c r="E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</row>
    <row r="63" spans="1:31" x14ac:dyDescent="0.2">
      <c r="A63" s="7" t="str">
        <f ca="1">IF(AUTOEVENTO="Manual",IF(OFFSET(EVENTOS!$F$14,CRONOPLE!$B63,0)&gt;0,"F",""),IF(CRONOPLE!B63&lt;=MAX(CÁLCULO!$M$15:$M$120),"F",""))</f>
        <v/>
      </c>
      <c r="B63" s="284">
        <f t="shared" ca="1" si="1"/>
        <v>49</v>
      </c>
      <c r="C63" s="285">
        <f ca="1">IF(AUTOEVENTO="Manual",IF($B63&lt;&gt;1,OFFSET(EVENTOS!$D$14,$B63,0),0),IF(B63&lt;=MAX(CÁLCULO!$M$15:$M$120),VLOOKUP($B63,CÁLCULO!$M$15:$N$120,2,FALSE),0))</f>
        <v>0</v>
      </c>
      <c r="E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</row>
    <row r="64" spans="1:31" x14ac:dyDescent="0.2">
      <c r="A64" s="7" t="str">
        <f ca="1">IF(AUTOEVENTO="Manual",IF(OFFSET(EVENTOS!$F$14,CRONOPLE!$B64,0)&gt;0,"F",""),IF(CRONOPLE!B64&lt;=MAX(CÁLCULO!$M$15:$M$120),"F",""))</f>
        <v/>
      </c>
      <c r="B64" s="284">
        <f t="shared" ca="1" si="1"/>
        <v>50</v>
      </c>
      <c r="C64" s="285">
        <f ca="1">IF(AUTOEVENTO="Manual",IF($B64&lt;&gt;1,OFFSET(EVENTOS!$D$14,$B64,0),0),IF(B64&lt;=MAX(CÁLCULO!$M$15:$M$120),VLOOKUP($B64,CÁLCULO!$M$15:$N$120,2,FALSE),0))</f>
        <v>0</v>
      </c>
      <c r="E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</row>
    <row r="65" spans="2:31" ht="5.0999999999999996" customHeight="1" x14ac:dyDescent="0.2">
      <c r="B65" s="507"/>
      <c r="C65" s="508"/>
      <c r="E65" s="300"/>
      <c r="F65" s="300"/>
      <c r="G65" s="507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08"/>
    </row>
  </sheetData>
  <sheetProtection algorithmName="SHA-512" hashValue="r/feeOtj9+b5ixri/hKWOOPk25dBUKP1jNyNgN1PFCdGDn2I41Asp7YPv9uyqwy2RzZrkJUV04sfq64bPOJimQ==" saltValue="Pf6b1M27ZyWxjKec5+9fNw==" spinCount="100000" sheet="1" objects="1" scenarios="1" autoFilter="0"/>
  <mergeCells count="2">
    <mergeCell ref="B12:B13"/>
    <mergeCell ref="C12:C13"/>
  </mergeCells>
  <phoneticPr fontId="38" type="noConversion"/>
  <conditionalFormatting sqref="E1 G1:AE1">
    <cfRule type="expression" dxfId="116" priority="109" stopIfTrue="1">
      <formula>IF(OR(E$12&gt;CÁLCULO.NúmeroDeFrentes,ACOMPANHAMENTO="BM"),TRUE,CRONOPLE.ValorDoEvento=0)</formula>
    </cfRule>
  </conditionalFormatting>
  <conditionalFormatting sqref="E16:E24 G16:AE24">
    <cfRule type="expression" dxfId="115" priority="6" stopIfTrue="1">
      <formula>IF(OR(E$12&gt;CÁLCULO.NúmeroDeFrentes,ACOMPANHAMENTO="BM"),TRUE,CRONOPLE.ValorDoEvento=0)</formula>
    </cfRule>
  </conditionalFormatting>
  <conditionalFormatting sqref="E25:E33 G25:AE33">
    <cfRule type="expression" dxfId="114" priority="5" stopIfTrue="1">
      <formula>IF(OR(E$12&gt;CÁLCULO.NúmeroDeFrentes,ACOMPANHAMENTO="BM"),TRUE,CRONOPLE.ValorDoEvento=0)</formula>
    </cfRule>
  </conditionalFormatting>
  <conditionalFormatting sqref="E34:E42 G34:AE42">
    <cfRule type="expression" dxfId="113" priority="4" stopIfTrue="1">
      <formula>IF(OR(E$12&gt;CÁLCULO.NúmeroDeFrentes,ACOMPANHAMENTO="BM"),TRUE,CRONOPLE.ValorDoEvento=0)</formula>
    </cfRule>
  </conditionalFormatting>
  <conditionalFormatting sqref="E43:E51 G43:AE51">
    <cfRule type="expression" dxfId="112" priority="3" stopIfTrue="1">
      <formula>IF(OR(E$12&gt;CÁLCULO.NúmeroDeFrentes,ACOMPANHAMENTO="BM"),TRUE,CRONOPLE.ValorDoEvento=0)</formula>
    </cfRule>
  </conditionalFormatting>
  <conditionalFormatting sqref="E52:E60 G52:AE60">
    <cfRule type="expression" dxfId="111" priority="2" stopIfTrue="1">
      <formula>IF(OR(E$12&gt;CÁLCULO.NúmeroDeFrentes,ACOMPANHAMENTO="BM"),TRUE,CRONOPLE.ValorDoEvento=0)</formula>
    </cfRule>
  </conditionalFormatting>
  <conditionalFormatting sqref="E61:E64 G61:AE64">
    <cfRule type="expression" dxfId="1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&amp;LPMv3.0.6&amp;R&amp;P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7" t="e">
        <f ca="1">IF(AUTOEVENTO="Manual",IF(OFFSET(EVENTOS!$F$14,PLE!$B1,0)&gt;0,"F",""),IF(PLE!B1&lt;=MAX(CÁLCULO!$M$15:$M$120),"F",""))</f>
        <v>#REF!</v>
      </c>
      <c r="B1" s="284" t="e">
        <f ca="1">OFFSET(B1,-1,0)+1</f>
        <v>#REF!</v>
      </c>
      <c r="C1" s="645" t="e">
        <f ca="1">IF(AUTOEVENTO="Manual",IF($B1&lt;&gt;1,OFFSET(EVENTOS!$D$14,$B1,0),0),IF(B1&lt;=MAX(CÁLCULO!$M$15:$M$120),VLOOKUP($B1,CÁLCULO!$M$15:$N$120,2,FALSE),0))</f>
        <v>#REF!</v>
      </c>
      <c r="D1" s="645"/>
      <c r="F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3" hidden="1" x14ac:dyDescent="0.2">
      <c r="A2" s="7"/>
      <c r="B2" s="7"/>
      <c r="C2" s="13"/>
      <c r="D2" s="13"/>
      <c r="F2" s="523"/>
    </row>
    <row r="3" spans="1:33" ht="15.75" x14ac:dyDescent="0.25">
      <c r="H3" s="226" t="s">
        <v>293</v>
      </c>
      <c r="AD3" s="581" t="s">
        <v>140</v>
      </c>
      <c r="AE3" s="581"/>
      <c r="AF3" s="581"/>
    </row>
    <row r="4" spans="1:33" ht="15.75" x14ac:dyDescent="0.2">
      <c r="B4" s="80"/>
      <c r="C4" s="80"/>
      <c r="H4" s="81" t="str">
        <f>import.recurso</f>
        <v>(SELECIONAR)</v>
      </c>
      <c r="AD4" s="582" t="s">
        <v>143</v>
      </c>
      <c r="AE4" s="582"/>
      <c r="AF4" s="582"/>
    </row>
    <row r="6" spans="1:33" x14ac:dyDescent="0.2">
      <c r="B6" s="228" t="s">
        <v>146</v>
      </c>
      <c r="C6" s="301"/>
      <c r="D6" s="230" t="s">
        <v>443</v>
      </c>
      <c r="E6" s="4"/>
      <c r="H6" s="231" t="s">
        <v>272</v>
      </c>
      <c r="I6" s="202"/>
      <c r="J6" s="202"/>
      <c r="K6" s="202"/>
      <c r="L6" s="201"/>
      <c r="M6" s="201"/>
      <c r="N6" s="302"/>
      <c r="O6" s="228" t="s">
        <v>273</v>
      </c>
      <c r="P6" s="232"/>
      <c r="R6" s="202"/>
      <c r="S6" s="202"/>
      <c r="T6" s="202"/>
      <c r="U6" s="229"/>
      <c r="V6" s="228" t="str">
        <f>IF(TIPOORCAMENTO="Licitado","NOME DA EMPRESA","DESCRIÇÃO DO LOTE")</f>
        <v>DESCRIÇÃO DO LOTE</v>
      </c>
      <c r="W6" s="202"/>
      <c r="X6" s="202"/>
      <c r="Y6" s="202"/>
      <c r="AD6" s="4"/>
      <c r="AE6" s="646" t="str">
        <f>IF(TIPOORCAMENTO="Licitado","Nº CTEF","")</f>
        <v/>
      </c>
      <c r="AF6" s="646"/>
    </row>
    <row r="7" spans="1:33" x14ac:dyDescent="0.2">
      <c r="B7" s="632">
        <f>Import.CR</f>
        <v>0</v>
      </c>
      <c r="C7" s="632"/>
      <c r="D7" s="234">
        <f>Import.TransfereGOV</f>
        <v>0</v>
      </c>
      <c r="E7" s="40"/>
      <c r="H7" s="642" t="str">
        <f>Import.Proponente</f>
        <v>PREFEITURA MUNICIPAL DE LAGES</v>
      </c>
      <c r="I7" s="642"/>
      <c r="J7" s="642"/>
      <c r="K7" s="642"/>
      <c r="L7" s="642"/>
      <c r="M7" s="642"/>
      <c r="N7" s="642"/>
      <c r="O7" s="632" t="str">
        <f>Import.Apelido</f>
        <v>VESTIÁRIOS CAMPO SANTA HELENA</v>
      </c>
      <c r="P7" s="632"/>
      <c r="Q7" s="632"/>
      <c r="R7" s="632"/>
      <c r="S7" s="632"/>
      <c r="T7" s="632"/>
      <c r="U7" s="632"/>
      <c r="V7" s="632" t="str">
        <f>IF(TIPOORCAMENTO="Licitado",Import.empresa,Import.DescLote)</f>
        <v>IMPLANTAÇÃO DE VESTIÁRIOS</v>
      </c>
      <c r="W7" s="632"/>
      <c r="X7" s="632"/>
      <c r="Y7" s="632"/>
      <c r="Z7" s="632"/>
      <c r="AA7" s="632"/>
      <c r="AB7" s="632"/>
      <c r="AC7" s="632"/>
      <c r="AD7" s="632"/>
      <c r="AE7" s="650" t="str">
        <f>IF(TIPOORCAMENTO="Licitado",Import.CTEF,"")</f>
        <v/>
      </c>
      <c r="AF7" s="650"/>
      <c r="AG7" s="303"/>
    </row>
    <row r="9" spans="1:33" ht="15.75" x14ac:dyDescent="0.25">
      <c r="A9" s="450">
        <v>0</v>
      </c>
      <c r="B9" s="304"/>
      <c r="C9" s="304"/>
      <c r="I9" s="305" t="s">
        <v>294</v>
      </c>
      <c r="J9" s="648">
        <v>1</v>
      </c>
      <c r="K9" s="648"/>
      <c r="M9" s="305" t="s">
        <v>283</v>
      </c>
      <c r="N9" s="6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649"/>
      <c r="P9" s="649"/>
      <c r="Q9" s="649"/>
      <c r="R9" s="649"/>
      <c r="S9" s="649"/>
      <c r="T9" s="649"/>
      <c r="U9" s="306"/>
      <c r="X9" s="305" t="s">
        <v>295</v>
      </c>
      <c r="Y9" s="651" t="e">
        <f ca="1">OFFSET($I$69,1+8*(ROUNDUP(($J$9-0)/((COLUMN($AG$14)-COLUMN($G$14)-1)/25*12),0)-1),ROUNDDOWN((($J$9-0)-OFFSET($I$69,8*(ROUNDUP(($J$9-0)/((COLUMN($AG$14)-COLUMN($G$14)-1)/25*12),0)-1),0))*(2+1/12),0))</f>
        <v>#DIV/0!</v>
      </c>
      <c r="Z9" s="651"/>
      <c r="AD9" s="305" t="s">
        <v>296</v>
      </c>
      <c r="AE9" s="651" t="e">
        <f ca="1">OFFSET($I$69,3+8*(ROUNDUP(($J$9-0)/((COLUMN($AG$14)-COLUMN($G$14)-1)/25*12),0)-1),ROUNDDOWN((($J$9-0)-OFFSET($I$69,8*(ROUNDUP(($J$9-0)/((COLUMN($AG$14)-COLUMN($G$14)-1)/25*12),0)-1),0))*(2+1/12),0))</f>
        <v>#DIV/0!</v>
      </c>
      <c r="AF9" s="651"/>
    </row>
    <row r="11" spans="1:33" ht="65.25" customHeight="1" x14ac:dyDescent="0.2">
      <c r="A11" s="288" t="s">
        <v>290</v>
      </c>
      <c r="C11" s="6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647"/>
      <c r="F11" s="290">
        <f ca="1">IF(F$12&gt;CÁLCULO.NúmeroDeFrentes,"",OFFSET(CÁLCULO!$P$12,0,F$12))</f>
        <v>0</v>
      </c>
      <c r="H11" s="290">
        <f ca="1">IF(H$12&gt;CÁLCULO.NúmeroDeFrentes,"",OFFSET(CÁLCULO!$P$12,0,H$12))</f>
        <v>0</v>
      </c>
      <c r="I11" s="290">
        <f ca="1">IF(I$12&gt;CÁLCULO.NúmeroDeFrentes,"",OFFSET(CÁLCULO!$P$12,0,I$12))</f>
        <v>0</v>
      </c>
      <c r="J11" s="290">
        <f ca="1">IF(J$12&gt;CÁLCULO.NúmeroDeFrentes,"",OFFSET(CÁLCULO!$P$12,0,J$12))</f>
        <v>0</v>
      </c>
      <c r="K11" s="290">
        <f ca="1">IF(K$12&gt;CÁLCULO.NúmeroDeFrentes,"",OFFSET(CÁLCULO!$P$12,0,K$12))</f>
        <v>0</v>
      </c>
      <c r="L11" s="290">
        <f ca="1">IF(L$12&gt;CÁLCULO.NúmeroDeFrentes,"",OFFSET(CÁLCULO!$P$12,0,L$12))</f>
        <v>0</v>
      </c>
      <c r="M11" s="290">
        <f ca="1">IF(M$12&gt;CÁLCULO.NúmeroDeFrentes,"",OFFSET(CÁLCULO!$P$12,0,M$12))</f>
        <v>0</v>
      </c>
      <c r="N11" s="290">
        <f ca="1">IF(N$12&gt;CÁLCULO.NúmeroDeFrentes,"",OFFSET(CÁLCULO!$P$12,0,N$12))</f>
        <v>0</v>
      </c>
      <c r="O11" s="290">
        <f ca="1">IF(O$12&gt;CÁLCULO.NúmeroDeFrentes,"",OFFSET(CÁLCULO!$P$12,0,O$12))</f>
        <v>0</v>
      </c>
      <c r="P11" s="290">
        <f ca="1">IF(P$12&gt;CÁLCULO.NúmeroDeFrentes,"",OFFSET(CÁLCULO!$P$12,0,P$12))</f>
        <v>0</v>
      </c>
      <c r="Q11" s="290">
        <f ca="1">IF(Q$12&gt;CÁLCULO.NúmeroDeFrentes,"",OFFSET(CÁLCULO!$P$12,0,Q$12))</f>
        <v>0</v>
      </c>
      <c r="R11" s="290" t="str">
        <f ca="1">IF(R$12&gt;CÁLCULO.NúmeroDeFrentes,"",OFFSET(CÁLCULO!$P$12,0,R$12))</f>
        <v/>
      </c>
      <c r="S11" s="290" t="str">
        <f ca="1">IF(S$12&gt;CÁLCULO.NúmeroDeFrentes,"",OFFSET(CÁLCULO!$P$12,0,S$12))</f>
        <v/>
      </c>
      <c r="T11" s="290" t="str">
        <f ca="1">IF(T$12&gt;CÁLCULO.NúmeroDeFrentes,"",OFFSET(CÁLCULO!$P$12,0,T$12))</f>
        <v/>
      </c>
      <c r="U11" s="290" t="str">
        <f ca="1">IF(U$12&gt;CÁLCULO.NúmeroDeFrentes,"",OFFSET(CÁLCULO!$P$12,0,U$12))</f>
        <v/>
      </c>
      <c r="V11" s="290" t="str">
        <f ca="1">IF(V$12&gt;CÁLCULO.NúmeroDeFrentes,"",OFFSET(CÁLCULO!$P$12,0,V$12))</f>
        <v/>
      </c>
      <c r="W11" s="290" t="str">
        <f ca="1">IF(W$12&gt;CÁLCULO.NúmeroDeFrentes,"",OFFSET(CÁLCULO!$P$12,0,W$12))</f>
        <v/>
      </c>
      <c r="X11" s="290" t="str">
        <f ca="1">IF(X$12&gt;CÁLCULO.NúmeroDeFrentes,"",OFFSET(CÁLCULO!$P$12,0,X$12))</f>
        <v/>
      </c>
      <c r="Y11" s="290" t="str">
        <f ca="1">IF(Y$12&gt;CÁLCULO.NúmeroDeFrentes,"",OFFSET(CÁLCULO!$P$12,0,Y$12))</f>
        <v/>
      </c>
      <c r="Z11" s="290" t="str">
        <f ca="1">IF(Z$12&gt;CÁLCULO.NúmeroDeFrentes,"",OFFSET(CÁLCULO!$P$12,0,Z$12))</f>
        <v/>
      </c>
      <c r="AA11" s="290" t="str">
        <f ca="1">IF(AA$12&gt;CÁLCULO.NúmeroDeFrentes,"",OFFSET(CÁLCULO!$P$12,0,AA$12))</f>
        <v/>
      </c>
      <c r="AB11" s="290" t="str">
        <f ca="1">IF(AB$12&gt;CÁLCULO.NúmeroDeFrentes,"",OFFSET(CÁLCULO!$P$12,0,AB$12))</f>
        <v/>
      </c>
      <c r="AC11" s="290" t="str">
        <f ca="1">IF(AC$12&gt;CÁLCULO.NúmeroDeFrentes,"",OFFSET(CÁLCULO!$P$12,0,AC$12))</f>
        <v/>
      </c>
      <c r="AD11" s="290" t="str">
        <f ca="1">IF(AD$12&gt;CÁLCULO.NúmeroDeFrentes,"",OFFSET(CÁLCULO!$P$12,0,AD$12))</f>
        <v/>
      </c>
      <c r="AE11" s="290" t="str">
        <f ca="1">IF(AE$12&gt;CÁLCULO.NúmeroDeFrentes,"",OFFSET(CÁLCULO!$P$12,0,AE$12))</f>
        <v/>
      </c>
      <c r="AF11" s="290" t="str">
        <f ca="1">IF(AF$12&gt;CÁLCULO.NúmeroDeFrentes,"",OFFSET(CÁLCULO!$P$12,0,AF$12))</f>
        <v/>
      </c>
    </row>
    <row r="12" spans="1:33" ht="12.75" customHeight="1" x14ac:dyDescent="0.2">
      <c r="A12" s="105" t="s">
        <v>217</v>
      </c>
      <c r="B12" s="644" t="s">
        <v>266</v>
      </c>
      <c r="C12" s="644" t="s">
        <v>291</v>
      </c>
      <c r="D12" s="644"/>
      <c r="F12" s="291">
        <f ca="1">OFFSET(F12,0,-1)+1</f>
        <v>1</v>
      </c>
      <c r="H12" s="291">
        <f ca="1">OFFSET(H12,0,-1)+1</f>
        <v>1</v>
      </c>
      <c r="I12" s="291">
        <f ca="1">OFFSET(I12,0,-1)+1</f>
        <v>2</v>
      </c>
      <c r="J12" s="291">
        <f t="shared" ref="J12:AF12" ca="1" si="0">OFFSET(J12,0,-1)+1</f>
        <v>3</v>
      </c>
      <c r="K12" s="291">
        <f t="shared" ca="1" si="0"/>
        <v>4</v>
      </c>
      <c r="L12" s="291">
        <f t="shared" ca="1" si="0"/>
        <v>5</v>
      </c>
      <c r="M12" s="291">
        <f t="shared" ca="1" si="0"/>
        <v>6</v>
      </c>
      <c r="N12" s="291">
        <f t="shared" ca="1" si="0"/>
        <v>7</v>
      </c>
      <c r="O12" s="291">
        <f t="shared" ca="1" si="0"/>
        <v>8</v>
      </c>
      <c r="P12" s="291">
        <f t="shared" ca="1" si="0"/>
        <v>9</v>
      </c>
      <c r="Q12" s="291">
        <f t="shared" ca="1" si="0"/>
        <v>10</v>
      </c>
      <c r="R12" s="291">
        <f t="shared" ca="1" si="0"/>
        <v>11</v>
      </c>
      <c r="S12" s="291">
        <f t="shared" ca="1" si="0"/>
        <v>12</v>
      </c>
      <c r="T12" s="291">
        <f t="shared" ca="1" si="0"/>
        <v>13</v>
      </c>
      <c r="U12" s="291">
        <f t="shared" ca="1" si="0"/>
        <v>14</v>
      </c>
      <c r="V12" s="291">
        <f t="shared" ca="1" si="0"/>
        <v>15</v>
      </c>
      <c r="W12" s="291">
        <f t="shared" ca="1" si="0"/>
        <v>16</v>
      </c>
      <c r="X12" s="291">
        <f t="shared" ca="1" si="0"/>
        <v>17</v>
      </c>
      <c r="Y12" s="291">
        <f t="shared" ca="1" si="0"/>
        <v>18</v>
      </c>
      <c r="Z12" s="291">
        <f t="shared" ca="1" si="0"/>
        <v>19</v>
      </c>
      <c r="AA12" s="291">
        <f t="shared" ca="1" si="0"/>
        <v>20</v>
      </c>
      <c r="AB12" s="291">
        <f t="shared" ca="1" si="0"/>
        <v>21</v>
      </c>
      <c r="AC12" s="291">
        <f t="shared" ca="1" si="0"/>
        <v>22</v>
      </c>
      <c r="AD12" s="291">
        <f t="shared" ca="1" si="0"/>
        <v>23</v>
      </c>
      <c r="AE12" s="291">
        <f t="shared" ca="1" si="0"/>
        <v>24</v>
      </c>
      <c r="AF12" s="291">
        <f t="shared" ca="1" si="0"/>
        <v>25</v>
      </c>
    </row>
    <row r="13" spans="1:33" x14ac:dyDescent="0.2">
      <c r="B13" s="644"/>
      <c r="C13" s="644"/>
      <c r="D13" s="644"/>
      <c r="F13" s="293"/>
      <c r="H13" s="293"/>
      <c r="I13" s="292"/>
      <c r="J13" s="292"/>
      <c r="K13" s="292"/>
      <c r="L13" s="292"/>
      <c r="M13" s="292"/>
      <c r="N13" s="292" t="s">
        <v>297</v>
      </c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4"/>
    </row>
    <row r="14" spans="1:33" ht="7.5" customHeight="1" x14ac:dyDescent="0.2">
      <c r="A14" s="7" t="s">
        <v>246</v>
      </c>
    </row>
    <row r="15" spans="1:33" x14ac:dyDescent="0.2">
      <c r="A15" s="7" t="str">
        <f ca="1">IF(AND(AUTOEVENTO="Manual",OFFSET(EVENTOS!$F$14,1,0)&gt;0),"F","")</f>
        <v/>
      </c>
      <c r="B15" s="295">
        <v>1</v>
      </c>
      <c r="C15" s="654" t="s">
        <v>269</v>
      </c>
      <c r="D15" s="654"/>
      <c r="F15" s="298"/>
      <c r="H15" s="298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9"/>
    </row>
    <row r="16" spans="1:33" x14ac:dyDescent="0.2">
      <c r="A16" s="7" t="str">
        <f ca="1">IF(AUTOEVENTO="Manual",IF(OFFSET(EVENTOS!$F$14,PLE!$B16,0)&gt;0,"F",""),IF(PLE!B16&lt;=MAX(CÁLCULO!$M$15:$M$120),"F",""))</f>
        <v>F</v>
      </c>
      <c r="B16" s="284">
        <f t="shared" ref="B16:B64" ca="1" si="1">OFFSET(B16,-1,0)+1</f>
        <v>2</v>
      </c>
      <c r="C16" s="645" t="str">
        <f ca="1">IF(AUTOEVENTO="Manual",IF($B16&lt;&gt;1,OFFSET(EVENTOS!$D$14,$B16,0),0),IF(B16&lt;=MAX(CÁLCULO!$M$15:$M$120),VLOOKUP($B16,CÁLCULO!$M$15:$N$120,2,FALSE),0))</f>
        <v>ADMINISTRAÇÃO E CANTEIRO DE OBRAS</v>
      </c>
      <c r="D16" s="645"/>
      <c r="F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</row>
    <row r="17" spans="1:32" x14ac:dyDescent="0.2">
      <c r="A17" s="7" t="str">
        <f ca="1">IF(AUTOEVENTO="Manual",IF(OFFSET(EVENTOS!$F$14,PLE!$B17,0)&gt;0,"F",""),IF(PLE!B17&lt;=MAX(CÁLCULO!$M$15:$M$120),"F",""))</f>
        <v>F</v>
      </c>
      <c r="B17" s="284">
        <f t="shared" ca="1" si="1"/>
        <v>3</v>
      </c>
      <c r="C17" s="645" t="str">
        <f ca="1">IF(AUTOEVENTO="Manual",IF($B17&lt;&gt;1,OFFSET(EVENTOS!$D$14,$B17,0),0),IF(B17&lt;=MAX(CÁLCULO!$M$15:$M$120),VLOOKUP($B17,CÁLCULO!$M$15:$N$120,2,FALSE),0))</f>
        <v>SERVIÇOS PRELIMINARES</v>
      </c>
      <c r="D17" s="645"/>
      <c r="F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</row>
    <row r="18" spans="1:32" x14ac:dyDescent="0.2">
      <c r="A18" s="7" t="str">
        <f ca="1">IF(AUTOEVENTO="Manual",IF(OFFSET(EVENTOS!$F$14,PLE!$B18,0)&gt;0,"F",""),IF(PLE!B18&lt;=MAX(CÁLCULO!$M$15:$M$120),"F",""))</f>
        <v>F</v>
      </c>
      <c r="B18" s="284">
        <f t="shared" ca="1" si="1"/>
        <v>4</v>
      </c>
      <c r="C18" s="645" t="str">
        <f ca="1">IF(AUTOEVENTO="Manual",IF($B18&lt;&gt;1,OFFSET(EVENTOS!$D$14,$B18,0),0),IF(B18&lt;=MAX(CÁLCULO!$M$15:$M$120),VLOOKUP($B18,CÁLCULO!$M$15:$N$120,2,FALSE),0))</f>
        <v>FUNDAÇÕES</v>
      </c>
      <c r="D18" s="645"/>
      <c r="F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</row>
    <row r="19" spans="1:32" x14ac:dyDescent="0.2">
      <c r="A19" s="7" t="str">
        <f ca="1">IF(AUTOEVENTO="Manual",IF(OFFSET(EVENTOS!$F$14,PLE!$B19,0)&gt;0,"F",""),IF(PLE!B19&lt;=MAX(CÁLCULO!$M$15:$M$120),"F",""))</f>
        <v>F</v>
      </c>
      <c r="B19" s="284">
        <f t="shared" ca="1" si="1"/>
        <v>5</v>
      </c>
      <c r="C19" s="645" t="str">
        <f ca="1">IF(AUTOEVENTO="Manual",IF($B19&lt;&gt;1,OFFSET(EVENTOS!$D$14,$B19,0),0),IF(B19&lt;=MAX(CÁLCULO!$M$15:$M$120),VLOOKUP($B19,CÁLCULO!$M$15:$N$120,2,FALSE),0))</f>
        <v>ESTRUTURA DE CONCRETO</v>
      </c>
      <c r="D19" s="645"/>
      <c r="F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</row>
    <row r="20" spans="1:32" x14ac:dyDescent="0.2">
      <c r="A20" s="7" t="str">
        <f ca="1">IF(AUTOEVENTO="Manual",IF(OFFSET(EVENTOS!$F$14,PLE!$B20,0)&gt;0,"F",""),IF(PLE!B20&lt;=MAX(CÁLCULO!$M$15:$M$120),"F",""))</f>
        <v>F</v>
      </c>
      <c r="B20" s="284">
        <f t="shared" ca="1" si="1"/>
        <v>6</v>
      </c>
      <c r="C20" s="645" t="str">
        <f ca="1">IF(AUTOEVENTO="Manual",IF($B20&lt;&gt;1,OFFSET(EVENTOS!$D$14,$B20,0),0),IF(B20&lt;=MAX(CÁLCULO!$M$15:$M$120),VLOOKUP($B20,CÁLCULO!$M$15:$N$120,2,FALSE),0))</f>
        <v>PAREDES E DIVISÓRIAS</v>
      </c>
      <c r="D20" s="645"/>
      <c r="F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</row>
    <row r="21" spans="1:32" x14ac:dyDescent="0.2">
      <c r="A21" s="7" t="str">
        <f ca="1">IF(AUTOEVENTO="Manual",IF(OFFSET(EVENTOS!$F$14,PLE!$B21,0)&gt;0,"F",""),IF(PLE!B21&lt;=MAX(CÁLCULO!$M$15:$M$120),"F",""))</f>
        <v>F</v>
      </c>
      <c r="B21" s="284">
        <f t="shared" ca="1" si="1"/>
        <v>7</v>
      </c>
      <c r="C21" s="645" t="str">
        <f ca="1">IF(AUTOEVENTO="Manual",IF($B21&lt;&gt;1,OFFSET(EVENTOS!$D$14,$B21,0),0),IF(B21&lt;=MAX(CÁLCULO!$M$15:$M$120),VLOOKUP($B21,CÁLCULO!$M$15:$N$120,2,FALSE),0))</f>
        <v>COBERTURA</v>
      </c>
      <c r="D21" s="645"/>
      <c r="F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</row>
    <row r="22" spans="1:32" x14ac:dyDescent="0.2">
      <c r="A22" s="7" t="str">
        <f ca="1">IF(AUTOEVENTO="Manual",IF(OFFSET(EVENTOS!$F$14,PLE!$B22,0)&gt;0,"F",""),IF(PLE!B22&lt;=MAX(CÁLCULO!$M$15:$M$120),"F",""))</f>
        <v>F</v>
      </c>
      <c r="B22" s="284">
        <f t="shared" ca="1" si="1"/>
        <v>8</v>
      </c>
      <c r="C22" s="645" t="str">
        <f ca="1">IF(AUTOEVENTO="Manual",IF($B22&lt;&gt;1,OFFSET(EVENTOS!$D$14,$B22,0),0),IF(B22&lt;=MAX(CÁLCULO!$M$15:$M$120),VLOOKUP($B22,CÁLCULO!$M$15:$N$120,2,FALSE),0))</f>
        <v>REVESTIMENTOS DE FACHADA</v>
      </c>
      <c r="D22" s="645"/>
      <c r="F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</row>
    <row r="23" spans="1:32" x14ac:dyDescent="0.2">
      <c r="A23" s="7" t="str">
        <f ca="1">IF(AUTOEVENTO="Manual",IF(OFFSET(EVENTOS!$F$14,PLE!$B23,0)&gt;0,"F",""),IF(PLE!B23&lt;=MAX(CÁLCULO!$M$15:$M$120),"F",""))</f>
        <v>F</v>
      </c>
      <c r="B23" s="284">
        <f t="shared" ca="1" si="1"/>
        <v>9</v>
      </c>
      <c r="C23" s="645" t="str">
        <f ca="1">IF(AUTOEVENTO="Manual",IF($B23&lt;&gt;1,OFFSET(EVENTOS!$D$14,$B23,0),0),IF(B23&lt;=MAX(CÁLCULO!$M$15:$M$120),VLOOKUP($B23,CÁLCULO!$M$15:$N$120,2,FALSE),0))</f>
        <v>REVESTIMENTOS DE PAREDES INTERNAS</v>
      </c>
      <c r="D23" s="645"/>
      <c r="F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</row>
    <row r="24" spans="1:32" x14ac:dyDescent="0.2">
      <c r="A24" s="7" t="str">
        <f ca="1">IF(AUTOEVENTO="Manual",IF(OFFSET(EVENTOS!$F$14,PLE!$B24,0)&gt;0,"F",""),IF(PLE!B24&lt;=MAX(CÁLCULO!$M$15:$M$120),"F",""))</f>
        <v>F</v>
      </c>
      <c r="B24" s="284">
        <f t="shared" ca="1" si="1"/>
        <v>10</v>
      </c>
      <c r="C24" s="645" t="str">
        <f ca="1">IF(AUTOEVENTO="Manual",IF($B24&lt;&gt;1,OFFSET(EVENTOS!$D$14,$B24,0),0),IF(B24&lt;=MAX(CÁLCULO!$M$15:$M$120),VLOOKUP($B24,CÁLCULO!$M$15:$N$120,2,FALSE),0))</f>
        <v>IMPERMEABILIZAÇÃO</v>
      </c>
      <c r="D24" s="645"/>
      <c r="F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</row>
    <row r="25" spans="1:32" x14ac:dyDescent="0.2">
      <c r="A25" s="7" t="str">
        <f ca="1">IF(AUTOEVENTO="Manual",IF(OFFSET(EVENTOS!$F$14,PLE!$B25,0)&gt;0,"F",""),IF(PLE!B25&lt;=MAX(CÁLCULO!$M$15:$M$120),"F",""))</f>
        <v>F</v>
      </c>
      <c r="B25" s="284">
        <f t="shared" ca="1" si="1"/>
        <v>11</v>
      </c>
      <c r="C25" s="645" t="str">
        <f ca="1">IF(AUTOEVENTO="Manual",IF($B25&lt;&gt;1,OFFSET(EVENTOS!$D$14,$B25,0),0),IF(B25&lt;=MAX(CÁLCULO!$M$15:$M$120),VLOOKUP($B25,CÁLCULO!$M$15:$N$120,2,FALSE),0))</f>
        <v>REVESTIMENTO DE PISO</v>
      </c>
      <c r="D25" s="645"/>
      <c r="F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</row>
    <row r="26" spans="1:32" x14ac:dyDescent="0.2">
      <c r="A26" s="7" t="str">
        <f ca="1">IF(AUTOEVENTO="Manual",IF(OFFSET(EVENTOS!$F$14,PLE!$B26,0)&gt;0,"F",""),IF(PLE!B26&lt;=MAX(CÁLCULO!$M$15:$M$120),"F",""))</f>
        <v>F</v>
      </c>
      <c r="B26" s="284">
        <f t="shared" ca="1" si="1"/>
        <v>12</v>
      </c>
      <c r="C26" s="645" t="str">
        <f ca="1">IF(AUTOEVENTO="Manual",IF($B26&lt;&gt;1,OFFSET(EVENTOS!$D$14,$B26,0),0),IF(B26&lt;=MAX(CÁLCULO!$M$15:$M$120),VLOOKUP($B26,CÁLCULO!$M$15:$N$120,2,FALSE),0))</f>
        <v>ESQUADRIAS</v>
      </c>
      <c r="D26" s="645"/>
      <c r="F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</row>
    <row r="27" spans="1:32" x14ac:dyDescent="0.2">
      <c r="A27" s="7" t="str">
        <f ca="1">IF(AUTOEVENTO="Manual",IF(OFFSET(EVENTOS!$F$14,PLE!$B27,0)&gt;0,"F",""),IF(PLE!B27&lt;=MAX(CÁLCULO!$M$15:$M$120),"F",""))</f>
        <v>F</v>
      </c>
      <c r="B27" s="284">
        <f t="shared" ca="1" si="1"/>
        <v>13</v>
      </c>
      <c r="C27" s="645" t="str">
        <f ca="1">IF(AUTOEVENTO="Manual",IF($B27&lt;&gt;1,OFFSET(EVENTOS!$D$14,$B27,0),0),IF(B27&lt;=MAX(CÁLCULO!$M$15:$M$120),VLOOKUP($B27,CÁLCULO!$M$15:$N$120,2,FALSE),0))</f>
        <v>LOUÇAS, METAIS E ACESSÓRIOS</v>
      </c>
      <c r="D27" s="645"/>
      <c r="F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</row>
    <row r="28" spans="1:32" x14ac:dyDescent="0.2">
      <c r="A28" s="7" t="str">
        <f ca="1">IF(AUTOEVENTO="Manual",IF(OFFSET(EVENTOS!$F$14,PLE!$B28,0)&gt;0,"F",""),IF(PLE!B28&lt;=MAX(CÁLCULO!$M$15:$M$120),"F",""))</f>
        <v>F</v>
      </c>
      <c r="B28" s="284">
        <f t="shared" ca="1" si="1"/>
        <v>14</v>
      </c>
      <c r="C28" s="645" t="str">
        <f ca="1">IF(AUTOEVENTO="Manual",IF($B28&lt;&gt;1,OFFSET(EVENTOS!$D$14,$B28,0),0),IF(B28&lt;=MAX(CÁLCULO!$M$15:$M$120),VLOOKUP($B28,CÁLCULO!$M$15:$N$120,2,FALSE),0))</f>
        <v>INSTALAÇÕES HIDROSSANITÁRIAS</v>
      </c>
      <c r="D28" s="645"/>
      <c r="F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</row>
    <row r="29" spans="1:32" x14ac:dyDescent="0.2">
      <c r="A29" s="7" t="str">
        <f ca="1">IF(AUTOEVENTO="Manual",IF(OFFSET(EVENTOS!$F$14,PLE!$B29,0)&gt;0,"F",""),IF(PLE!B29&lt;=MAX(CÁLCULO!$M$15:$M$120),"F",""))</f>
        <v>F</v>
      </c>
      <c r="B29" s="284">
        <f t="shared" ca="1" si="1"/>
        <v>15</v>
      </c>
      <c r="C29" s="645" t="str">
        <f ca="1">IF(AUTOEVENTO="Manual",IF($B29&lt;&gt;1,OFFSET(EVENTOS!$D$14,$B29,0),0),IF(B29&lt;=MAX(CÁLCULO!$M$15:$M$120),VLOOKUP($B29,CÁLCULO!$M$15:$N$120,2,FALSE),0))</f>
        <v>INSTALAÇÕES ELÉTRICAS</v>
      </c>
      <c r="D29" s="645"/>
      <c r="F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</row>
    <row r="30" spans="1:32" x14ac:dyDescent="0.2">
      <c r="A30" s="7" t="str">
        <f ca="1">IF(AUTOEVENTO="Manual",IF(OFFSET(EVENTOS!$F$14,PLE!$B30,0)&gt;0,"F",""),IF(PLE!B30&lt;=MAX(CÁLCULO!$M$15:$M$120),"F",""))</f>
        <v/>
      </c>
      <c r="B30" s="284">
        <f t="shared" ca="1" si="1"/>
        <v>16</v>
      </c>
      <c r="C30" s="645">
        <f ca="1">IF(AUTOEVENTO="Manual",IF($B30&lt;&gt;1,OFFSET(EVENTOS!$D$14,$B30,0),0),IF(B30&lt;=MAX(CÁLCULO!$M$15:$M$120),VLOOKUP($B30,CÁLCULO!$M$15:$N$120,2,FALSE),0))</f>
        <v>0</v>
      </c>
      <c r="D30" s="645"/>
      <c r="F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</row>
    <row r="31" spans="1:32" x14ac:dyDescent="0.2">
      <c r="A31" s="7" t="str">
        <f ca="1">IF(AUTOEVENTO="Manual",IF(OFFSET(EVENTOS!$F$14,PLE!$B31,0)&gt;0,"F",""),IF(PLE!B31&lt;=MAX(CÁLCULO!$M$15:$M$120),"F",""))</f>
        <v/>
      </c>
      <c r="B31" s="284">
        <f t="shared" ca="1" si="1"/>
        <v>17</v>
      </c>
      <c r="C31" s="645">
        <f ca="1">IF(AUTOEVENTO="Manual",IF($B31&lt;&gt;1,OFFSET(EVENTOS!$D$14,$B31,0),0),IF(B31&lt;=MAX(CÁLCULO!$M$15:$M$120),VLOOKUP($B31,CÁLCULO!$M$15:$N$120,2,FALSE),0))</f>
        <v>0</v>
      </c>
      <c r="D31" s="645"/>
      <c r="F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</row>
    <row r="32" spans="1:32" x14ac:dyDescent="0.2">
      <c r="A32" s="7" t="str">
        <f ca="1">IF(AUTOEVENTO="Manual",IF(OFFSET(EVENTOS!$F$14,PLE!$B32,0)&gt;0,"F",""),IF(PLE!B32&lt;=MAX(CÁLCULO!$M$15:$M$120),"F",""))</f>
        <v/>
      </c>
      <c r="B32" s="284">
        <f t="shared" ca="1" si="1"/>
        <v>18</v>
      </c>
      <c r="C32" s="645">
        <f ca="1">IF(AUTOEVENTO="Manual",IF($B32&lt;&gt;1,OFFSET(EVENTOS!$D$14,$B32,0),0),IF(B32&lt;=MAX(CÁLCULO!$M$15:$M$120),VLOOKUP($B32,CÁLCULO!$M$15:$N$120,2,FALSE),0))</f>
        <v>0</v>
      </c>
      <c r="D32" s="645"/>
      <c r="F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</row>
    <row r="33" spans="1:32" x14ac:dyDescent="0.2">
      <c r="A33" s="7" t="str">
        <f ca="1">IF(AUTOEVENTO="Manual",IF(OFFSET(EVENTOS!$F$14,PLE!$B33,0)&gt;0,"F",""),IF(PLE!B33&lt;=MAX(CÁLCULO!$M$15:$M$120),"F",""))</f>
        <v/>
      </c>
      <c r="B33" s="284">
        <f t="shared" ca="1" si="1"/>
        <v>19</v>
      </c>
      <c r="C33" s="645">
        <f ca="1">IF(AUTOEVENTO="Manual",IF($B33&lt;&gt;1,OFFSET(EVENTOS!$D$14,$B33,0),0),IF(B33&lt;=MAX(CÁLCULO!$M$15:$M$120),VLOOKUP($B33,CÁLCULO!$M$15:$N$120,2,FALSE),0))</f>
        <v>0</v>
      </c>
      <c r="D33" s="645"/>
      <c r="F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</row>
    <row r="34" spans="1:32" x14ac:dyDescent="0.2">
      <c r="A34" s="7" t="str">
        <f ca="1">IF(AUTOEVENTO="Manual",IF(OFFSET(EVENTOS!$F$14,PLE!$B34,0)&gt;0,"F",""),IF(PLE!B34&lt;=MAX(CÁLCULO!$M$15:$M$120),"F",""))</f>
        <v/>
      </c>
      <c r="B34" s="284">
        <f t="shared" ca="1" si="1"/>
        <v>20</v>
      </c>
      <c r="C34" s="645">
        <f ca="1">IF(AUTOEVENTO="Manual",IF($B34&lt;&gt;1,OFFSET(EVENTOS!$D$14,$B34,0),0),IF(B34&lt;=MAX(CÁLCULO!$M$15:$M$120),VLOOKUP($B34,CÁLCULO!$M$15:$N$120,2,FALSE),0))</f>
        <v>0</v>
      </c>
      <c r="D34" s="645"/>
      <c r="F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</row>
    <row r="35" spans="1:32" x14ac:dyDescent="0.2">
      <c r="A35" s="7" t="str">
        <f ca="1">IF(AUTOEVENTO="Manual",IF(OFFSET(EVENTOS!$F$14,PLE!$B35,0)&gt;0,"F",""),IF(PLE!B35&lt;=MAX(CÁLCULO!$M$15:$M$120),"F",""))</f>
        <v/>
      </c>
      <c r="B35" s="284">
        <f t="shared" ca="1" si="1"/>
        <v>21</v>
      </c>
      <c r="C35" s="645">
        <f ca="1">IF(AUTOEVENTO="Manual",IF($B35&lt;&gt;1,OFFSET(EVENTOS!$D$14,$B35,0),0),IF(B35&lt;=MAX(CÁLCULO!$M$15:$M$120),VLOOKUP($B35,CÁLCULO!$M$15:$N$120,2,FALSE),0))</f>
        <v>0</v>
      </c>
      <c r="D35" s="645"/>
      <c r="F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</row>
    <row r="36" spans="1:32" x14ac:dyDescent="0.2">
      <c r="A36" s="7" t="str">
        <f ca="1">IF(AUTOEVENTO="Manual",IF(OFFSET(EVENTOS!$F$14,PLE!$B36,0)&gt;0,"F",""),IF(PLE!B36&lt;=MAX(CÁLCULO!$M$15:$M$120),"F",""))</f>
        <v/>
      </c>
      <c r="B36" s="284">
        <f t="shared" ca="1" si="1"/>
        <v>22</v>
      </c>
      <c r="C36" s="645">
        <f ca="1">IF(AUTOEVENTO="Manual",IF($B36&lt;&gt;1,OFFSET(EVENTOS!$D$14,$B36,0),0),IF(B36&lt;=MAX(CÁLCULO!$M$15:$M$120),VLOOKUP($B36,CÁLCULO!$M$15:$N$120,2,FALSE),0))</f>
        <v>0</v>
      </c>
      <c r="D36" s="645"/>
      <c r="F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</row>
    <row r="37" spans="1:32" x14ac:dyDescent="0.2">
      <c r="A37" s="7" t="str">
        <f ca="1">IF(AUTOEVENTO="Manual",IF(OFFSET(EVENTOS!$F$14,PLE!$B37,0)&gt;0,"F",""),IF(PLE!B37&lt;=MAX(CÁLCULO!$M$15:$M$120),"F",""))</f>
        <v/>
      </c>
      <c r="B37" s="284">
        <f t="shared" ca="1" si="1"/>
        <v>23</v>
      </c>
      <c r="C37" s="645">
        <f ca="1">IF(AUTOEVENTO="Manual",IF($B37&lt;&gt;1,OFFSET(EVENTOS!$D$14,$B37,0),0),IF(B37&lt;=MAX(CÁLCULO!$M$15:$M$120),VLOOKUP($B37,CÁLCULO!$M$15:$N$120,2,FALSE),0))</f>
        <v>0</v>
      </c>
      <c r="D37" s="645"/>
      <c r="F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</row>
    <row r="38" spans="1:32" x14ac:dyDescent="0.2">
      <c r="A38" s="7" t="str">
        <f ca="1">IF(AUTOEVENTO="Manual",IF(OFFSET(EVENTOS!$F$14,PLE!$B38,0)&gt;0,"F",""),IF(PLE!B38&lt;=MAX(CÁLCULO!$M$15:$M$120),"F",""))</f>
        <v/>
      </c>
      <c r="B38" s="284">
        <f t="shared" ca="1" si="1"/>
        <v>24</v>
      </c>
      <c r="C38" s="645">
        <f ca="1">IF(AUTOEVENTO="Manual",IF($B38&lt;&gt;1,OFFSET(EVENTOS!$D$14,$B38,0),0),IF(B38&lt;=MAX(CÁLCULO!$M$15:$M$120),VLOOKUP($B38,CÁLCULO!$M$15:$N$120,2,FALSE),0))</f>
        <v>0</v>
      </c>
      <c r="D38" s="645"/>
      <c r="F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</row>
    <row r="39" spans="1:32" x14ac:dyDescent="0.2">
      <c r="A39" s="7" t="str">
        <f ca="1">IF(AUTOEVENTO="Manual",IF(OFFSET(EVENTOS!$F$14,PLE!$B39,0)&gt;0,"F",""),IF(PLE!B39&lt;=MAX(CÁLCULO!$M$15:$M$120),"F",""))</f>
        <v/>
      </c>
      <c r="B39" s="284">
        <f t="shared" ca="1" si="1"/>
        <v>25</v>
      </c>
      <c r="C39" s="645">
        <f ca="1">IF(AUTOEVENTO="Manual",IF($B39&lt;&gt;1,OFFSET(EVENTOS!$D$14,$B39,0),0),IF(B39&lt;=MAX(CÁLCULO!$M$15:$M$120),VLOOKUP($B39,CÁLCULO!$M$15:$N$120,2,FALSE),0))</f>
        <v>0</v>
      </c>
      <c r="D39" s="645"/>
      <c r="F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</row>
    <row r="40" spans="1:32" x14ac:dyDescent="0.2">
      <c r="A40" s="7" t="str">
        <f ca="1">IF(AUTOEVENTO="Manual",IF(OFFSET(EVENTOS!$F$14,PLE!$B40,0)&gt;0,"F",""),IF(PLE!B40&lt;=MAX(CÁLCULO!$M$15:$M$120),"F",""))</f>
        <v/>
      </c>
      <c r="B40" s="284">
        <f t="shared" ca="1" si="1"/>
        <v>26</v>
      </c>
      <c r="C40" s="645">
        <f ca="1">IF(AUTOEVENTO="Manual",IF($B40&lt;&gt;1,OFFSET(EVENTOS!$D$14,$B40,0),0),IF(B40&lt;=MAX(CÁLCULO!$M$15:$M$120),VLOOKUP($B40,CÁLCULO!$M$15:$N$120,2,FALSE),0))</f>
        <v>0</v>
      </c>
      <c r="D40" s="645"/>
      <c r="F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</row>
    <row r="41" spans="1:32" x14ac:dyDescent="0.2">
      <c r="A41" s="7" t="str">
        <f ca="1">IF(AUTOEVENTO="Manual",IF(OFFSET(EVENTOS!$F$14,PLE!$B41,0)&gt;0,"F",""),IF(PLE!B41&lt;=MAX(CÁLCULO!$M$15:$M$120),"F",""))</f>
        <v/>
      </c>
      <c r="B41" s="284">
        <f t="shared" ca="1" si="1"/>
        <v>27</v>
      </c>
      <c r="C41" s="645">
        <f ca="1">IF(AUTOEVENTO="Manual",IF($B41&lt;&gt;1,OFFSET(EVENTOS!$D$14,$B41,0),0),IF(B41&lt;=MAX(CÁLCULO!$M$15:$M$120),VLOOKUP($B41,CÁLCULO!$M$15:$N$120,2,FALSE),0))</f>
        <v>0</v>
      </c>
      <c r="D41" s="645"/>
      <c r="F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</row>
    <row r="42" spans="1:32" x14ac:dyDescent="0.2">
      <c r="A42" s="7" t="str">
        <f ca="1">IF(AUTOEVENTO="Manual",IF(OFFSET(EVENTOS!$F$14,PLE!$B42,0)&gt;0,"F",""),IF(PLE!B42&lt;=MAX(CÁLCULO!$M$15:$M$120),"F",""))</f>
        <v/>
      </c>
      <c r="B42" s="284">
        <f t="shared" ca="1" si="1"/>
        <v>28</v>
      </c>
      <c r="C42" s="645">
        <f ca="1">IF(AUTOEVENTO="Manual",IF($B42&lt;&gt;1,OFFSET(EVENTOS!$D$14,$B42,0),0),IF(B42&lt;=MAX(CÁLCULO!$M$15:$M$120),VLOOKUP($B42,CÁLCULO!$M$15:$N$120,2,FALSE),0))</f>
        <v>0</v>
      </c>
      <c r="D42" s="645"/>
      <c r="F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</row>
    <row r="43" spans="1:32" x14ac:dyDescent="0.2">
      <c r="A43" s="7" t="str">
        <f ca="1">IF(AUTOEVENTO="Manual",IF(OFFSET(EVENTOS!$F$14,PLE!$B43,0)&gt;0,"F",""),IF(PLE!B43&lt;=MAX(CÁLCULO!$M$15:$M$120),"F",""))</f>
        <v/>
      </c>
      <c r="B43" s="284">
        <f t="shared" ca="1" si="1"/>
        <v>29</v>
      </c>
      <c r="C43" s="645">
        <f ca="1">IF(AUTOEVENTO="Manual",IF($B43&lt;&gt;1,OFFSET(EVENTOS!$D$14,$B43,0),0),IF(B43&lt;=MAX(CÁLCULO!$M$15:$M$120),VLOOKUP($B43,CÁLCULO!$M$15:$N$120,2,FALSE),0))</f>
        <v>0</v>
      </c>
      <c r="D43" s="645"/>
      <c r="F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</row>
    <row r="44" spans="1:32" x14ac:dyDescent="0.2">
      <c r="A44" s="7" t="str">
        <f ca="1">IF(AUTOEVENTO="Manual",IF(OFFSET(EVENTOS!$F$14,PLE!$B44,0)&gt;0,"F",""),IF(PLE!B44&lt;=MAX(CÁLCULO!$M$15:$M$120),"F",""))</f>
        <v/>
      </c>
      <c r="B44" s="284">
        <f t="shared" ca="1" si="1"/>
        <v>30</v>
      </c>
      <c r="C44" s="645">
        <f ca="1">IF(AUTOEVENTO="Manual",IF($B44&lt;&gt;1,OFFSET(EVENTOS!$D$14,$B44,0),0),IF(B44&lt;=MAX(CÁLCULO!$M$15:$M$120),VLOOKUP($B44,CÁLCULO!$M$15:$N$120,2,FALSE),0))</f>
        <v>0</v>
      </c>
      <c r="D44" s="645"/>
      <c r="F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</row>
    <row r="45" spans="1:32" x14ac:dyDescent="0.2">
      <c r="A45" s="7" t="str">
        <f ca="1">IF(AUTOEVENTO="Manual",IF(OFFSET(EVENTOS!$F$14,PLE!$B45,0)&gt;0,"F",""),IF(PLE!B45&lt;=MAX(CÁLCULO!$M$15:$M$120),"F",""))</f>
        <v/>
      </c>
      <c r="B45" s="284">
        <f t="shared" ca="1" si="1"/>
        <v>31</v>
      </c>
      <c r="C45" s="645">
        <f ca="1">IF(AUTOEVENTO="Manual",IF($B45&lt;&gt;1,OFFSET(EVENTOS!$D$14,$B45,0),0),IF(B45&lt;=MAX(CÁLCULO!$M$15:$M$120),VLOOKUP($B45,CÁLCULO!$M$15:$N$120,2,FALSE),0))</f>
        <v>0</v>
      </c>
      <c r="D45" s="645"/>
      <c r="F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</row>
    <row r="46" spans="1:32" x14ac:dyDescent="0.2">
      <c r="A46" s="7" t="str">
        <f ca="1">IF(AUTOEVENTO="Manual",IF(OFFSET(EVENTOS!$F$14,PLE!$B46,0)&gt;0,"F",""),IF(PLE!B46&lt;=MAX(CÁLCULO!$M$15:$M$120),"F",""))</f>
        <v/>
      </c>
      <c r="B46" s="284">
        <f t="shared" ca="1" si="1"/>
        <v>32</v>
      </c>
      <c r="C46" s="645">
        <f ca="1">IF(AUTOEVENTO="Manual",IF($B46&lt;&gt;1,OFFSET(EVENTOS!$D$14,$B46,0),0),IF(B46&lt;=MAX(CÁLCULO!$M$15:$M$120),VLOOKUP($B46,CÁLCULO!$M$15:$N$120,2,FALSE),0))</f>
        <v>0</v>
      </c>
      <c r="D46" s="645"/>
      <c r="F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</row>
    <row r="47" spans="1:32" x14ac:dyDescent="0.2">
      <c r="A47" s="7" t="str">
        <f ca="1">IF(AUTOEVENTO="Manual",IF(OFFSET(EVENTOS!$F$14,PLE!$B47,0)&gt;0,"F",""),IF(PLE!B47&lt;=MAX(CÁLCULO!$M$15:$M$120),"F",""))</f>
        <v/>
      </c>
      <c r="B47" s="284">
        <f t="shared" ca="1" si="1"/>
        <v>33</v>
      </c>
      <c r="C47" s="645">
        <f ca="1">IF(AUTOEVENTO="Manual",IF($B47&lt;&gt;1,OFFSET(EVENTOS!$D$14,$B47,0),0),IF(B47&lt;=MAX(CÁLCULO!$M$15:$M$120),VLOOKUP($B47,CÁLCULO!$M$15:$N$120,2,FALSE),0))</f>
        <v>0</v>
      </c>
      <c r="D47" s="645"/>
      <c r="F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</row>
    <row r="48" spans="1:32" x14ac:dyDescent="0.2">
      <c r="A48" s="7" t="str">
        <f ca="1">IF(AUTOEVENTO="Manual",IF(OFFSET(EVENTOS!$F$14,PLE!$B48,0)&gt;0,"F",""),IF(PLE!B48&lt;=MAX(CÁLCULO!$M$15:$M$120),"F",""))</f>
        <v/>
      </c>
      <c r="B48" s="284">
        <f t="shared" ca="1" si="1"/>
        <v>34</v>
      </c>
      <c r="C48" s="645">
        <f ca="1">IF(AUTOEVENTO="Manual",IF($B48&lt;&gt;1,OFFSET(EVENTOS!$D$14,$B48,0),0),IF(B48&lt;=MAX(CÁLCULO!$M$15:$M$120),VLOOKUP($B48,CÁLCULO!$M$15:$N$120,2,FALSE),0))</f>
        <v>0</v>
      </c>
      <c r="D48" s="645"/>
      <c r="F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</row>
    <row r="49" spans="1:32" x14ac:dyDescent="0.2">
      <c r="A49" s="7" t="str">
        <f ca="1">IF(AUTOEVENTO="Manual",IF(OFFSET(EVENTOS!$F$14,PLE!$B49,0)&gt;0,"F",""),IF(PLE!B49&lt;=MAX(CÁLCULO!$M$15:$M$120),"F",""))</f>
        <v/>
      </c>
      <c r="B49" s="284">
        <f t="shared" ca="1" si="1"/>
        <v>35</v>
      </c>
      <c r="C49" s="645">
        <f ca="1">IF(AUTOEVENTO="Manual",IF($B49&lt;&gt;1,OFFSET(EVENTOS!$D$14,$B49,0),0),IF(B49&lt;=MAX(CÁLCULO!$M$15:$M$120),VLOOKUP($B49,CÁLCULO!$M$15:$N$120,2,FALSE),0))</f>
        <v>0</v>
      </c>
      <c r="D49" s="645"/>
      <c r="F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</row>
    <row r="50" spans="1:32" x14ac:dyDescent="0.2">
      <c r="A50" s="7" t="str">
        <f ca="1">IF(AUTOEVENTO="Manual",IF(OFFSET(EVENTOS!$F$14,PLE!$B50,0)&gt;0,"F",""),IF(PLE!B50&lt;=MAX(CÁLCULO!$M$15:$M$120),"F",""))</f>
        <v/>
      </c>
      <c r="B50" s="284">
        <f t="shared" ca="1" si="1"/>
        <v>36</v>
      </c>
      <c r="C50" s="645">
        <f ca="1">IF(AUTOEVENTO="Manual",IF($B50&lt;&gt;1,OFFSET(EVENTOS!$D$14,$B50,0),0),IF(B50&lt;=MAX(CÁLCULO!$M$15:$M$120),VLOOKUP($B50,CÁLCULO!$M$15:$N$120,2,FALSE),0))</f>
        <v>0</v>
      </c>
      <c r="D50" s="645"/>
      <c r="F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</row>
    <row r="51" spans="1:32" x14ac:dyDescent="0.2">
      <c r="A51" s="7" t="str">
        <f ca="1">IF(AUTOEVENTO="Manual",IF(OFFSET(EVENTOS!$F$14,PLE!$B51,0)&gt;0,"F",""),IF(PLE!B51&lt;=MAX(CÁLCULO!$M$15:$M$120),"F",""))</f>
        <v/>
      </c>
      <c r="B51" s="284">
        <f t="shared" ca="1" si="1"/>
        <v>37</v>
      </c>
      <c r="C51" s="645">
        <f ca="1">IF(AUTOEVENTO="Manual",IF($B51&lt;&gt;1,OFFSET(EVENTOS!$D$14,$B51,0),0),IF(B51&lt;=MAX(CÁLCULO!$M$15:$M$120),VLOOKUP($B51,CÁLCULO!$M$15:$N$120,2,FALSE),0))</f>
        <v>0</v>
      </c>
      <c r="D51" s="645"/>
      <c r="F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</row>
    <row r="52" spans="1:32" x14ac:dyDescent="0.2">
      <c r="A52" s="7" t="str">
        <f ca="1">IF(AUTOEVENTO="Manual",IF(OFFSET(EVENTOS!$F$14,PLE!$B52,0)&gt;0,"F",""),IF(PLE!B52&lt;=MAX(CÁLCULO!$M$15:$M$120),"F",""))</f>
        <v/>
      </c>
      <c r="B52" s="284">
        <f t="shared" ca="1" si="1"/>
        <v>38</v>
      </c>
      <c r="C52" s="645">
        <f ca="1">IF(AUTOEVENTO="Manual",IF($B52&lt;&gt;1,OFFSET(EVENTOS!$D$14,$B52,0),0),IF(B52&lt;=MAX(CÁLCULO!$M$15:$M$120),VLOOKUP($B52,CÁLCULO!$M$15:$N$120,2,FALSE),0))</f>
        <v>0</v>
      </c>
      <c r="D52" s="645"/>
      <c r="F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</row>
    <row r="53" spans="1:32" x14ac:dyDescent="0.2">
      <c r="A53" s="7" t="str">
        <f ca="1">IF(AUTOEVENTO="Manual",IF(OFFSET(EVENTOS!$F$14,PLE!$B53,0)&gt;0,"F",""),IF(PLE!B53&lt;=MAX(CÁLCULO!$M$15:$M$120),"F",""))</f>
        <v/>
      </c>
      <c r="B53" s="284">
        <f t="shared" ca="1" si="1"/>
        <v>39</v>
      </c>
      <c r="C53" s="645">
        <f ca="1">IF(AUTOEVENTO="Manual",IF($B53&lt;&gt;1,OFFSET(EVENTOS!$D$14,$B53,0),0),IF(B53&lt;=MAX(CÁLCULO!$M$15:$M$120),VLOOKUP($B53,CÁLCULO!$M$15:$N$120,2,FALSE),0))</f>
        <v>0</v>
      </c>
      <c r="D53" s="645"/>
      <c r="F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</row>
    <row r="54" spans="1:32" x14ac:dyDescent="0.2">
      <c r="A54" s="7" t="str">
        <f ca="1">IF(AUTOEVENTO="Manual",IF(OFFSET(EVENTOS!$F$14,PLE!$B54,0)&gt;0,"F",""),IF(PLE!B54&lt;=MAX(CÁLCULO!$M$15:$M$120),"F",""))</f>
        <v/>
      </c>
      <c r="B54" s="284">
        <f t="shared" ca="1" si="1"/>
        <v>40</v>
      </c>
      <c r="C54" s="645">
        <f ca="1">IF(AUTOEVENTO="Manual",IF($B54&lt;&gt;1,OFFSET(EVENTOS!$D$14,$B54,0),0),IF(B54&lt;=MAX(CÁLCULO!$M$15:$M$120),VLOOKUP($B54,CÁLCULO!$M$15:$N$120,2,FALSE),0))</f>
        <v>0</v>
      </c>
      <c r="D54" s="645"/>
      <c r="F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</row>
    <row r="55" spans="1:32" x14ac:dyDescent="0.2">
      <c r="A55" s="7" t="str">
        <f ca="1">IF(AUTOEVENTO="Manual",IF(OFFSET(EVENTOS!$F$14,PLE!$B55,0)&gt;0,"F",""),IF(PLE!B55&lt;=MAX(CÁLCULO!$M$15:$M$120),"F",""))</f>
        <v/>
      </c>
      <c r="B55" s="284">
        <f t="shared" ca="1" si="1"/>
        <v>41</v>
      </c>
      <c r="C55" s="645">
        <f ca="1">IF(AUTOEVENTO="Manual",IF($B55&lt;&gt;1,OFFSET(EVENTOS!$D$14,$B55,0),0),IF(B55&lt;=MAX(CÁLCULO!$M$15:$M$120),VLOOKUP($B55,CÁLCULO!$M$15:$N$120,2,FALSE),0))</f>
        <v>0</v>
      </c>
      <c r="D55" s="645"/>
      <c r="F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</row>
    <row r="56" spans="1:32" x14ac:dyDescent="0.2">
      <c r="A56" s="7" t="str">
        <f ca="1">IF(AUTOEVENTO="Manual",IF(OFFSET(EVENTOS!$F$14,PLE!$B56,0)&gt;0,"F",""),IF(PLE!B56&lt;=MAX(CÁLCULO!$M$15:$M$120),"F",""))</f>
        <v/>
      </c>
      <c r="B56" s="284">
        <f t="shared" ca="1" si="1"/>
        <v>42</v>
      </c>
      <c r="C56" s="645">
        <f ca="1">IF(AUTOEVENTO="Manual",IF($B56&lt;&gt;1,OFFSET(EVENTOS!$D$14,$B56,0),0),IF(B56&lt;=MAX(CÁLCULO!$M$15:$M$120),VLOOKUP($B56,CÁLCULO!$M$15:$N$120,2,FALSE),0))</f>
        <v>0</v>
      </c>
      <c r="D56" s="645"/>
      <c r="F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</row>
    <row r="57" spans="1:32" x14ac:dyDescent="0.2">
      <c r="A57" s="7" t="str">
        <f ca="1">IF(AUTOEVENTO="Manual",IF(OFFSET(EVENTOS!$F$14,PLE!$B57,0)&gt;0,"F",""),IF(PLE!B57&lt;=MAX(CÁLCULO!$M$15:$M$120),"F",""))</f>
        <v/>
      </c>
      <c r="B57" s="284">
        <f t="shared" ca="1" si="1"/>
        <v>43</v>
      </c>
      <c r="C57" s="645">
        <f ca="1">IF(AUTOEVENTO="Manual",IF($B57&lt;&gt;1,OFFSET(EVENTOS!$D$14,$B57,0),0),IF(B57&lt;=MAX(CÁLCULO!$M$15:$M$120),VLOOKUP($B57,CÁLCULO!$M$15:$N$120,2,FALSE),0))</f>
        <v>0</v>
      </c>
      <c r="D57" s="645"/>
      <c r="F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</row>
    <row r="58" spans="1:32" x14ac:dyDescent="0.2">
      <c r="A58" s="7" t="str">
        <f ca="1">IF(AUTOEVENTO="Manual",IF(OFFSET(EVENTOS!$F$14,PLE!$B58,0)&gt;0,"F",""),IF(PLE!B58&lt;=MAX(CÁLCULO!$M$15:$M$120),"F",""))</f>
        <v/>
      </c>
      <c r="B58" s="284">
        <f t="shared" ca="1" si="1"/>
        <v>44</v>
      </c>
      <c r="C58" s="645">
        <f ca="1">IF(AUTOEVENTO="Manual",IF($B58&lt;&gt;1,OFFSET(EVENTOS!$D$14,$B58,0),0),IF(B58&lt;=MAX(CÁLCULO!$M$15:$M$120),VLOOKUP($B58,CÁLCULO!$M$15:$N$120,2,FALSE),0))</f>
        <v>0</v>
      </c>
      <c r="D58" s="645"/>
      <c r="F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</row>
    <row r="59" spans="1:32" x14ac:dyDescent="0.2">
      <c r="A59" s="7" t="str">
        <f ca="1">IF(AUTOEVENTO="Manual",IF(OFFSET(EVENTOS!$F$14,PLE!$B59,0)&gt;0,"F",""),IF(PLE!B59&lt;=MAX(CÁLCULO!$M$15:$M$120),"F",""))</f>
        <v/>
      </c>
      <c r="B59" s="284">
        <f t="shared" ca="1" si="1"/>
        <v>45</v>
      </c>
      <c r="C59" s="645">
        <f ca="1">IF(AUTOEVENTO="Manual",IF($B59&lt;&gt;1,OFFSET(EVENTOS!$D$14,$B59,0),0),IF(B59&lt;=MAX(CÁLCULO!$M$15:$M$120),VLOOKUP($B59,CÁLCULO!$M$15:$N$120,2,FALSE),0))</f>
        <v>0</v>
      </c>
      <c r="D59" s="645"/>
      <c r="F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</row>
    <row r="60" spans="1:32" x14ac:dyDescent="0.2">
      <c r="A60" s="7" t="str">
        <f ca="1">IF(AUTOEVENTO="Manual",IF(OFFSET(EVENTOS!$F$14,PLE!$B60,0)&gt;0,"F",""),IF(PLE!B60&lt;=MAX(CÁLCULO!$M$15:$M$120),"F",""))</f>
        <v/>
      </c>
      <c r="B60" s="284">
        <f t="shared" ca="1" si="1"/>
        <v>46</v>
      </c>
      <c r="C60" s="645">
        <f ca="1">IF(AUTOEVENTO="Manual",IF($B60&lt;&gt;1,OFFSET(EVENTOS!$D$14,$B60,0),0),IF(B60&lt;=MAX(CÁLCULO!$M$15:$M$120),VLOOKUP($B60,CÁLCULO!$M$15:$N$120,2,FALSE),0))</f>
        <v>0</v>
      </c>
      <c r="D60" s="645"/>
      <c r="F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</row>
    <row r="61" spans="1:32" x14ac:dyDescent="0.2">
      <c r="A61" s="7" t="str">
        <f ca="1">IF(AUTOEVENTO="Manual",IF(OFFSET(EVENTOS!$F$14,PLE!$B61,0)&gt;0,"F",""),IF(PLE!B61&lt;=MAX(CÁLCULO!$M$15:$M$120),"F",""))</f>
        <v/>
      </c>
      <c r="B61" s="284">
        <f t="shared" ca="1" si="1"/>
        <v>47</v>
      </c>
      <c r="C61" s="645">
        <f ca="1">IF(AUTOEVENTO="Manual",IF($B61&lt;&gt;1,OFFSET(EVENTOS!$D$14,$B61,0),0),IF(B61&lt;=MAX(CÁLCULO!$M$15:$M$120),VLOOKUP($B61,CÁLCULO!$M$15:$N$120,2,FALSE),0))</f>
        <v>0</v>
      </c>
      <c r="D61" s="645"/>
      <c r="F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</row>
    <row r="62" spans="1:32" x14ac:dyDescent="0.2">
      <c r="A62" s="7" t="str">
        <f ca="1">IF(AUTOEVENTO="Manual",IF(OFFSET(EVENTOS!$F$14,PLE!$B62,0)&gt;0,"F",""),IF(PLE!B62&lt;=MAX(CÁLCULO!$M$15:$M$120),"F",""))</f>
        <v/>
      </c>
      <c r="B62" s="284">
        <f t="shared" ca="1" si="1"/>
        <v>48</v>
      </c>
      <c r="C62" s="645">
        <f ca="1">IF(AUTOEVENTO="Manual",IF($B62&lt;&gt;1,OFFSET(EVENTOS!$D$14,$B62,0),0),IF(B62&lt;=MAX(CÁLCULO!$M$15:$M$120),VLOOKUP($B62,CÁLCULO!$M$15:$N$120,2,FALSE),0))</f>
        <v>0</v>
      </c>
      <c r="D62" s="645"/>
      <c r="F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</row>
    <row r="63" spans="1:32" x14ac:dyDescent="0.2">
      <c r="A63" s="7" t="str">
        <f ca="1">IF(AUTOEVENTO="Manual",IF(OFFSET(EVENTOS!$F$14,PLE!$B63,0)&gt;0,"F",""),IF(PLE!B63&lt;=MAX(CÁLCULO!$M$15:$M$120),"F",""))</f>
        <v/>
      </c>
      <c r="B63" s="284">
        <f t="shared" ca="1" si="1"/>
        <v>49</v>
      </c>
      <c r="C63" s="645">
        <f ca="1">IF(AUTOEVENTO="Manual",IF($B63&lt;&gt;1,OFFSET(EVENTOS!$D$14,$B63,0),0),IF(B63&lt;=MAX(CÁLCULO!$M$15:$M$120),VLOOKUP($B63,CÁLCULO!$M$15:$N$120,2,FALSE),0))</f>
        <v>0</v>
      </c>
      <c r="D63" s="645"/>
      <c r="F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</row>
    <row r="64" spans="1:32" x14ac:dyDescent="0.2">
      <c r="A64" s="7" t="str">
        <f ca="1">IF(AUTOEVENTO="Manual",IF(OFFSET(EVENTOS!$F$14,PLE!$B64,0)&gt;0,"F",""),IF(PLE!B64&lt;=MAX(CÁLCULO!$M$15:$M$120),"F",""))</f>
        <v/>
      </c>
      <c r="B64" s="284">
        <f t="shared" ca="1" si="1"/>
        <v>50</v>
      </c>
      <c r="C64" s="645">
        <f ca="1">IF(AUTOEVENTO="Manual",IF($B64&lt;&gt;1,OFFSET(EVENTOS!$D$14,$B64,0),0),IF(B64&lt;=MAX(CÁLCULO!$M$15:$M$120),VLOOKUP($B64,CÁLCULO!$M$15:$N$120,2,FALSE),0))</f>
        <v>0</v>
      </c>
      <c r="D64" s="645"/>
      <c r="F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</row>
    <row r="65" spans="1:32" ht="4.5" customHeight="1" x14ac:dyDescent="0.2">
      <c r="A65" s="7" t="s">
        <v>246</v>
      </c>
      <c r="B65" s="481"/>
      <c r="C65" s="482"/>
      <c r="D65" s="483"/>
      <c r="F65" s="135"/>
      <c r="H65" s="481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  <c r="AC65" s="482"/>
      <c r="AD65" s="482"/>
      <c r="AE65" s="482"/>
      <c r="AF65" s="483"/>
    </row>
    <row r="66" spans="1:32" x14ac:dyDescent="0.2">
      <c r="A66" s="7" t="s">
        <v>246</v>
      </c>
    </row>
    <row r="67" spans="1:32" x14ac:dyDescent="0.2">
      <c r="A67" s="7" t="s">
        <v>246</v>
      </c>
      <c r="I67" s="652" t="s">
        <v>298</v>
      </c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652"/>
      <c r="Z67" s="652"/>
      <c r="AA67" s="652"/>
      <c r="AB67" s="652"/>
      <c r="AC67" s="652"/>
      <c r="AD67" s="652"/>
      <c r="AE67" s="652"/>
      <c r="AF67" s="652"/>
    </row>
    <row r="68" spans="1:32" x14ac:dyDescent="0.2">
      <c r="A68" s="7" t="s">
        <v>246</v>
      </c>
      <c r="I68" s="667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3"/>
      <c r="Z68" s="653"/>
      <c r="AA68" s="653"/>
      <c r="AB68" s="653"/>
      <c r="AC68" s="653"/>
      <c r="AD68" s="653"/>
      <c r="AE68" s="653"/>
      <c r="AF68" s="658"/>
    </row>
    <row r="69" spans="1:32" x14ac:dyDescent="0.2">
      <c r="A69" s="7" t="s">
        <v>246</v>
      </c>
      <c r="D69" s="307" t="s">
        <v>299</v>
      </c>
      <c r="I69" s="657">
        <f>IF(PLE.Medicao&lt;=12,1,TRUNC((PLE.Medicao - 2)/11,0) * 11 + 1)</f>
        <v>1</v>
      </c>
      <c r="J69" s="657"/>
      <c r="K69" s="657">
        <f>I69+1</f>
        <v>2</v>
      </c>
      <c r="L69" s="657"/>
      <c r="M69" s="657">
        <f>K69+1</f>
        <v>3</v>
      </c>
      <c r="N69" s="657"/>
      <c r="O69" s="657">
        <f>M69+1</f>
        <v>4</v>
      </c>
      <c r="P69" s="657"/>
      <c r="Q69" s="657">
        <f>O69+1</f>
        <v>5</v>
      </c>
      <c r="R69" s="657"/>
      <c r="S69" s="657">
        <f>Q69+1</f>
        <v>6</v>
      </c>
      <c r="T69" s="657"/>
      <c r="U69" s="657">
        <f>S69+1</f>
        <v>7</v>
      </c>
      <c r="V69" s="657"/>
      <c r="W69" s="657">
        <f>U69+1</f>
        <v>8</v>
      </c>
      <c r="X69" s="657"/>
      <c r="Y69" s="657">
        <f>W69+1</f>
        <v>9</v>
      </c>
      <c r="Z69" s="657"/>
      <c r="AA69" s="657">
        <f>Y69+1</f>
        <v>10</v>
      </c>
      <c r="AB69" s="657"/>
      <c r="AC69" s="657">
        <f>AA69+1</f>
        <v>11</v>
      </c>
      <c r="AD69" s="657"/>
      <c r="AE69" s="657">
        <f>AC69+1</f>
        <v>12</v>
      </c>
      <c r="AF69" s="657"/>
    </row>
    <row r="70" spans="1:32" x14ac:dyDescent="0.2">
      <c r="A70" s="7" t="s">
        <v>246</v>
      </c>
      <c r="D70" s="662" t="s">
        <v>283</v>
      </c>
      <c r="H70" s="308" t="s">
        <v>300</v>
      </c>
      <c r="I70" s="666" t="e">
        <f ca="1">ROUND(I71,2)/ORÇAMENTO!$X$15</f>
        <v>#DIV/0!</v>
      </c>
      <c r="J70" s="666"/>
      <c r="K70" s="656" t="e">
        <f ca="1">ROUND(K71,2)/ORÇAMENTO!$X$15</f>
        <v>#DIV/0!</v>
      </c>
      <c r="L70" s="656"/>
      <c r="M70" s="655" t="e">
        <f ca="1">ROUND(M71,2)/ORÇAMENTO!$X$15</f>
        <v>#DIV/0!</v>
      </c>
      <c r="N70" s="655"/>
      <c r="O70" s="656" t="e">
        <f ca="1">ROUND(O71,2)/ORÇAMENTO!$X$15</f>
        <v>#DIV/0!</v>
      </c>
      <c r="P70" s="656"/>
      <c r="Q70" s="655" t="e">
        <f ca="1">ROUND(Q71,2)/ORÇAMENTO!$X$15</f>
        <v>#DIV/0!</v>
      </c>
      <c r="R70" s="655"/>
      <c r="S70" s="656" t="e">
        <f ca="1">ROUND(S71,2)/ORÇAMENTO!$X$15</f>
        <v>#DIV/0!</v>
      </c>
      <c r="T70" s="656"/>
      <c r="U70" s="655" t="e">
        <f ca="1">ROUND(U71,2)/ORÇAMENTO!$X$15</f>
        <v>#DIV/0!</v>
      </c>
      <c r="V70" s="655"/>
      <c r="W70" s="656" t="e">
        <f ca="1">ROUND(W71,2)/ORÇAMENTO!$X$15</f>
        <v>#DIV/0!</v>
      </c>
      <c r="X70" s="656"/>
      <c r="Y70" s="655" t="e">
        <f ca="1">ROUND(Y71,2)/ORÇAMENTO!$X$15</f>
        <v>#DIV/0!</v>
      </c>
      <c r="Z70" s="655"/>
      <c r="AA70" s="656" t="e">
        <f ca="1">ROUND(AA71,2)/ORÇAMENTO!$X$15</f>
        <v>#DIV/0!</v>
      </c>
      <c r="AB70" s="656"/>
      <c r="AC70" s="655" t="e">
        <f ca="1">ROUND(AC71,2)/ORÇAMENTO!$X$15</f>
        <v>#DIV/0!</v>
      </c>
      <c r="AD70" s="655"/>
      <c r="AE70" s="656" t="e">
        <f ca="1">ROUND(AE71,2)/ORÇAMENTO!$X$15</f>
        <v>#DIV/0!</v>
      </c>
      <c r="AF70" s="656"/>
    </row>
    <row r="71" spans="1:32" x14ac:dyDescent="0.2">
      <c r="A71" s="7" t="s">
        <v>246</v>
      </c>
      <c r="D71" s="662"/>
      <c r="H71" s="12" t="s">
        <v>301</v>
      </c>
      <c r="I71" s="659" t="e">
        <f ca="1">IF(I69=1,I73,ROUND(I73,2)-ROUND(SUMIF(CÁLCULO!$AX$15:$BH$120,"&lt;="&amp;PLE!I69-1,CÁLCULO!$AB$15:$AL$120)*(1+CÁLCULO.TotalAdmLocal/(ORÇAMENTO!$X$15-CÁLCULO.TotalAdmLocal)),2))</f>
        <v>#DIV/0!</v>
      </c>
      <c r="J71" s="659"/>
      <c r="K71" s="659" t="e">
        <f ca="1">ROUND(K73,2)-ROUND(I73,2)</f>
        <v>#DIV/0!</v>
      </c>
      <c r="L71" s="659"/>
      <c r="M71" s="664" t="e">
        <f ca="1">ROUND(M73,2)-ROUND(K73,2)</f>
        <v>#DIV/0!</v>
      </c>
      <c r="N71" s="664"/>
      <c r="O71" s="659" t="e">
        <f ca="1">ROUND(O73,2)-ROUND(M73,2)</f>
        <v>#DIV/0!</v>
      </c>
      <c r="P71" s="659"/>
      <c r="Q71" s="664" t="e">
        <f ca="1">ROUND(Q73,2)-ROUND(O73,2)</f>
        <v>#DIV/0!</v>
      </c>
      <c r="R71" s="664"/>
      <c r="S71" s="659" t="e">
        <f ca="1">ROUND(S73,2)-ROUND(Q73,2)</f>
        <v>#DIV/0!</v>
      </c>
      <c r="T71" s="659"/>
      <c r="U71" s="664" t="e">
        <f ca="1">ROUND(U73,2)-ROUND(S73,2)</f>
        <v>#DIV/0!</v>
      </c>
      <c r="V71" s="664"/>
      <c r="W71" s="659" t="e">
        <f ca="1">ROUND(W73,2)-ROUND(U73,2)</f>
        <v>#DIV/0!</v>
      </c>
      <c r="X71" s="659"/>
      <c r="Y71" s="664" t="e">
        <f ca="1">ROUND(Y73,2)-ROUND(W73,2)</f>
        <v>#DIV/0!</v>
      </c>
      <c r="Z71" s="664"/>
      <c r="AA71" s="659" t="e">
        <f ca="1">ROUND(AA73,2)-ROUND(Y73,2)</f>
        <v>#DIV/0!</v>
      </c>
      <c r="AB71" s="659"/>
      <c r="AC71" s="664" t="e">
        <f ca="1">ROUND(AC73,2)-ROUND(AA73,2)</f>
        <v>#DIV/0!</v>
      </c>
      <c r="AD71" s="664"/>
      <c r="AE71" s="659" t="e">
        <f ca="1">ROUND(AE73,2)-ROUND(AC73,2)</f>
        <v>#DIV/0!</v>
      </c>
      <c r="AF71" s="659"/>
    </row>
    <row r="72" spans="1:32" x14ac:dyDescent="0.2">
      <c r="A72" s="7" t="s">
        <v>246</v>
      </c>
      <c r="D72" s="662" t="s">
        <v>287</v>
      </c>
      <c r="H72" s="308" t="s">
        <v>300</v>
      </c>
      <c r="I72" s="661" t="e">
        <f ca="1">ROUND(I73,2)/ORÇAMENTO!$X$15</f>
        <v>#DIV/0!</v>
      </c>
      <c r="J72" s="661"/>
      <c r="K72" s="660" t="e">
        <f ca="1">ROUND(K73,2)/ORÇAMENTO!$X$15</f>
        <v>#DIV/0!</v>
      </c>
      <c r="L72" s="660"/>
      <c r="M72" s="663" t="e">
        <f ca="1">ROUND(M73,2)/ORÇAMENTO!$X$15</f>
        <v>#DIV/0!</v>
      </c>
      <c r="N72" s="663"/>
      <c r="O72" s="660" t="e">
        <f ca="1">ROUND(O73,2)/ORÇAMENTO!$X$15</f>
        <v>#DIV/0!</v>
      </c>
      <c r="P72" s="660"/>
      <c r="Q72" s="663" t="e">
        <f ca="1">ROUND(Q73,2)/ORÇAMENTO!$X$15</f>
        <v>#DIV/0!</v>
      </c>
      <c r="R72" s="663"/>
      <c r="S72" s="660" t="e">
        <f ca="1">ROUND(S73,2)/ORÇAMENTO!$X$15</f>
        <v>#DIV/0!</v>
      </c>
      <c r="T72" s="660"/>
      <c r="U72" s="663" t="e">
        <f ca="1">ROUND(U73,2)/ORÇAMENTO!$X$15</f>
        <v>#DIV/0!</v>
      </c>
      <c r="V72" s="663"/>
      <c r="W72" s="660" t="e">
        <f ca="1">ROUND(W73,2)/ORÇAMENTO!$X$15</f>
        <v>#DIV/0!</v>
      </c>
      <c r="X72" s="660"/>
      <c r="Y72" s="663" t="e">
        <f ca="1">ROUND(Y73,2)/ORÇAMENTO!$X$15</f>
        <v>#DIV/0!</v>
      </c>
      <c r="Z72" s="663"/>
      <c r="AA72" s="660" t="e">
        <f ca="1">ROUND(AA73,2)/ORÇAMENTO!$X$15</f>
        <v>#DIV/0!</v>
      </c>
      <c r="AB72" s="660"/>
      <c r="AC72" s="663" t="e">
        <f ca="1">ROUND(AC73,2)/ORÇAMENTO!$X$15</f>
        <v>#DIV/0!</v>
      </c>
      <c r="AD72" s="663"/>
      <c r="AE72" s="660" t="e">
        <f ca="1">ROUND(AE73,2)/ORÇAMENTO!$X$15</f>
        <v>#DIV/0!</v>
      </c>
      <c r="AF72" s="660"/>
    </row>
    <row r="73" spans="1:32" x14ac:dyDescent="0.2">
      <c r="A73" s="7" t="s">
        <v>246</v>
      </c>
      <c r="D73" s="662"/>
      <c r="H73" s="12" t="s">
        <v>301</v>
      </c>
      <c r="I73" s="665" t="e">
        <f ca="1">SUMIF(CÁLCULO!$AX$15:$BH$120,"&lt;="&amp;PLE!I69,CÁLCULO!$AB$15:$AL$120)*(1+CÁLCULO.TotalAdmLocal/(ORÇAMENTO!$X$15-CÁLCULO.TotalAdmLocal))</f>
        <v>#DIV/0!</v>
      </c>
      <c r="J73" s="665"/>
      <c r="K73" s="659" t="e">
        <f ca="1">SUMIF(CÁLCULO!$AX$15:$BH$120,"&lt;="&amp;PLE!K69,CÁLCULO!$AB$15:$AL$120)*(1+CÁLCULO.TotalAdmLocal/(ORÇAMENTO!$X$15-CÁLCULO.TotalAdmLocal))</f>
        <v>#DIV/0!</v>
      </c>
      <c r="L73" s="659"/>
      <c r="M73" s="664" t="e">
        <f ca="1">SUMIF(CÁLCULO!$AX$15:$BH$120,"&lt;="&amp;PLE!M69,CÁLCULO!$AB$15:$AL$120)*(1+CÁLCULO.TotalAdmLocal/(ORÇAMENTO!$X$15-CÁLCULO.TotalAdmLocal))</f>
        <v>#DIV/0!</v>
      </c>
      <c r="N73" s="664"/>
      <c r="O73" s="659" t="e">
        <f ca="1">SUMIF(CÁLCULO!$AX$15:$BH$120,"&lt;="&amp;PLE!O69,CÁLCULO!$AB$15:$AL$120)*(1+CÁLCULO.TotalAdmLocal/(ORÇAMENTO!$X$15-CÁLCULO.TotalAdmLocal))</f>
        <v>#DIV/0!</v>
      </c>
      <c r="P73" s="659"/>
      <c r="Q73" s="664" t="e">
        <f ca="1">SUMIF(CÁLCULO!$AX$15:$BH$120,"&lt;="&amp;PLE!Q69,CÁLCULO!$AB$15:$AL$120)*(1+CÁLCULO.TotalAdmLocal/(ORÇAMENTO!$X$15-CÁLCULO.TotalAdmLocal))</f>
        <v>#DIV/0!</v>
      </c>
      <c r="R73" s="664"/>
      <c r="S73" s="659" t="e">
        <f ca="1">SUMIF(CÁLCULO!$AX$15:$BH$120,"&lt;="&amp;PLE!S69,CÁLCULO!$AB$15:$AL$120)*(1+CÁLCULO.TotalAdmLocal/(ORÇAMENTO!$X$15-CÁLCULO.TotalAdmLocal))</f>
        <v>#DIV/0!</v>
      </c>
      <c r="T73" s="659"/>
      <c r="U73" s="664" t="e">
        <f ca="1">SUMIF(CÁLCULO!$AX$15:$BH$120,"&lt;="&amp;PLE!U69,CÁLCULO!$AB$15:$AL$120)*(1+CÁLCULO.TotalAdmLocal/(ORÇAMENTO!$X$15-CÁLCULO.TotalAdmLocal))</f>
        <v>#DIV/0!</v>
      </c>
      <c r="V73" s="664"/>
      <c r="W73" s="659" t="e">
        <f ca="1">SUMIF(CÁLCULO!$AX$15:$BH$120,"&lt;="&amp;PLE!W69,CÁLCULO!$AB$15:$AL$120)*(1+CÁLCULO.TotalAdmLocal/(ORÇAMENTO!$X$15-CÁLCULO.TotalAdmLocal))</f>
        <v>#DIV/0!</v>
      </c>
      <c r="X73" s="659"/>
      <c r="Y73" s="664" t="e">
        <f ca="1">SUMIF(CÁLCULO!$AX$15:$BH$120,"&lt;="&amp;PLE!Y69,CÁLCULO!$AB$15:$AL$120)*(1+CÁLCULO.TotalAdmLocal/(ORÇAMENTO!$X$15-CÁLCULO.TotalAdmLocal))</f>
        <v>#DIV/0!</v>
      </c>
      <c r="Z73" s="664"/>
      <c r="AA73" s="659" t="e">
        <f ca="1">SUMIF(CÁLCULO!$AX$15:$BH$120,"&lt;="&amp;PLE!AA69,CÁLCULO!$AB$15:$AL$120)*(1+CÁLCULO.TotalAdmLocal/(ORÇAMENTO!$X$15-CÁLCULO.TotalAdmLocal))</f>
        <v>#DIV/0!</v>
      </c>
      <c r="AB73" s="659"/>
      <c r="AC73" s="664" t="e">
        <f ca="1">SUMIF(CÁLCULO!$AX$15:$BH$120,"&lt;="&amp;PLE!AC69,CÁLCULO!$AB$15:$AL$120)*(1+CÁLCULO.TotalAdmLocal/(ORÇAMENTO!$X$15-CÁLCULO.TotalAdmLocal))</f>
        <v>#DIV/0!</v>
      </c>
      <c r="AD73" s="664"/>
      <c r="AE73" s="659" t="e">
        <f ca="1">SUMIF(CÁLCULO!$AX$15:$BH$120,"&lt;="&amp;PLE!AE69,CÁLCULO!$AB$15:$AL$120)*(1+CÁLCULO.TotalAdmLocal/(ORÇAMENTO!$X$15-CÁLCULO.TotalAdmLocal))</f>
        <v>#DIV/0!</v>
      </c>
      <c r="AF73" s="659"/>
    </row>
    <row r="74" spans="1:32" ht="20.25" customHeight="1" x14ac:dyDescent="0.2">
      <c r="A74" s="7" t="s">
        <v>246</v>
      </c>
    </row>
    <row r="75" spans="1:32" ht="15" x14ac:dyDescent="0.2">
      <c r="A75" s="7" t="s">
        <v>246</v>
      </c>
      <c r="B75" s="615" t="str">
        <f>Import.Município</f>
        <v>LAGES/SC</v>
      </c>
      <c r="C75" s="615"/>
      <c r="D75" s="615"/>
      <c r="U75" s="142"/>
      <c r="V75" s="142"/>
      <c r="W75" s="142"/>
      <c r="X75" s="142"/>
      <c r="Y75" s="191"/>
      <c r="Z75" s="191"/>
      <c r="AA75" s="191"/>
      <c r="AB75" s="191"/>
      <c r="AC75" s="191"/>
      <c r="AD75" s="191"/>
    </row>
    <row r="76" spans="1:32" x14ac:dyDescent="0.2">
      <c r="A76" s="7" t="s">
        <v>246</v>
      </c>
      <c r="B76" s="10" t="s">
        <v>188</v>
      </c>
      <c r="U76" s="192" t="s">
        <v>302</v>
      </c>
    </row>
    <row r="77" spans="1:32" x14ac:dyDescent="0.2">
      <c r="A77" s="7" t="s">
        <v>246</v>
      </c>
      <c r="I77" s="77"/>
      <c r="U77" s="75" t="s">
        <v>108</v>
      </c>
      <c r="W77" s="309">
        <f t="array" ref="W77:W80">Import.RespFiscalização</f>
        <v>0</v>
      </c>
    </row>
    <row r="78" spans="1:32" x14ac:dyDescent="0.2">
      <c r="A78" s="7" t="s">
        <v>246</v>
      </c>
      <c r="B78" s="610">
        <f>DADOS!$F$48</f>
        <v>0</v>
      </c>
      <c r="C78" s="610"/>
      <c r="D78" s="610"/>
      <c r="I78" s="77"/>
      <c r="U78" s="75" t="s">
        <v>127</v>
      </c>
      <c r="W78" s="309">
        <v>0</v>
      </c>
    </row>
    <row r="79" spans="1:32" x14ac:dyDescent="0.2">
      <c r="A79" s="7" t="s">
        <v>246</v>
      </c>
      <c r="B79" s="143" t="s">
        <v>189</v>
      </c>
      <c r="C79" s="1"/>
      <c r="D79" s="1"/>
      <c r="I79" s="77"/>
      <c r="U79" s="75" t="s">
        <v>109</v>
      </c>
      <c r="W79" s="309">
        <v>0</v>
      </c>
    </row>
    <row r="80" spans="1:32" x14ac:dyDescent="0.2">
      <c r="U80" s="75" t="s">
        <v>110</v>
      </c>
      <c r="W80" s="13">
        <v>0</v>
      </c>
    </row>
  </sheetData>
  <sheetProtection algorithmName="SHA-512" hashValue="+AhcW0MRNa7aACeXBSxtQ+zvCTd3cVaUDFEvJv9OiaD4uqtDRzi/TCxQWAyJTisZKBq6OUJ0X+L853bBEsb5aw==" saltValue="k61BN55TWt6v7HSzNdzYtg==" spinCount="100000" sheet="1" objects="1" scenarios="1" autoFilter="0"/>
  <autoFilter ref="A13:A79"/>
  <mergeCells count="143">
    <mergeCell ref="I69:J69"/>
    <mergeCell ref="I70:J70"/>
    <mergeCell ref="I68:J68"/>
    <mergeCell ref="C31:D31"/>
    <mergeCell ref="C32:D32"/>
    <mergeCell ref="C30:D30"/>
    <mergeCell ref="C33:D33"/>
    <mergeCell ref="C50:D50"/>
    <mergeCell ref="C51:D51"/>
    <mergeCell ref="D70:D71"/>
    <mergeCell ref="C62:D62"/>
    <mergeCell ref="C63:D63"/>
    <mergeCell ref="C64:D64"/>
    <mergeCell ref="C56:D56"/>
    <mergeCell ref="C57:D57"/>
    <mergeCell ref="C58:D58"/>
    <mergeCell ref="C59:D59"/>
    <mergeCell ref="C60:D60"/>
    <mergeCell ref="C61:D61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M70:N70"/>
    <mergeCell ref="Y70:Z70"/>
    <mergeCell ref="W70:X70"/>
    <mergeCell ref="U70:V70"/>
    <mergeCell ref="Q70:R70"/>
    <mergeCell ref="S70:T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O72:P72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21:D21"/>
    <mergeCell ref="C22:D22"/>
    <mergeCell ref="C23:D23"/>
    <mergeCell ref="C36:D36"/>
    <mergeCell ref="C37:D37"/>
    <mergeCell ref="C52:D52"/>
    <mergeCell ref="C53:D53"/>
    <mergeCell ref="C54:D54"/>
    <mergeCell ref="C55:D55"/>
    <mergeCell ref="C25:D2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6:D26"/>
    <mergeCell ref="C27:D27"/>
    <mergeCell ref="C28:D28"/>
    <mergeCell ref="C29:D29"/>
    <mergeCell ref="C35:D35"/>
    <mergeCell ref="C49:D49"/>
    <mergeCell ref="C44:D44"/>
    <mergeCell ref="C45:D45"/>
    <mergeCell ref="C46:D46"/>
    <mergeCell ref="C47:D47"/>
    <mergeCell ref="C48:D48"/>
    <mergeCell ref="C38:D38"/>
    <mergeCell ref="C40:D40"/>
    <mergeCell ref="C43:D43"/>
  </mergeCells>
  <phoneticPr fontId="38" type="noConversion"/>
  <conditionalFormatting sqref="F1:F2">
    <cfRule type="expression" dxfId="109" priority="439" stopIfTrue="1">
      <formula>IF(OR(ACOMPANHAMENTO="BM",F$12&gt;CÁLCULO.NúmeroDeFrentes),TRUE,PLE.ValorDoEvento=0)</formula>
    </cfRule>
    <cfRule type="cellIs" dxfId="108" priority="440" stopIfTrue="1" operator="equal">
      <formula>$J$9</formula>
    </cfRule>
  </conditionalFormatting>
  <conditionalFormatting sqref="I70:AF70">
    <cfRule type="expression" dxfId="107" priority="441" stopIfTrue="1">
      <formula>I69=$J$9</formula>
    </cfRule>
  </conditionalFormatting>
  <conditionalFormatting sqref="I71:AF71">
    <cfRule type="expression" dxfId="106" priority="442" stopIfTrue="1">
      <formula>I69=$J$9</formula>
    </cfRule>
  </conditionalFormatting>
  <conditionalFormatting sqref="I72:AF72">
    <cfRule type="expression" dxfId="105" priority="443" stopIfTrue="1">
      <formula>I69=$J$9</formula>
    </cfRule>
  </conditionalFormatting>
  <conditionalFormatting sqref="I73:AF73">
    <cfRule type="expression" dxfId="104" priority="444" stopIfTrue="1">
      <formula>I69=$J$9</formula>
    </cfRule>
  </conditionalFormatting>
  <conditionalFormatting sqref="I69:J69">
    <cfRule type="cellIs" dxfId="103" priority="438" stopIfTrue="1" operator="notEqual">
      <formula>1</formula>
    </cfRule>
  </conditionalFormatting>
  <conditionalFormatting sqref="H1:AF1">
    <cfRule type="expression" dxfId="102" priority="456" stopIfTrue="1">
      <formula>IF(OR(ACOMPANHAMENTO="BM",TIPOORCAMENTO="Proposto",H$12&gt;CÁLCULO.NúmeroDeFrentes),TRUE,PLE.ValorDoEvento=0)</formula>
    </cfRule>
    <cfRule type="cellIs" dxfId="101" priority="457" stopIfTrue="1" operator="equal">
      <formula>$J$9</formula>
    </cfRule>
  </conditionalFormatting>
  <conditionalFormatting sqref="AE6:AE7">
    <cfRule type="expression" dxfId="100" priority="445" stopIfTrue="1">
      <formula>TIPOORCAMENTO&lt;&gt;"Licitado"</formula>
    </cfRule>
  </conditionalFormatting>
  <conditionalFormatting sqref="N9:T9">
    <cfRule type="expression" dxfId="99" priority="446" stopIfTrue="1">
      <formula>COLUMN(N9)&gt;COLUMN($AF$12)</formula>
    </cfRule>
    <cfRule type="expression" dxfId="98" priority="447" stopIfTrue="1">
      <formula>$N$9="DIGITE A DATA DA MEDIÇÃO"</formula>
    </cfRule>
  </conditionalFormatting>
  <conditionalFormatting sqref="I9:M9 U9:AF9">
    <cfRule type="expression" dxfId="97" priority="448" stopIfTrue="1">
      <formula>COLUMN(I9)&gt;COLUMN($AF$12)</formula>
    </cfRule>
  </conditionalFormatting>
  <conditionalFormatting sqref="F16:F24">
    <cfRule type="expression" dxfId="96" priority="21" stopIfTrue="1">
      <formula>IF(OR(ACOMPANHAMENTO="BM",F$12&gt;CÁLCULO.NúmeroDeFrentes),TRUE,PLE.ValorDoEvento=0)</formula>
    </cfRule>
    <cfRule type="cellIs" dxfId="95" priority="22" stopIfTrue="1" operator="equal">
      <formula>$J$9</formula>
    </cfRule>
  </conditionalFormatting>
  <conditionalFormatting sqref="H16:AF24">
    <cfRule type="expression" dxfId="94" priority="23" stopIfTrue="1">
      <formula>IF(OR(ACOMPANHAMENTO="BM",TIPOORCAMENTO="Proposto",H$12&gt;CÁLCULO.NúmeroDeFrentes),TRUE,PLE.ValorDoEvento=0)</formula>
    </cfRule>
    <cfRule type="cellIs" dxfId="93" priority="24" stopIfTrue="1" operator="equal">
      <formula>$J$9</formula>
    </cfRule>
  </conditionalFormatting>
  <conditionalFormatting sqref="F25:F33">
    <cfRule type="expression" dxfId="92" priority="17" stopIfTrue="1">
      <formula>IF(OR(ACOMPANHAMENTO="BM",F$12&gt;CÁLCULO.NúmeroDeFrentes),TRUE,PLE.ValorDoEvento=0)</formula>
    </cfRule>
    <cfRule type="cellIs" dxfId="91" priority="18" stopIfTrue="1" operator="equal">
      <formula>$J$9</formula>
    </cfRule>
  </conditionalFormatting>
  <conditionalFormatting sqref="H25:AF33">
    <cfRule type="expression" dxfId="90" priority="19" stopIfTrue="1">
      <formula>IF(OR(ACOMPANHAMENTO="BM",TIPOORCAMENTO="Proposto",H$12&gt;CÁLCULO.NúmeroDeFrentes),TRUE,PLE.ValorDoEvento=0)</formula>
    </cfRule>
    <cfRule type="cellIs" dxfId="89" priority="20" stopIfTrue="1" operator="equal">
      <formula>$J$9</formula>
    </cfRule>
  </conditionalFormatting>
  <conditionalFormatting sqref="F34:F42">
    <cfRule type="expression" dxfId="88" priority="13" stopIfTrue="1">
      <formula>IF(OR(ACOMPANHAMENTO="BM",F$12&gt;CÁLCULO.NúmeroDeFrentes),TRUE,PLE.ValorDoEvento=0)</formula>
    </cfRule>
    <cfRule type="cellIs" dxfId="87" priority="14" stopIfTrue="1" operator="equal">
      <formula>$J$9</formula>
    </cfRule>
  </conditionalFormatting>
  <conditionalFormatting sqref="H34:AF42">
    <cfRule type="expression" dxfId="86" priority="15" stopIfTrue="1">
      <formula>IF(OR(ACOMPANHAMENTO="BM",TIPOORCAMENTO="Proposto",H$12&gt;CÁLCULO.NúmeroDeFrentes),TRUE,PLE.ValorDoEvento=0)</formula>
    </cfRule>
    <cfRule type="cellIs" dxfId="85" priority="16" stopIfTrue="1" operator="equal">
      <formula>$J$9</formula>
    </cfRule>
  </conditionalFormatting>
  <conditionalFormatting sqref="F43:F51">
    <cfRule type="expression" dxfId="84" priority="9" stopIfTrue="1">
      <formula>IF(OR(ACOMPANHAMENTO="BM",F$12&gt;CÁLCULO.NúmeroDeFrentes),TRUE,PLE.ValorDoEvento=0)</formula>
    </cfRule>
    <cfRule type="cellIs" dxfId="83" priority="10" stopIfTrue="1" operator="equal">
      <formula>$J$9</formula>
    </cfRule>
  </conditionalFormatting>
  <conditionalFormatting sqref="H43:AF51">
    <cfRule type="expression" dxfId="82" priority="11" stopIfTrue="1">
      <formula>IF(OR(ACOMPANHAMENTO="BM",TIPOORCAMENTO="Proposto",H$12&gt;CÁLCULO.NúmeroDeFrentes),TRUE,PLE.ValorDoEvento=0)</formula>
    </cfRule>
    <cfRule type="cellIs" dxfId="81" priority="12" stopIfTrue="1" operator="equal">
      <formula>$J$9</formula>
    </cfRule>
  </conditionalFormatting>
  <conditionalFormatting sqref="F52:F60">
    <cfRule type="expression" dxfId="80" priority="5" stopIfTrue="1">
      <formula>IF(OR(ACOMPANHAMENTO="BM",F$12&gt;CÁLCULO.NúmeroDeFrentes),TRUE,PLE.ValorDoEvento=0)</formula>
    </cfRule>
    <cfRule type="cellIs" dxfId="79" priority="6" stopIfTrue="1" operator="equal">
      <formula>$J$9</formula>
    </cfRule>
  </conditionalFormatting>
  <conditionalFormatting sqref="H52:AF60">
    <cfRule type="expression" dxfId="78" priority="7" stopIfTrue="1">
      <formula>IF(OR(ACOMPANHAMENTO="BM",TIPOORCAMENTO="Proposto",H$12&gt;CÁLCULO.NúmeroDeFrentes),TRUE,PLE.ValorDoEvento=0)</formula>
    </cfRule>
    <cfRule type="cellIs" dxfId="77" priority="8" stopIfTrue="1" operator="equal">
      <formula>$J$9</formula>
    </cfRule>
  </conditionalFormatting>
  <conditionalFormatting sqref="F61:F64">
    <cfRule type="expression" dxfId="76" priority="1" stopIfTrue="1">
      <formula>IF(OR(ACOMPANHAMENTO="BM",F$12&gt;CÁLCULO.NúmeroDeFrentes),TRUE,PLE.ValorDoEvento=0)</formula>
    </cfRule>
    <cfRule type="cellIs" dxfId="75" priority="2" stopIfTrue="1" operator="equal">
      <formula>$J$9</formula>
    </cfRule>
  </conditionalFormatting>
  <conditionalFormatting sqref="H61:AF64">
    <cfRule type="expression" dxfId="74" priority="3" stopIfTrue="1">
      <formula>IF(OR(ACOMPANHAMENTO="BM",TIPOORCAMENTO="Proposto",H$12&gt;CÁLCULO.NúmeroDeFrentes),TRUE,PLE.ValorDoEvento=0)</formula>
    </cfRule>
    <cfRule type="cellIs" dxfId="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30" customHeight="1" x14ac:dyDescent="0.2">
      <c r="F1" s="310" t="s">
        <v>303</v>
      </c>
      <c r="I1" s="8"/>
      <c r="J1" s="8"/>
    </row>
    <row r="2" spans="1:31" x14ac:dyDescent="0.2">
      <c r="Z2" t="s">
        <v>304</v>
      </c>
      <c r="AA2" s="87" t="s">
        <v>305</v>
      </c>
      <c r="AB2" s="75"/>
    </row>
    <row r="3" spans="1:31" x14ac:dyDescent="0.2">
      <c r="D3" s="583" t="s">
        <v>146</v>
      </c>
      <c r="E3" s="583"/>
      <c r="F3" s="86" t="s">
        <v>443</v>
      </c>
      <c r="G3" s="583" t="s">
        <v>147</v>
      </c>
      <c r="H3" s="583"/>
      <c r="I3" s="583"/>
      <c r="J3" s="668" t="s">
        <v>306</v>
      </c>
      <c r="K3" s="668"/>
      <c r="L3" s="668"/>
      <c r="M3" s="669" t="s">
        <v>307</v>
      </c>
      <c r="N3" s="669"/>
      <c r="O3" s="669"/>
      <c r="Z3" s="101">
        <f ca="1">MAX(Z7:AB7)</f>
        <v>0</v>
      </c>
      <c r="AA3" s="311">
        <f ca="1">IF(OR($O$24=ORÇAMENTO.SumINVMANUAL+QCI.SumINVMANUAL,$O$24=0),0,MIN(MAX(0,($Z$3*$O$24-ORÇAMENTO.SumCPMANUAL-QCI.SumCPMANUAL)/($O$24-ORÇAMENTO.SumINVMANUAL-QCI.SumINVMANUAL)),1))</f>
        <v>0</v>
      </c>
      <c r="AB3" s="91"/>
    </row>
    <row r="4" spans="1:31" x14ac:dyDescent="0.2">
      <c r="D4" s="580">
        <f>Import.CR</f>
        <v>0</v>
      </c>
      <c r="E4" s="580"/>
      <c r="F4" s="54">
        <f>Import.TransfereGOV</f>
        <v>0</v>
      </c>
      <c r="G4" s="580" t="str">
        <f>Import.Proponente</f>
        <v>PREFEITURA MUNICIPAL DE LAGES</v>
      </c>
      <c r="H4" s="580"/>
      <c r="I4" s="580"/>
      <c r="J4" s="670" t="str">
        <f>Import.Município</f>
        <v>LAGES/SC</v>
      </c>
      <c r="K4" s="670"/>
      <c r="L4" s="670"/>
      <c r="M4" s="669"/>
      <c r="N4" s="669"/>
      <c r="O4" s="669"/>
      <c r="R4" s="128"/>
      <c r="Z4" s="91"/>
      <c r="AA4" s="91"/>
      <c r="AB4" s="91"/>
    </row>
    <row r="5" spans="1:31" ht="5.0999999999999996" customHeight="1" x14ac:dyDescent="0.2">
      <c r="M5" s="303"/>
      <c r="O5" s="4"/>
    </row>
    <row r="6" spans="1:31" x14ac:dyDescent="0.2">
      <c r="D6" s="583" t="s">
        <v>202</v>
      </c>
      <c r="E6" s="583"/>
      <c r="F6" s="583"/>
      <c r="G6" s="583"/>
      <c r="H6" s="583"/>
      <c r="I6" s="583"/>
      <c r="J6" s="583"/>
      <c r="K6" s="583"/>
      <c r="L6" s="312" t="s">
        <v>210</v>
      </c>
      <c r="M6" s="86" t="str">
        <f>IF(import.recurso="FGTS","FINANCIAMENTO","REPASSE")</f>
        <v>REPASSE</v>
      </c>
      <c r="N6" s="86" t="s">
        <v>308</v>
      </c>
      <c r="O6" s="86" t="s">
        <v>309</v>
      </c>
      <c r="Z6" t="s">
        <v>310</v>
      </c>
      <c r="AA6" t="s">
        <v>311</v>
      </c>
      <c r="AB6" t="s">
        <v>312</v>
      </c>
    </row>
    <row r="7" spans="1:31" ht="12.75" customHeight="1" x14ac:dyDescent="0.2">
      <c r="C7" s="609" t="s">
        <v>209</v>
      </c>
      <c r="D7" s="580" t="str">
        <f>Import.Apelido</f>
        <v>VESTIÁRIOS CAMPO SANTA HELENA</v>
      </c>
      <c r="E7" s="580"/>
      <c r="F7" s="580"/>
      <c r="G7" s="580"/>
      <c r="H7" s="580"/>
      <c r="I7" s="580"/>
      <c r="J7" s="580"/>
      <c r="K7" s="580"/>
      <c r="L7" s="313" t="str">
        <f>import.recurso</f>
        <v>(SELECIONAR)</v>
      </c>
      <c r="M7" s="314">
        <f>Import.Repasse</f>
        <v>0</v>
      </c>
      <c r="N7" s="314">
        <f>Import.Contrapartida</f>
        <v>0</v>
      </c>
      <c r="O7" s="314">
        <f>M7+N7</f>
        <v>0</v>
      </c>
      <c r="Z7" s="101">
        <f>ROUND(Import.CPMinPerc,4)</f>
        <v>0</v>
      </c>
      <c r="AA7" s="101">
        <f ca="1">IF($O$24=0,0,Import.CPMinAbsoluta/$O$24)</f>
        <v>0</v>
      </c>
      <c r="AB7" s="101">
        <f ca="1">IF($O$24=0,0,($O$24-$AB$24-Import.Repasse)/($O$24))</f>
        <v>0</v>
      </c>
    </row>
    <row r="8" spans="1:31" x14ac:dyDescent="0.2">
      <c r="C8" s="609"/>
      <c r="D8" s="91"/>
      <c r="E8" s="91"/>
      <c r="F8" s="315"/>
      <c r="G8" s="91"/>
      <c r="H8" s="91"/>
      <c r="I8" s="91"/>
      <c r="J8" s="91"/>
      <c r="K8" s="91"/>
      <c r="L8" s="91"/>
      <c r="M8" s="91"/>
      <c r="N8" s="91"/>
      <c r="O8" s="91"/>
    </row>
    <row r="9" spans="1:31" ht="12.75" customHeight="1" x14ac:dyDescent="0.2">
      <c r="C9" s="609"/>
      <c r="G9" s="673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$120,-1,0)),2),"","ERRO: CONTRAPARTIDA MAIOR QUE A MÁXIMA","ERRO: CONTRAPARTIDA MENOR QUE A MÍNIMA","ERRO: SALDO NEGATIVO","ERRO: VALORES DE REPASSE NEGATIVOS","ERRO: NÚMERO DE LINHAS DO QCI INSUFICIENTE. CLIQUE NO BOTÃO ADICIONAR LINHAS")</f>
        <v/>
      </c>
      <c r="H9" s="673"/>
      <c r="I9" s="673"/>
      <c r="J9" s="673"/>
      <c r="K9" s="674" t="s">
        <v>313</v>
      </c>
      <c r="L9" s="316" t="str">
        <f>$L$13</f>
        <v>Repasse (R$)</v>
      </c>
      <c r="M9" s="316" t="s">
        <v>238</v>
      </c>
      <c r="AD9" s="671"/>
      <c r="AE9" s="671"/>
    </row>
    <row r="10" spans="1:31" ht="12.75" customHeight="1" x14ac:dyDescent="0.2">
      <c r="A10" s="675" t="s">
        <v>314</v>
      </c>
      <c r="C10" s="609"/>
      <c r="G10" s="673"/>
      <c r="H10" s="673"/>
      <c r="I10" s="673"/>
      <c r="J10" s="673"/>
      <c r="K10" s="674"/>
      <c r="L10" s="317">
        <f ca="1">Import.Repasse-L24</f>
        <v>0</v>
      </c>
      <c r="M10" s="318">
        <f ca="1">Import.Contrapartida-M24</f>
        <v>0</v>
      </c>
      <c r="Z10" s="622" t="s">
        <v>216</v>
      </c>
      <c r="AA10" s="622"/>
      <c r="AB10" s="622"/>
      <c r="AD10" s="671" t="s">
        <v>315</v>
      </c>
      <c r="AE10" s="671"/>
    </row>
    <row r="11" spans="1:31" ht="20.100000000000001" customHeight="1" x14ac:dyDescent="0.2">
      <c r="A11" s="675"/>
      <c r="C11" s="609"/>
      <c r="Z11" s="109" t="s">
        <v>316</v>
      </c>
      <c r="AA11" s="109" t="s">
        <v>238</v>
      </c>
      <c r="AB11" s="110" t="s">
        <v>239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IF(NOT(ISBLANK(QCI.DescManual)),IF(QCI.Divisao="Calculado","Manual","SemiAuto"),IF(ISERROR(MATCH($A12,ORÇAMENTO!$E$15:$E$120,0)),"Branco","Automático"))</f>
        <v>Branco</v>
      </c>
      <c r="C12" t="str">
        <f ca="1">IF(O12&gt;0,"F","")</f>
        <v/>
      </c>
      <c r="D12" s="319">
        <f>ROW()-ROW($D$13)</f>
        <v>-1</v>
      </c>
      <c r="E12" s="117"/>
      <c r="F12" s="117"/>
      <c r="G12" s="169" t="str">
        <f ca="1">IF(OR($B12="Manual",$B12="SemiAuto"),QCI.DescManual,IF($B12="Automático",INDEX(ORÇAMENTO!$R$15:$R$120,MATCH($A12,ORÇAMENTO!$E$15:$E$120,0)),""))</f>
        <v/>
      </c>
      <c r="H12" s="117"/>
      <c r="I12" s="554"/>
      <c r="J12" s="320" t="str">
        <f ca="1">IF(AND(ISBLANK(E12),ISBLANK(F12)),"",VLOOKUP($F12,OFFSET(DADOS!$A$2,1,MATCH(QCI!$E12,DADOS!$2:$2,0)-1,100,50),2,FALSE))</f>
        <v/>
      </c>
      <c r="K12" s="553" t="str">
        <f ca="1">IF(OR($B12="Manual",$B12="SemiAuto"),QCI.LoteManual,IF($B12="Automático",IF(TIPOORCAMENTO="Licitado",Import.CTEF,"LOTE 1"),""))</f>
        <v/>
      </c>
      <c r="L12" s="321">
        <f ca="1">ROUND($O12,2)-ROUND($M12,2)-ROUND($N12,2)</f>
        <v>0</v>
      </c>
      <c r="M12" s="322">
        <f ca="1">ROUND($AA12,2)-ROUND($AE12,2)</f>
        <v>0</v>
      </c>
      <c r="N12" s="323">
        <f ca="1">ROUND($AB12,2)</f>
        <v>0</v>
      </c>
      <c r="O12" s="324">
        <f ca="1">IF($B12="Branco",0,IF(OR($B12="Manual",$B12="SemiAuto"),QCI.InvManual,INDEX(ORÇAMENTO!X$15:X$120,MATCH($A12,ORÇAMENTO!$E$15:$E$120,0))))</f>
        <v>0</v>
      </c>
      <c r="P12" s="529"/>
      <c r="R12" s="555"/>
      <c r="T12" s="556"/>
      <c r="U12" s="326"/>
      <c r="V12" s="557" t="s">
        <v>317</v>
      </c>
      <c r="W12" s="327">
        <f ca="1">$O12</f>
        <v>0</v>
      </c>
      <c r="X12" s="328">
        <v>0</v>
      </c>
      <c r="Z12">
        <f ca="1">$O12-$AA12-$AB12</f>
        <v>0</v>
      </c>
      <c r="AA12">
        <f ca="1">IF($B12="Branco",0,IF($B12="Manual",QCI.CPManual,IF($B12="SemiAuto",ROUND(QCI!$AA$3*QCI.InvManual,2),INDEX(ORÇAMENTO!$AA$15:$AA$120,MATCH($A12,ORÇAMENTO!$E$15:$E$120,0)))))</f>
        <v>0</v>
      </c>
      <c r="AB12">
        <f ca="1">IF($B12="Branco",0,IF($B12="Manual",QCI.OutrosManual,IF($B12="SemiAuto",0,INDEX(ORÇAMENTO!$AB$15:$AB$120,MATCH($A12,ORÇAMENTO!$E$15:$E$120,0)))))</f>
        <v>0</v>
      </c>
      <c r="AD12" s="329" t="b">
        <f ca="1">AND($AA$3&gt;0,$AA$3&lt;1,$O12&gt;0,OR($B12="Automático",$B12="SemiAuto"),OR(QCI!$Z$3=QCI!$Z$7,QCI!$Z$3=QCI!$AA$7,QCI!$Z$3=QCI!$AB$7))</f>
        <v>0</v>
      </c>
      <c r="AE12" s="329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84">
        <v>0</v>
      </c>
      <c r="B13" s="330" t="s">
        <v>318</v>
      </c>
      <c r="C13" s="105" t="s">
        <v>217</v>
      </c>
      <c r="D13" s="106" t="s">
        <v>195</v>
      </c>
      <c r="E13" s="106" t="s">
        <v>319</v>
      </c>
      <c r="F13" s="106" t="s">
        <v>320</v>
      </c>
      <c r="G13" s="106" t="s">
        <v>321</v>
      </c>
      <c r="H13" s="106" t="s">
        <v>161</v>
      </c>
      <c r="I13" s="106" t="s">
        <v>203</v>
      </c>
      <c r="J13" s="106" t="s">
        <v>322</v>
      </c>
      <c r="K13" s="106" t="s">
        <v>323</v>
      </c>
      <c r="L13" s="331" t="str">
        <f>IF(import.recurso="FGTS","Financiamento (R$)","Repasse (R$)")</f>
        <v>Repasse (R$)</v>
      </c>
      <c r="M13" s="332" t="s">
        <v>324</v>
      </c>
      <c r="N13" s="333" t="s">
        <v>239</v>
      </c>
      <c r="O13" s="106" t="s">
        <v>325</v>
      </c>
      <c r="R13" s="334" t="s">
        <v>321</v>
      </c>
      <c r="T13" s="334" t="s">
        <v>323</v>
      </c>
      <c r="U13" s="165" t="s">
        <v>325</v>
      </c>
      <c r="V13" s="335" t="s">
        <v>326</v>
      </c>
      <c r="W13" s="164" t="s">
        <v>324</v>
      </c>
      <c r="X13" s="166" t="s">
        <v>239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IF(NOT(ISBLANK(QCI.DescManual)),IF(QCI.Divisao="Calculado","Manual","SemiAuto"),IF(ISERROR(MATCH($A14,ORÇAMENTO!$E$15:$E$120,0)),"Branco","Automático"))</f>
        <v>Automático</v>
      </c>
      <c r="C14" t="str">
        <f t="shared" ref="C14:C22" ca="1" si="1">IF(O14&gt;0,"F","")</f>
        <v/>
      </c>
      <c r="D14" s="319">
        <f t="shared" ref="D14:D22" si="2">ROW()-ROW($D$13)</f>
        <v>1</v>
      </c>
      <c r="E14" s="117"/>
      <c r="F14" s="117"/>
      <c r="G14" s="169" t="str">
        <f ca="1">IF(OR($B14="Manual",$B14="SemiAuto"),QCI.DescManual,IF($B14="Automático",INDEX(ORÇAMENTO!$R$15:$R$120,MATCH($A14,ORÇAMENTO!$E$15:$E$120,0)),""))</f>
        <v>IMPLANTAÇÃO DE VESTIÁRIOS CAMPO SANTA HELENA</v>
      </c>
      <c r="H14" s="117"/>
      <c r="I14" s="554"/>
      <c r="J14" s="320" t="str">
        <f ca="1">IF(AND(ISBLANK(E14),ISBLANK(F14)),"",VLOOKUP($F14,OFFSET(DADOS!$A$2,1,MATCH(QCI!$E14,DADOS!$2:$2,0)-1,100,50),2,FALSE))</f>
        <v/>
      </c>
      <c r="K14" s="553" t="str">
        <f ca="1">IF(OR($B14="Manual",$B14="SemiAuto"),QCI.LoteManual,IF($B14="Automático",IF(TIPOORCAMENTO="Licitado",Import.CTEF,"LOTE 1"),""))</f>
        <v>LOTE 1</v>
      </c>
      <c r="L14" s="321">
        <f t="shared" ref="L14:L22" ca="1" si="3">ROUND($O14,2)-ROUND($M14,2)-ROUND($N14,2)</f>
        <v>0</v>
      </c>
      <c r="M14" s="322">
        <f t="shared" ref="M14:M22" ca="1" si="4">ROUND($AA14,2)-ROUND($AE14,2)</f>
        <v>0</v>
      </c>
      <c r="N14" s="323">
        <f t="shared" ref="N14:N22" ca="1" si="5">ROUND($AB14,2)</f>
        <v>0</v>
      </c>
      <c r="O14" s="324">
        <f ca="1">IF($B14="Branco",0,IF(OR($B14="Manual",$B14="SemiAuto"),QCI.InvManual,INDEX(ORÇAMENTO!X$15:X$120,MATCH($A14,ORÇAMENTO!$E$15:$E$120,0))))</f>
        <v>0</v>
      </c>
      <c r="P14" s="529"/>
      <c r="R14" s="555"/>
      <c r="T14" s="556"/>
      <c r="U14" s="326"/>
      <c r="V14" s="557" t="s">
        <v>317</v>
      </c>
      <c r="W14" s="327">
        <f t="shared" ref="W14:W22" ca="1" si="6">$O14</f>
        <v>0</v>
      </c>
      <c r="X14" s="328">
        <v>0</v>
      </c>
      <c r="Z14">
        <f t="shared" ref="Z14:Z22" ca="1" si="7">$O14-$AA14-$AB14</f>
        <v>0</v>
      </c>
      <c r="AA14">
        <f ca="1">IF($B14="Branco",0,IF($B14="Manual",QCI.CPManual,IF($B14="SemiAuto",ROUND(QCI!$AA$3*QCI.InvManual,2),INDEX(ORÇAMENTO!$AA$15:$AA$120,MATCH($A14,ORÇAMENTO!$E$15:$E$120,0)))))</f>
        <v>0</v>
      </c>
      <c r="AB14">
        <f ca="1">IF($B14="Branco",0,IF($B14="Manual",QCI.OutrosManual,IF($B14="SemiAuto",0,INDEX(ORÇAMENTO!$AB$15:$AB$120,MATCH($A14,ORÇAMENTO!$E$15:$E$120,0)))))</f>
        <v>0</v>
      </c>
      <c r="AD14" s="329" t="b">
        <f ca="1">AND($AA$3&gt;0,$AA$3&lt;1,$O14&gt;0,OR($B14="Automático",$B14="SemiAuto"),OR(QCI!$Z$3=QCI!$Z$7,QCI!$Z$3=QCI!$AA$7,QCI!$Z$3=QCI!$AB$7))</f>
        <v>0</v>
      </c>
      <c r="AE14" s="329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IF(NOT(ISBLANK(QCI.DescManual)),IF(QCI.Divisao="Calculado","Manual","SemiAuto"),IF(ISERROR(MATCH($A15,ORÇAMENTO!$E$15:$E$120,0)),"Branco","Automático"))</f>
        <v>Branco</v>
      </c>
      <c r="C15" t="str">
        <f t="shared" ca="1" si="1"/>
        <v/>
      </c>
      <c r="D15" s="319">
        <f t="shared" si="2"/>
        <v>2</v>
      </c>
      <c r="E15" s="117"/>
      <c r="F15" s="117"/>
      <c r="G15" s="169" t="str">
        <f ca="1">IF(OR($B15="Manual",$B15="SemiAuto"),QCI.DescManual,IF($B15="Automático",INDEX(ORÇAMENTO!$R$15:$R$120,MATCH($A15,ORÇAMENTO!$E$15:$E$120,0)),""))</f>
        <v/>
      </c>
      <c r="H15" s="117"/>
      <c r="I15" s="554"/>
      <c r="J15" s="320" t="str">
        <f ca="1">IF(AND(ISBLANK(E15),ISBLANK(F15)),"",VLOOKUP($F15,OFFSET(DADOS!$A$2,1,MATCH(QCI!$E15,DADOS!$2:$2,0)-1,100,50),2,FALSE))</f>
        <v/>
      </c>
      <c r="K15" s="553" t="str">
        <f ca="1">IF(OR($B15="Manual",$B15="SemiAuto"),QCI.LoteManual,IF($B15="Automático",IF(TIPOORCAMENTO="Licitado",Import.CTEF,"LOTE 1"),""))</f>
        <v/>
      </c>
      <c r="L15" s="321">
        <f t="shared" ca="1" si="3"/>
        <v>0</v>
      </c>
      <c r="M15" s="322">
        <f t="shared" ca="1" si="4"/>
        <v>0</v>
      </c>
      <c r="N15" s="323">
        <f t="shared" ca="1" si="5"/>
        <v>0</v>
      </c>
      <c r="O15" s="324">
        <f ca="1">IF($B15="Branco",0,IF(OR($B15="Manual",$B15="SemiAuto"),QCI.InvManual,INDEX(ORÇAMENTO!X$15:X$120,MATCH($A15,ORÇAMENTO!$E$15:$E$120,0))))</f>
        <v>0</v>
      </c>
      <c r="P15" s="529"/>
      <c r="R15" s="555"/>
      <c r="T15" s="556"/>
      <c r="U15" s="326"/>
      <c r="V15" s="557" t="s">
        <v>317</v>
      </c>
      <c r="W15" s="327">
        <f t="shared" ca="1" si="6"/>
        <v>0</v>
      </c>
      <c r="X15" s="328">
        <v>0</v>
      </c>
      <c r="Z15">
        <f t="shared" ca="1" si="7"/>
        <v>0</v>
      </c>
      <c r="AA15">
        <f ca="1">IF($B15="Branco",0,IF($B15="Manual",QCI.CPManual,IF($B15="SemiAuto",ROUND(QCI!$AA$3*QCI.InvManual,2),INDEX(ORÇAMENTO!$AA$15:$AA$120,MATCH($A15,ORÇAMENTO!$E$15:$E$120,0)))))</f>
        <v>0</v>
      </c>
      <c r="AB15">
        <f ca="1">IF($B15="Branco",0,IF($B15="Manual",QCI.OutrosManual,IF($B15="SemiAuto",0,INDEX(ORÇAMENTO!$AB$15:$AB$120,MATCH($A15,ORÇAMENTO!$E$15:$E$120,0)))))</f>
        <v>0</v>
      </c>
      <c r="AD15" s="329" t="b">
        <f ca="1">AND($AA$3&gt;0,$AA$3&lt;1,$O15&gt;0,OR($B15="Automático",$B15="SemiAuto"),OR(QCI!$Z$3=QCI!$Z$7,QCI!$Z$3=QCI!$AA$7,QCI!$Z$3=QCI!$AB$7))</f>
        <v>0</v>
      </c>
      <c r="AE15" s="329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IF(NOT(ISBLANK(QCI.DescManual)),IF(QCI.Divisao="Calculado","Manual","SemiAuto"),IF(ISERROR(MATCH($A16,ORÇAMENTO!$E$15:$E$120,0)),"Branco","Automático"))</f>
        <v>Branco</v>
      </c>
      <c r="C16" t="str">
        <f t="shared" ca="1" si="1"/>
        <v/>
      </c>
      <c r="D16" s="319">
        <f t="shared" si="2"/>
        <v>3</v>
      </c>
      <c r="E16" s="117"/>
      <c r="F16" s="117"/>
      <c r="G16" s="169" t="str">
        <f ca="1">IF(OR($B16="Manual",$B16="SemiAuto"),QCI.DescManual,IF($B16="Automático",INDEX(ORÇAMENTO!$R$15:$R$120,MATCH($A16,ORÇAMENTO!$E$15:$E$120,0)),""))</f>
        <v/>
      </c>
      <c r="H16" s="117"/>
      <c r="I16" s="554"/>
      <c r="J16" s="320" t="str">
        <f ca="1">IF(AND(ISBLANK(E16),ISBLANK(F16)),"",VLOOKUP($F16,OFFSET(DADOS!$A$2,1,MATCH(QCI!$E16,DADOS!$2:$2,0)-1,100,50),2,FALSE))</f>
        <v/>
      </c>
      <c r="K16" s="553" t="str">
        <f ca="1">IF(OR($B16="Manual",$B16="SemiAuto"),QCI.LoteManual,IF($B16="Automático",IF(TIPOORCAMENTO="Licitado",Import.CTEF,"LOTE 1"),""))</f>
        <v/>
      </c>
      <c r="L16" s="321">
        <f t="shared" ca="1" si="3"/>
        <v>0</v>
      </c>
      <c r="M16" s="322">
        <f t="shared" ca="1" si="4"/>
        <v>0</v>
      </c>
      <c r="N16" s="323">
        <f t="shared" ca="1" si="5"/>
        <v>0</v>
      </c>
      <c r="O16" s="324">
        <f ca="1">IF($B16="Branco",0,IF(OR($B16="Manual",$B16="SemiAuto"),QCI.InvManual,INDEX(ORÇAMENTO!X$15:X$120,MATCH($A16,ORÇAMENTO!$E$15:$E$120,0))))</f>
        <v>0</v>
      </c>
      <c r="P16" s="529"/>
      <c r="R16" s="555"/>
      <c r="T16" s="556"/>
      <c r="U16" s="326"/>
      <c r="V16" s="557" t="s">
        <v>317</v>
      </c>
      <c r="W16" s="327">
        <f t="shared" ca="1" si="6"/>
        <v>0</v>
      </c>
      <c r="X16" s="328">
        <v>0</v>
      </c>
      <c r="Z16">
        <f t="shared" ca="1" si="7"/>
        <v>0</v>
      </c>
      <c r="AA16">
        <f ca="1">IF($B16="Branco",0,IF($B16="Manual",QCI.CPManual,IF($B16="SemiAuto",ROUND(QCI!$AA$3*QCI.InvManual,2),INDEX(ORÇAMENTO!$AA$15:$AA$120,MATCH($A16,ORÇAMENTO!$E$15:$E$120,0)))))</f>
        <v>0</v>
      </c>
      <c r="AB16">
        <f ca="1">IF($B16="Branco",0,IF($B16="Manual",QCI.OutrosManual,IF($B16="SemiAuto",0,INDEX(ORÇAMENTO!$AB$15:$AB$120,MATCH($A16,ORÇAMENTO!$E$15:$E$120,0)))))</f>
        <v>0</v>
      </c>
      <c r="AD16" s="329" t="b">
        <f ca="1">AND($AA$3&gt;0,$AA$3&lt;1,$O16&gt;0,OR($B16="Automático",$B16="SemiAuto"),OR(QCI!$Z$3=QCI!$Z$7,QCI!$Z$3=QCI!$AA$7,QCI!$Z$3=QCI!$AB$7))</f>
        <v>0</v>
      </c>
      <c r="AE16" s="329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IF(NOT(ISBLANK(QCI.DescManual)),IF(QCI.Divisao="Calculado","Manual","SemiAuto"),IF(ISERROR(MATCH($A17,ORÇAMENTO!$E$15:$E$120,0)),"Branco","Automático"))</f>
        <v>Branco</v>
      </c>
      <c r="C17" t="str">
        <f t="shared" ca="1" si="1"/>
        <v/>
      </c>
      <c r="D17" s="319">
        <f t="shared" si="2"/>
        <v>4</v>
      </c>
      <c r="E17" s="117"/>
      <c r="F17" s="117"/>
      <c r="G17" s="169" t="str">
        <f ca="1">IF(OR($B17="Manual",$B17="SemiAuto"),QCI.DescManual,IF($B17="Automático",INDEX(ORÇAMENTO!$R$15:$R$120,MATCH($A17,ORÇAMENTO!$E$15:$E$120,0)),""))</f>
        <v/>
      </c>
      <c r="H17" s="117"/>
      <c r="I17" s="554"/>
      <c r="J17" s="320" t="str">
        <f ca="1">IF(AND(ISBLANK(E17),ISBLANK(F17)),"",VLOOKUP($F17,OFFSET(DADOS!$A$2,1,MATCH(QCI!$E17,DADOS!$2:$2,0)-1,100,50),2,FALSE))</f>
        <v/>
      </c>
      <c r="K17" s="553" t="str">
        <f ca="1">IF(OR($B17="Manual",$B17="SemiAuto"),QCI.LoteManual,IF($B17="Automático",IF(TIPOORCAMENTO="Licitado",Import.CTEF,"LOTE 1"),""))</f>
        <v/>
      </c>
      <c r="L17" s="321">
        <f t="shared" ca="1" si="3"/>
        <v>0</v>
      </c>
      <c r="M17" s="322">
        <f t="shared" ca="1" si="4"/>
        <v>0</v>
      </c>
      <c r="N17" s="323">
        <f t="shared" ca="1" si="5"/>
        <v>0</v>
      </c>
      <c r="O17" s="324">
        <f ca="1">IF($B17="Branco",0,IF(OR($B17="Manual",$B17="SemiAuto"),QCI.InvManual,INDEX(ORÇAMENTO!X$15:X$120,MATCH($A17,ORÇAMENTO!$E$15:$E$120,0))))</f>
        <v>0</v>
      </c>
      <c r="P17" s="529"/>
      <c r="R17" s="555"/>
      <c r="T17" s="556"/>
      <c r="U17" s="326"/>
      <c r="V17" s="557" t="s">
        <v>317</v>
      </c>
      <c r="W17" s="327">
        <f t="shared" ca="1" si="6"/>
        <v>0</v>
      </c>
      <c r="X17" s="328">
        <v>0</v>
      </c>
      <c r="Z17">
        <f t="shared" ca="1" si="7"/>
        <v>0</v>
      </c>
      <c r="AA17">
        <f ca="1">IF($B17="Branco",0,IF($B17="Manual",QCI.CPManual,IF($B17="SemiAuto",ROUND(QCI!$AA$3*QCI.InvManual,2),INDEX(ORÇAMENTO!$AA$15:$AA$120,MATCH($A17,ORÇAMENTO!$E$15:$E$120,0)))))</f>
        <v>0</v>
      </c>
      <c r="AB17">
        <f ca="1">IF($B17="Branco",0,IF($B17="Manual",QCI.OutrosManual,IF($B17="SemiAuto",0,INDEX(ORÇAMENTO!$AB$15:$AB$120,MATCH($A17,ORÇAMENTO!$E$15:$E$120,0)))))</f>
        <v>0</v>
      </c>
      <c r="AD17" s="329" t="b">
        <f ca="1">AND($AA$3&gt;0,$AA$3&lt;1,$O17&gt;0,OR($B17="Automático",$B17="SemiAuto"),OR(QCI!$Z$3=QCI!$Z$7,QCI!$Z$3=QCI!$AA$7,QCI!$Z$3=QCI!$AB$7))</f>
        <v>0</v>
      </c>
      <c r="AE17" s="329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IF(NOT(ISBLANK(QCI.DescManual)),IF(QCI.Divisao="Calculado","Manual","SemiAuto"),IF(ISERROR(MATCH($A18,ORÇAMENTO!$E$15:$E$120,0)),"Branco","Automático"))</f>
        <v>Branco</v>
      </c>
      <c r="C18" t="str">
        <f t="shared" ca="1" si="1"/>
        <v/>
      </c>
      <c r="D18" s="319">
        <f t="shared" si="2"/>
        <v>5</v>
      </c>
      <c r="E18" s="117"/>
      <c r="F18" s="117"/>
      <c r="G18" s="169" t="str">
        <f ca="1">IF(OR($B18="Manual",$B18="SemiAuto"),QCI.DescManual,IF($B18="Automático",INDEX(ORÇAMENTO!$R$15:$R$120,MATCH($A18,ORÇAMENTO!$E$15:$E$120,0)),""))</f>
        <v/>
      </c>
      <c r="H18" s="117"/>
      <c r="I18" s="554"/>
      <c r="J18" s="320" t="str">
        <f ca="1">IF(AND(ISBLANK(E18),ISBLANK(F18)),"",VLOOKUP($F18,OFFSET(DADOS!$A$2,1,MATCH(QCI!$E18,DADOS!$2:$2,0)-1,100,50),2,FALSE))</f>
        <v/>
      </c>
      <c r="K18" s="553" t="str">
        <f ca="1">IF(OR($B18="Manual",$B18="SemiAuto"),QCI.LoteManual,IF($B18="Automático",IF(TIPOORCAMENTO="Licitado",Import.CTEF,"LOTE 1"),""))</f>
        <v/>
      </c>
      <c r="L18" s="321">
        <f t="shared" ca="1" si="3"/>
        <v>0</v>
      </c>
      <c r="M18" s="322">
        <f t="shared" ca="1" si="4"/>
        <v>0</v>
      </c>
      <c r="N18" s="323">
        <f t="shared" ca="1" si="5"/>
        <v>0</v>
      </c>
      <c r="O18" s="324">
        <f ca="1">IF($B18="Branco",0,IF(OR($B18="Manual",$B18="SemiAuto"),QCI.InvManual,INDEX(ORÇAMENTO!X$15:X$120,MATCH($A18,ORÇAMENTO!$E$15:$E$120,0))))</f>
        <v>0</v>
      </c>
      <c r="P18" s="529"/>
      <c r="R18" s="555"/>
      <c r="T18" s="556"/>
      <c r="U18" s="326"/>
      <c r="V18" s="557" t="s">
        <v>317</v>
      </c>
      <c r="W18" s="327">
        <f t="shared" ca="1" si="6"/>
        <v>0</v>
      </c>
      <c r="X18" s="328">
        <v>0</v>
      </c>
      <c r="Z18">
        <f t="shared" ca="1" si="7"/>
        <v>0</v>
      </c>
      <c r="AA18">
        <f ca="1">IF($B18="Branco",0,IF($B18="Manual",QCI.CPManual,IF($B18="SemiAuto",ROUND(QCI!$AA$3*QCI.InvManual,2),INDEX(ORÇAMENTO!$AA$15:$AA$120,MATCH($A18,ORÇAMENTO!$E$15:$E$120,0)))))</f>
        <v>0</v>
      </c>
      <c r="AB18">
        <f ca="1">IF($B18="Branco",0,IF($B18="Manual",QCI.OutrosManual,IF($B18="SemiAuto",0,INDEX(ORÇAMENTO!$AB$15:$AB$120,MATCH($A18,ORÇAMENTO!$E$15:$E$120,0)))))</f>
        <v>0</v>
      </c>
      <c r="AD18" s="329" t="b">
        <f ca="1">AND($AA$3&gt;0,$AA$3&lt;1,$O18&gt;0,OR($B18="Automático",$B18="SemiAuto"),OR(QCI!$Z$3=QCI!$Z$7,QCI!$Z$3=QCI!$AA$7,QCI!$Z$3=QCI!$AB$7))</f>
        <v>0</v>
      </c>
      <c r="AE18" s="329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IF(NOT(ISBLANK(QCI.DescManual)),IF(QCI.Divisao="Calculado","Manual","SemiAuto"),IF(ISERROR(MATCH($A19,ORÇAMENTO!$E$15:$E$120,0)),"Branco","Automático"))</f>
        <v>Branco</v>
      </c>
      <c r="C19" t="str">
        <f t="shared" ca="1" si="1"/>
        <v/>
      </c>
      <c r="D19" s="319">
        <f t="shared" si="2"/>
        <v>6</v>
      </c>
      <c r="E19" s="117"/>
      <c r="F19" s="117"/>
      <c r="G19" s="169" t="str">
        <f ca="1">IF(OR($B19="Manual",$B19="SemiAuto"),QCI.DescManual,IF($B19="Automático",INDEX(ORÇAMENTO!$R$15:$R$120,MATCH($A19,ORÇAMENTO!$E$15:$E$120,0)),""))</f>
        <v/>
      </c>
      <c r="H19" s="117"/>
      <c r="I19" s="554"/>
      <c r="J19" s="320" t="str">
        <f ca="1">IF(AND(ISBLANK(E19),ISBLANK(F19)),"",VLOOKUP($F19,OFFSET(DADOS!$A$2,1,MATCH(QCI!$E19,DADOS!$2:$2,0)-1,100,50),2,FALSE))</f>
        <v/>
      </c>
      <c r="K19" s="553" t="str">
        <f ca="1">IF(OR($B19="Manual",$B19="SemiAuto"),QCI.LoteManual,IF($B19="Automático",IF(TIPOORCAMENTO="Licitado",Import.CTEF,"LOTE 1"),""))</f>
        <v/>
      </c>
      <c r="L19" s="321">
        <f t="shared" ca="1" si="3"/>
        <v>0</v>
      </c>
      <c r="M19" s="322">
        <f t="shared" ca="1" si="4"/>
        <v>0</v>
      </c>
      <c r="N19" s="323">
        <f t="shared" ca="1" si="5"/>
        <v>0</v>
      </c>
      <c r="O19" s="324">
        <f ca="1">IF($B19="Branco",0,IF(OR($B19="Manual",$B19="SemiAuto"),QCI.InvManual,INDEX(ORÇAMENTO!X$15:X$120,MATCH($A19,ORÇAMENTO!$E$15:$E$120,0))))</f>
        <v>0</v>
      </c>
      <c r="P19" s="529"/>
      <c r="R19" s="555"/>
      <c r="T19" s="556"/>
      <c r="U19" s="326"/>
      <c r="V19" s="557" t="s">
        <v>317</v>
      </c>
      <c r="W19" s="327">
        <f t="shared" ca="1" si="6"/>
        <v>0</v>
      </c>
      <c r="X19" s="328">
        <v>0</v>
      </c>
      <c r="Z19">
        <f t="shared" ca="1" si="7"/>
        <v>0</v>
      </c>
      <c r="AA19">
        <f ca="1">IF($B19="Branco",0,IF($B19="Manual",QCI.CPManual,IF($B19="SemiAuto",ROUND(QCI!$AA$3*QCI.InvManual,2),INDEX(ORÇAMENTO!$AA$15:$AA$120,MATCH($A19,ORÇAMENTO!$E$15:$E$120,0)))))</f>
        <v>0</v>
      </c>
      <c r="AB19">
        <f ca="1">IF($B19="Branco",0,IF($B19="Manual",QCI.OutrosManual,IF($B19="SemiAuto",0,INDEX(ORÇAMENTO!$AB$15:$AB$120,MATCH($A19,ORÇAMENTO!$E$15:$E$120,0)))))</f>
        <v>0</v>
      </c>
      <c r="AD19" s="329" t="b">
        <f ca="1">AND($AA$3&gt;0,$AA$3&lt;1,$O19&gt;0,OR($B19="Automático",$B19="SemiAuto"),OR(QCI!$Z$3=QCI!$Z$7,QCI!$Z$3=QCI!$AA$7,QCI!$Z$3=QCI!$AB$7))</f>
        <v>0</v>
      </c>
      <c r="AE19" s="329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IF(NOT(ISBLANK(QCI.DescManual)),IF(QCI.Divisao="Calculado","Manual","SemiAuto"),IF(ISERROR(MATCH($A20,ORÇAMENTO!$E$15:$E$120,0)),"Branco","Automático"))</f>
        <v>Branco</v>
      </c>
      <c r="C20" t="str">
        <f t="shared" ca="1" si="1"/>
        <v/>
      </c>
      <c r="D20" s="319">
        <f t="shared" si="2"/>
        <v>7</v>
      </c>
      <c r="E20" s="117"/>
      <c r="F20" s="117"/>
      <c r="G20" s="169" t="str">
        <f ca="1">IF(OR($B20="Manual",$B20="SemiAuto"),QCI.DescManual,IF($B20="Automático",INDEX(ORÇAMENTO!$R$15:$R$120,MATCH($A20,ORÇAMENTO!$E$15:$E$120,0)),""))</f>
        <v/>
      </c>
      <c r="H20" s="117"/>
      <c r="I20" s="554"/>
      <c r="J20" s="320" t="str">
        <f ca="1">IF(AND(ISBLANK(E20),ISBLANK(F20)),"",VLOOKUP($F20,OFFSET(DADOS!$A$2,1,MATCH(QCI!$E20,DADOS!$2:$2,0)-1,100,50),2,FALSE))</f>
        <v/>
      </c>
      <c r="K20" s="553" t="str">
        <f ca="1">IF(OR($B20="Manual",$B20="SemiAuto"),QCI.LoteManual,IF($B20="Automático",IF(TIPOORCAMENTO="Licitado",Import.CTEF,"LOTE 1"),""))</f>
        <v/>
      </c>
      <c r="L20" s="321">
        <f t="shared" ca="1" si="3"/>
        <v>0</v>
      </c>
      <c r="M20" s="322">
        <f t="shared" ca="1" si="4"/>
        <v>0</v>
      </c>
      <c r="N20" s="323">
        <f t="shared" ca="1" si="5"/>
        <v>0</v>
      </c>
      <c r="O20" s="324">
        <f ca="1">IF($B20="Branco",0,IF(OR($B20="Manual",$B20="SemiAuto"),QCI.InvManual,INDEX(ORÇAMENTO!X$15:X$120,MATCH($A20,ORÇAMENTO!$E$15:$E$120,0))))</f>
        <v>0</v>
      </c>
      <c r="P20" s="529"/>
      <c r="R20" s="555"/>
      <c r="T20" s="556"/>
      <c r="U20" s="326"/>
      <c r="V20" s="557" t="s">
        <v>317</v>
      </c>
      <c r="W20" s="327">
        <f t="shared" ca="1" si="6"/>
        <v>0</v>
      </c>
      <c r="X20" s="328">
        <v>0</v>
      </c>
      <c r="Z20">
        <f t="shared" ca="1" si="7"/>
        <v>0</v>
      </c>
      <c r="AA20">
        <f ca="1">IF($B20="Branco",0,IF($B20="Manual",QCI.CPManual,IF($B20="SemiAuto",ROUND(QCI!$AA$3*QCI.InvManual,2),INDEX(ORÇAMENTO!$AA$15:$AA$120,MATCH($A20,ORÇAMENTO!$E$15:$E$120,0)))))</f>
        <v>0</v>
      </c>
      <c r="AB20">
        <f ca="1">IF($B20="Branco",0,IF($B20="Manual",QCI.OutrosManual,IF($B20="SemiAuto",0,INDEX(ORÇAMENTO!$AB$15:$AB$120,MATCH($A20,ORÇAMENTO!$E$15:$E$120,0)))))</f>
        <v>0</v>
      </c>
      <c r="AD20" s="329" t="b">
        <f ca="1">AND($AA$3&gt;0,$AA$3&lt;1,$O20&gt;0,OR($B20="Automático",$B20="SemiAuto"),OR(QCI!$Z$3=QCI!$Z$7,QCI!$Z$3=QCI!$AA$7,QCI!$Z$3=QCI!$AB$7))</f>
        <v>0</v>
      </c>
      <c r="AE20" s="329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IF(NOT(ISBLANK(QCI.DescManual)),IF(QCI.Divisao="Calculado","Manual","SemiAuto"),IF(ISERROR(MATCH($A21,ORÇAMENTO!$E$15:$E$120,0)),"Branco","Automático"))</f>
        <v>Branco</v>
      </c>
      <c r="C21" t="str">
        <f t="shared" ca="1" si="1"/>
        <v/>
      </c>
      <c r="D21" s="319">
        <f t="shared" si="2"/>
        <v>8</v>
      </c>
      <c r="E21" s="117"/>
      <c r="F21" s="117"/>
      <c r="G21" s="169" t="str">
        <f ca="1">IF(OR($B21="Manual",$B21="SemiAuto"),QCI.DescManual,IF($B21="Automático",INDEX(ORÇAMENTO!$R$15:$R$120,MATCH($A21,ORÇAMENTO!$E$15:$E$120,0)),""))</f>
        <v/>
      </c>
      <c r="H21" s="117"/>
      <c r="I21" s="554"/>
      <c r="J21" s="320" t="str">
        <f ca="1">IF(AND(ISBLANK(E21),ISBLANK(F21)),"",VLOOKUP($F21,OFFSET(DADOS!$A$2,1,MATCH(QCI!$E21,DADOS!$2:$2,0)-1,100,50),2,FALSE))</f>
        <v/>
      </c>
      <c r="K21" s="553" t="str">
        <f ca="1">IF(OR($B21="Manual",$B21="SemiAuto"),QCI.LoteManual,IF($B21="Automático",IF(TIPOORCAMENTO="Licitado",Import.CTEF,"LOTE 1"),""))</f>
        <v/>
      </c>
      <c r="L21" s="321">
        <f t="shared" ca="1" si="3"/>
        <v>0</v>
      </c>
      <c r="M21" s="322">
        <f t="shared" ca="1" si="4"/>
        <v>0</v>
      </c>
      <c r="N21" s="323">
        <f t="shared" ca="1" si="5"/>
        <v>0</v>
      </c>
      <c r="O21" s="324">
        <f ca="1">IF($B21="Branco",0,IF(OR($B21="Manual",$B21="SemiAuto"),QCI.InvManual,INDEX(ORÇAMENTO!X$15:X$120,MATCH($A21,ORÇAMENTO!$E$15:$E$120,0))))</f>
        <v>0</v>
      </c>
      <c r="P21" s="529"/>
      <c r="R21" s="555"/>
      <c r="T21" s="556"/>
      <c r="U21" s="326"/>
      <c r="V21" s="557" t="s">
        <v>317</v>
      </c>
      <c r="W21" s="327">
        <f t="shared" ca="1" si="6"/>
        <v>0</v>
      </c>
      <c r="X21" s="328">
        <v>0</v>
      </c>
      <c r="Z21">
        <f t="shared" ca="1" si="7"/>
        <v>0</v>
      </c>
      <c r="AA21">
        <f ca="1">IF($B21="Branco",0,IF($B21="Manual",QCI.CPManual,IF($B21="SemiAuto",ROUND(QCI!$AA$3*QCI.InvManual,2),INDEX(ORÇAMENTO!$AA$15:$AA$120,MATCH($A21,ORÇAMENTO!$E$15:$E$120,0)))))</f>
        <v>0</v>
      </c>
      <c r="AB21">
        <f ca="1">IF($B21="Branco",0,IF($B21="Manual",QCI.OutrosManual,IF($B21="SemiAuto",0,INDEX(ORÇAMENTO!$AB$15:$AB$120,MATCH($A21,ORÇAMENTO!$E$15:$E$120,0)))))</f>
        <v>0</v>
      </c>
      <c r="AD21" s="329" t="b">
        <f ca="1">AND($AA$3&gt;0,$AA$3&lt;1,$O21&gt;0,OR($B21="Automático",$B21="SemiAuto"),OR(QCI!$Z$3=QCI!$Z$7,QCI!$Z$3=QCI!$AA$7,QCI!$Z$3=QCI!$AB$7))</f>
        <v>0</v>
      </c>
      <c r="AE21" s="329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IF(NOT(ISBLANK(QCI.DescManual)),IF(QCI.Divisao="Calculado","Manual","SemiAuto"),IF(ISERROR(MATCH($A22,ORÇAMENTO!$E$15:$E$120,0)),"Branco","Automático"))</f>
        <v>Branco</v>
      </c>
      <c r="C22" t="str">
        <f t="shared" ca="1" si="1"/>
        <v/>
      </c>
      <c r="D22" s="319">
        <f t="shared" si="2"/>
        <v>9</v>
      </c>
      <c r="E22" s="117"/>
      <c r="F22" s="117"/>
      <c r="G22" s="169" t="str">
        <f ca="1">IF(OR($B22="Manual",$B22="SemiAuto"),QCI.DescManual,IF($B22="Automático",INDEX(ORÇAMENTO!$R$15:$R$120,MATCH($A22,ORÇAMENTO!$E$15:$E$120,0)),""))</f>
        <v/>
      </c>
      <c r="H22" s="117"/>
      <c r="I22" s="554"/>
      <c r="J22" s="320" t="str">
        <f ca="1">IF(AND(ISBLANK(E22),ISBLANK(F22)),"",VLOOKUP($F22,OFFSET(DADOS!$A$2,1,MATCH(QCI!$E22,DADOS!$2:$2,0)-1,100,50),2,FALSE))</f>
        <v/>
      </c>
      <c r="K22" s="553" t="str">
        <f ca="1">IF(OR($B22="Manual",$B22="SemiAuto"),QCI.LoteManual,IF($B22="Automático",IF(TIPOORCAMENTO="Licitado",Import.CTEF,"LOTE 1"),""))</f>
        <v/>
      </c>
      <c r="L22" s="321">
        <f t="shared" ca="1" si="3"/>
        <v>0</v>
      </c>
      <c r="M22" s="322">
        <f t="shared" ca="1" si="4"/>
        <v>0</v>
      </c>
      <c r="N22" s="323">
        <f t="shared" ca="1" si="5"/>
        <v>0</v>
      </c>
      <c r="O22" s="324">
        <f ca="1">IF($B22="Branco",0,IF(OR($B22="Manual",$B22="SemiAuto"),QCI.InvManual,INDEX(ORÇAMENTO!X$15:X$120,MATCH($A22,ORÇAMENTO!$E$15:$E$120,0))))</f>
        <v>0</v>
      </c>
      <c r="P22" s="529"/>
      <c r="R22" s="555"/>
      <c r="T22" s="556"/>
      <c r="U22" s="326"/>
      <c r="V22" s="557" t="s">
        <v>317</v>
      </c>
      <c r="W22" s="327">
        <f t="shared" ca="1" si="6"/>
        <v>0</v>
      </c>
      <c r="X22" s="328">
        <v>0</v>
      </c>
      <c r="Z22">
        <f t="shared" ca="1" si="7"/>
        <v>0</v>
      </c>
      <c r="AA22">
        <f ca="1">IF($B22="Branco",0,IF($B22="Manual",QCI.CPManual,IF($B22="SemiAuto",ROUND(QCI!$AA$3*QCI.InvManual,2),INDEX(ORÇAMENTO!$AA$15:$AA$120,MATCH($A22,ORÇAMENTO!$E$15:$E$120,0)))))</f>
        <v>0</v>
      </c>
      <c r="AB22">
        <f ca="1">IF($B22="Branco",0,IF($B22="Manual",QCI.OutrosManual,IF($B22="SemiAuto",0,INDEX(ORÇAMENTO!$AB$15:$AB$120,MATCH($A22,ORÇAMENTO!$E$15:$E$120,0)))))</f>
        <v>0</v>
      </c>
      <c r="AD22" s="329" t="b">
        <f ca="1">AND($AA$3&gt;0,$AA$3&lt;1,$O22&gt;0,OR($B22="Automático",$B22="SemiAuto"),OR(QCI!$Z$3=QCI!$Z$7,QCI!$Z$3=QCI!$AA$7,QCI!$Z$3=QCI!$AB$7))</f>
        <v>0</v>
      </c>
      <c r="AE22" s="329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IF(NOT(ISBLANK(QCI.DescManual)),IF(QCI.Divisao="Calculado","Manual","SemiAuto"),IF(ISERROR(MATCH($A23,ORÇAMENTO!$E$15:$E$120,0)),"Branco","Automático"))</f>
        <v>Branco</v>
      </c>
      <c r="C23" t="str">
        <f ca="1">IF(O23&gt;0,"F","")</f>
        <v/>
      </c>
      <c r="D23" s="319">
        <f>ROW()-ROW($D$13)</f>
        <v>10</v>
      </c>
      <c r="E23" s="117"/>
      <c r="F23" s="117"/>
      <c r="G23" s="169" t="str">
        <f ca="1">IF(OR($B23="Manual",$B23="SemiAuto"),QCI.DescManual,IF($B23="Automático",INDEX(ORÇAMENTO!$R$15:$R$120,MATCH($A23,ORÇAMENTO!$E$15:$E$120,0)),""))</f>
        <v/>
      </c>
      <c r="H23" s="117"/>
      <c r="I23" s="554"/>
      <c r="J23" s="320" t="str">
        <f ca="1">IF(AND(ISBLANK(E23),ISBLANK(F23)),"",VLOOKUP($F23,OFFSET(DADOS!$A$2,1,MATCH(QCI!$E23,DADOS!$2:$2,0)-1,100,50),2,FALSE))</f>
        <v/>
      </c>
      <c r="K23" s="553" t="str">
        <f ca="1">IF(OR($B23="Manual",$B23="SemiAuto"),QCI.LoteManual,IF($B23="Automático",IF(TIPOORCAMENTO="Licitado",Import.CTEF,"LOTE 1"),""))</f>
        <v/>
      </c>
      <c r="L23" s="321">
        <f ca="1">ROUND($O23,2)-ROUND($M23,2)-ROUND($N23,2)</f>
        <v>0</v>
      </c>
      <c r="M23" s="322">
        <f ca="1">ROUND($AA23,2)-ROUND($AE23,2)</f>
        <v>0</v>
      </c>
      <c r="N23" s="323">
        <f ca="1">ROUND($AB23,2)</f>
        <v>0</v>
      </c>
      <c r="O23" s="324">
        <f ca="1">IF($B23="Branco",0,IF(OR($B23="Manual",$B23="SemiAuto"),QCI.InvManual,INDEX(ORÇAMENTO!X$15:X$120,MATCH($A23,ORÇAMENTO!$E$15:$E$120,0))))</f>
        <v>0</v>
      </c>
      <c r="P23" s="529"/>
      <c r="R23" s="555"/>
      <c r="T23" s="556"/>
      <c r="U23" s="326"/>
      <c r="V23" s="557" t="s">
        <v>317</v>
      </c>
      <c r="W23" s="327">
        <f ca="1">$O23</f>
        <v>0</v>
      </c>
      <c r="X23" s="328">
        <v>0</v>
      </c>
      <c r="Z23">
        <f ca="1">$O23-$AA23-$AB23</f>
        <v>0</v>
      </c>
      <c r="AA23">
        <f ca="1">IF($B23="Branco",0,IF($B23="Manual",QCI.CPManual,IF($B23="SemiAuto",ROUND(QCI!$AA$3*QCI.InvManual,2),INDEX(ORÇAMENTO!$AA$15:$AA$120,MATCH($A23,ORÇAMENTO!$E$15:$E$120,0)))))</f>
        <v>0</v>
      </c>
      <c r="AB23">
        <f ca="1">IF($B23="Branco",0,IF($B23="Manual",QCI.OutrosManual,IF($B23="SemiAuto",0,INDEX(ORÇAMENTO!$AB$15:$AB$120,MATCH($A23,ORÇAMENTO!$E$15:$E$120,0)))))</f>
        <v>0</v>
      </c>
      <c r="AD23" s="329" t="b">
        <f ca="1">AND($AA$3&gt;0,$AA$3&lt;1,$O23&gt;0,OR($B23="Automático",$B23="SemiAuto"),OR(QCI!$Z$3=QCI!$Z$7,QCI!$Z$3=QCI!$AA$7,QCI!$Z$3=QCI!$AB$7))</f>
        <v>0</v>
      </c>
      <c r="AE23" s="329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327</v>
      </c>
      <c r="C24" t="s">
        <v>246</v>
      </c>
      <c r="D24" s="336"/>
      <c r="E24" s="337"/>
      <c r="F24" s="337"/>
      <c r="G24" s="337"/>
      <c r="H24" s="337"/>
      <c r="I24" s="337"/>
      <c r="J24" s="337"/>
      <c r="K24" s="672" t="s">
        <v>328</v>
      </c>
      <c r="L24" s="338">
        <f ca="1">SUM(L13:OFFSET(L24,-1,0))</f>
        <v>0</v>
      </c>
      <c r="M24" s="339">
        <f ca="1">SUM(M13:OFFSET(M24,-1,0))</f>
        <v>0</v>
      </c>
      <c r="N24" s="340">
        <f ca="1">SUM(N13:OFFSET(N24,-1,0))</f>
        <v>0</v>
      </c>
      <c r="O24" s="341">
        <f ca="1">SUM(O13:OFFSET(O24,-1,0))</f>
        <v>0</v>
      </c>
      <c r="R24" s="342"/>
      <c r="T24" s="343"/>
      <c r="U24" s="344"/>
      <c r="V24" s="345"/>
      <c r="W24" s="346"/>
      <c r="X24" s="347"/>
      <c r="Z24" s="87">
        <f ca="1">SUMPRODUCT(ROUND(Z13:OFFSET(Z24,-1,0),2))</f>
        <v>0</v>
      </c>
      <c r="AA24" s="87">
        <f ca="1">SUMPRODUCT(ROUND(AA13:OFFSET(AA24,-1,0),2))</f>
        <v>0</v>
      </c>
      <c r="AB24" s="87">
        <f ca="1">SUM(AB13:OFFSET(AB24,-1,0))</f>
        <v>0</v>
      </c>
    </row>
    <row r="25" spans="1:31" x14ac:dyDescent="0.2">
      <c r="B25" t="s">
        <v>329</v>
      </c>
      <c r="C25" t="s">
        <v>246</v>
      </c>
      <c r="D25" s="348"/>
      <c r="E25" s="349"/>
      <c r="F25" s="349"/>
      <c r="G25" s="349"/>
      <c r="H25" s="349"/>
      <c r="I25" s="349"/>
      <c r="J25" s="349"/>
      <c r="K25" s="672"/>
      <c r="L25" s="350">
        <f ca="1">IF(ISERROR(L24/$O24),0,ROUND(L24/$O24,4))</f>
        <v>0</v>
      </c>
      <c r="M25" s="351">
        <f ca="1">IF(ISERROR(M24/$O24),0,ROUND(M24/$O24,4))</f>
        <v>0</v>
      </c>
      <c r="N25" s="352">
        <f ca="1">IF(ISERROR(N24/$O24),0,ROUND(N24/$O24,4))</f>
        <v>0</v>
      </c>
      <c r="O25" s="353">
        <f ca="1">IF(ISERROR(O24/$O24),0,ROUND(O24/$O24,4))</f>
        <v>0</v>
      </c>
      <c r="R25" s="354"/>
      <c r="T25" s="355"/>
      <c r="U25" s="356"/>
      <c r="V25" s="357"/>
      <c r="W25" s="358"/>
      <c r="X25" s="359"/>
    </row>
    <row r="27" spans="1:31" ht="14.25" x14ac:dyDescent="0.2">
      <c r="D27" s="138" t="s">
        <v>187</v>
      </c>
    </row>
    <row r="28" spans="1:31" ht="12.75" customHeight="1" x14ac:dyDescent="0.2"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</row>
    <row r="29" spans="1:31" ht="12.75" customHeight="1" x14ac:dyDescent="0.2"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</row>
    <row r="30" spans="1:31" ht="12.75" customHeight="1" x14ac:dyDescent="0.2"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</row>
    <row r="33" spans="4:12" ht="15" x14ac:dyDescent="0.2">
      <c r="D33" s="615" t="str">
        <f>Import.Município</f>
        <v>LAGES/SC</v>
      </c>
      <c r="E33" s="615"/>
      <c r="F33" s="615"/>
      <c r="I33" s="142"/>
      <c r="J33" s="142"/>
      <c r="K33" s="191"/>
      <c r="L33" s="191"/>
    </row>
    <row r="34" spans="4:12" x14ac:dyDescent="0.2">
      <c r="D34" s="10" t="s">
        <v>188</v>
      </c>
      <c r="I34" s="192" t="s">
        <v>330</v>
      </c>
      <c r="J34" s="192"/>
    </row>
    <row r="35" spans="4:12" x14ac:dyDescent="0.2">
      <c r="I35" s="75" t="str">
        <f>"Nome:" &amp;  " " &amp; DADOS!F28</f>
        <v>Nome: ANTÔNIO CERON</v>
      </c>
    </row>
    <row r="36" spans="4:12" x14ac:dyDescent="0.2">
      <c r="D36" s="610">
        <f ca="1">DADOS!$F$25</f>
        <v>45639</v>
      </c>
      <c r="E36" s="610"/>
      <c r="F36" s="610"/>
      <c r="I36" s="75" t="str">
        <f>"Cargo:"  &amp; " " &amp; DADOS!F29</f>
        <v>Cargo: PREFEITO MUNICIPAL</v>
      </c>
    </row>
    <row r="37" spans="4:12" x14ac:dyDescent="0.2">
      <c r="D37" s="143" t="s">
        <v>189</v>
      </c>
      <c r="E37" s="1"/>
      <c r="F37" s="1"/>
      <c r="K37" s="75"/>
      <c r="L37" s="76"/>
    </row>
  </sheetData>
  <sheetProtection algorithmName="SHA-512" hashValue="ZLX28XRD/ro80nLueUYdFgBwIZU2IovfwjC5JiV5eVsmckm0UnmAEJtHRKRfFPXeZY+PisUdYv1qA6+gA3KcvA==" saltValue="HTTl+JbA2pXMhwciNIQgjQ==" spinCount="100000"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8" type="noConversion"/>
  <conditionalFormatting sqref="T12:V12">
    <cfRule type="expression" dxfId="72" priority="157" stopIfTrue="1">
      <formula>OR($B12="Automático",$B12="Branco")</formula>
    </cfRule>
  </conditionalFormatting>
  <conditionalFormatting sqref="L12">
    <cfRule type="expression" dxfId="71" priority="158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70" priority="159" stopIfTrue="1">
      <formula>OR($B12="Automático",$B12="Branco",$V12&lt;&gt;"Calculado")</formula>
    </cfRule>
  </conditionalFormatting>
  <conditionalFormatting sqref="M25">
    <cfRule type="expression" dxfId="69" priority="161" stopIfTrue="1">
      <formula>AND($G$9&lt;&gt;"",OR($M$25&lt;Import.CPMinPerc,$M$25&gt;Import.CPMaxPerc))</formula>
    </cfRule>
  </conditionalFormatting>
  <conditionalFormatting sqref="M24">
    <cfRule type="expression" dxfId="68" priority="162" stopIfTrue="1">
      <formula>AND($G$9&lt;&gt;"",$M$24&lt;Import.CPMinAbsoluta)</formula>
    </cfRule>
  </conditionalFormatting>
  <conditionalFormatting sqref="L10:M10">
    <cfRule type="cellIs" dxfId="67" priority="163" stopIfTrue="1" operator="lessThan">
      <formula>0</formula>
    </cfRule>
  </conditionalFormatting>
  <conditionalFormatting sqref="G12">
    <cfRule type="cellIs" dxfId="66" priority="164" stopIfTrue="1" operator="equal">
      <formula>"(digite a descrição aqui)"</formula>
    </cfRule>
  </conditionalFormatting>
  <conditionalFormatting sqref="T14:V22">
    <cfRule type="expression" dxfId="65" priority="5" stopIfTrue="1">
      <formula>OR($B14="Automático",$B14="Branco")</formula>
    </cfRule>
  </conditionalFormatting>
  <conditionalFormatting sqref="L14:L22">
    <cfRule type="expression" dxfId="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63" priority="7" stopIfTrue="1">
      <formula>OR($B14="Automático",$B14="Branco",$V14&lt;&gt;"Calculado")</formula>
    </cfRule>
  </conditionalFormatting>
  <conditionalFormatting sqref="G14:G22">
    <cfRule type="cellIs" dxfId="62" priority="8" stopIfTrue="1" operator="equal">
      <formula>"(digite a descrição aqui)"</formula>
    </cfRule>
  </conditionalFormatting>
  <conditionalFormatting sqref="T23:V23">
    <cfRule type="expression" dxfId="61" priority="1" stopIfTrue="1">
      <formula>OR($B23="Automático",$B23="Branco")</formula>
    </cfRule>
  </conditionalFormatting>
  <conditionalFormatting sqref="L23">
    <cfRule type="expression" dxfId="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59" priority="3" stopIfTrue="1">
      <formula>OR($B23="Automático",$B23="Branco",$V23&lt;&gt;"Calculado")</formula>
    </cfRule>
  </conditionalFormatting>
  <conditionalFormatting sqref="G23">
    <cfRule type="cellIs" dxfId="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135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J25" sqref="J2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15.75" x14ac:dyDescent="0.2">
      <c r="E1" s="360" t="str">
        <f>IF(CAIXA.Modo,"BA - Boletim de Aferição","BM - Boletim de Medição")</f>
        <v>BM - Boletim de Medição</v>
      </c>
      <c r="G1" s="361"/>
      <c r="J1" s="361"/>
      <c r="K1" s="361"/>
      <c r="L1" s="361"/>
      <c r="M1" s="361"/>
      <c r="N1" s="361"/>
      <c r="O1" s="50" t="s">
        <v>140</v>
      </c>
    </row>
    <row r="2" spans="1:41" ht="15" x14ac:dyDescent="0.2">
      <c r="A2" s="362" t="s">
        <v>331</v>
      </c>
      <c r="B2" s="2"/>
      <c r="E2" s="363" t="str">
        <f ca="1">IF(Import.RegimeExecução="(SELECIONAR)","Selecione o Regime de Execução na Aba Dados",Import.RegimeExecução&amp;" - "&amp;import.recurso)</f>
        <v>Selecione o Regime de Execução na Aba Dados</v>
      </c>
      <c r="O2" s="12" t="s">
        <v>143</v>
      </c>
    </row>
    <row r="3" spans="1:41" x14ac:dyDescent="0.2">
      <c r="A3" s="676" t="b">
        <v>0</v>
      </c>
      <c r="B3" s="676"/>
      <c r="E3" s="84"/>
    </row>
    <row r="4" spans="1:41" x14ac:dyDescent="0.2">
      <c r="D4" s="583" t="s">
        <v>147</v>
      </c>
      <c r="E4" s="583"/>
      <c r="F4" s="620" t="s">
        <v>146</v>
      </c>
      <c r="G4" s="620"/>
      <c r="H4" s="620"/>
      <c r="I4" s="148" t="s">
        <v>443</v>
      </c>
      <c r="J4" s="583" t="s">
        <v>202</v>
      </c>
      <c r="K4" s="583"/>
      <c r="L4" s="583"/>
      <c r="M4" s="583"/>
      <c r="N4" s="583"/>
      <c r="O4" s="150" t="s">
        <v>332</v>
      </c>
    </row>
    <row r="5" spans="1:41" ht="12.75" customHeight="1" x14ac:dyDescent="0.2">
      <c r="A5" t="s">
        <v>333</v>
      </c>
      <c r="D5" s="580" t="str">
        <f>Import.Proponente</f>
        <v>PREFEITURA MUNICIPAL DE LAGES</v>
      </c>
      <c r="E5" s="580"/>
      <c r="F5" s="618">
        <f>Import.CR</f>
        <v>0</v>
      </c>
      <c r="G5" s="618"/>
      <c r="H5" s="618"/>
      <c r="I5" s="364">
        <f>Import.TransfereGOV</f>
        <v>0</v>
      </c>
      <c r="J5" s="580" t="str">
        <f>Import.Apelido</f>
        <v>VESTIÁRIOS CAMPO SANTA HELENA</v>
      </c>
      <c r="K5" s="580"/>
      <c r="L5" s="580"/>
      <c r="M5" s="580"/>
      <c r="N5" s="580"/>
      <c r="O5" s="365">
        <f>Import.DataInicioObra</f>
        <v>0</v>
      </c>
      <c r="AO5" s="366" t="s">
        <v>334</v>
      </c>
    </row>
    <row r="6" spans="1:41" ht="5.0999999999999996" customHeight="1" x14ac:dyDescent="0.2">
      <c r="D6" s="92"/>
      <c r="E6" s="93"/>
      <c r="F6" s="92"/>
      <c r="G6" s="92"/>
      <c r="H6" s="92"/>
      <c r="I6" s="92"/>
      <c r="J6" s="92"/>
      <c r="K6" s="92"/>
      <c r="L6" s="92"/>
      <c r="M6" s="92"/>
      <c r="N6" s="92"/>
      <c r="O6" s="92"/>
      <c r="AO6" s="367"/>
    </row>
    <row r="7" spans="1:41" ht="12.75" customHeight="1" x14ac:dyDescent="0.2">
      <c r="A7" t="str">
        <f ca="1">RegimeExecucao</f>
        <v>Unitário</v>
      </c>
      <c r="D7" s="86" t="s">
        <v>335</v>
      </c>
      <c r="E7" s="86" t="s">
        <v>336</v>
      </c>
      <c r="F7" s="583" t="s">
        <v>337</v>
      </c>
      <c r="G7" s="583"/>
      <c r="H7" s="583"/>
      <c r="I7" s="583" t="str">
        <f>IF(TIPOORCAMENTO="Licitado","REGIME DE EXECUÇÃO","MUNICÍPIO / UF")</f>
        <v>MUNICÍPIO / UF</v>
      </c>
      <c r="J7" s="583"/>
      <c r="K7" s="583"/>
      <c r="L7" s="583"/>
      <c r="M7" s="583" t="s">
        <v>338</v>
      </c>
      <c r="N7" s="583"/>
      <c r="O7" s="86" t="s">
        <v>339</v>
      </c>
      <c r="AO7" s="313">
        <f ca="1">BM.MEDAcumulado</f>
        <v>0</v>
      </c>
    </row>
    <row r="8" spans="1:41" ht="12.75" customHeight="1" x14ac:dyDescent="0.2">
      <c r="A8" s="362" t="s">
        <v>340</v>
      </c>
      <c r="B8" s="2"/>
      <c r="C8" s="609" t="s">
        <v>209</v>
      </c>
      <c r="D8" s="368">
        <f>Import.CTEF</f>
        <v>0</v>
      </c>
      <c r="E8" s="54">
        <f>Import.empresa</f>
        <v>0</v>
      </c>
      <c r="F8" s="580">
        <f>Import.CNPJ</f>
        <v>0</v>
      </c>
      <c r="G8" s="580"/>
      <c r="H8" s="580"/>
      <c r="I8" s="580" t="str">
        <f>IF(TIPOORCAMENTO="Licitado",Import.RegimeExecução,Import.Município)</f>
        <v>LAGES/SC</v>
      </c>
      <c r="J8" s="580"/>
      <c r="K8" s="580"/>
      <c r="L8" s="580"/>
      <c r="M8" s="580" t="str">
        <f ca="1">TEXT(IF(BM.medicao=1,Import.DataInicioObra,OFFSET($AB$12,0,BM.medicao-1-$AB$13)+1),"dd/mm/aaaa")&amp;" a "&amp;TEXT(OFFSET($AB$12,0,BM.medicao-$AB$13),"dd/mm/aaaa")</f>
        <v>00/01/1900 a 00/01/1900</v>
      </c>
      <c r="N8" s="580"/>
      <c r="O8" s="487">
        <v>1</v>
      </c>
    </row>
    <row r="9" spans="1:41" ht="12.75" customHeight="1" x14ac:dyDescent="0.2">
      <c r="A9" s="528" t="b">
        <v>1</v>
      </c>
      <c r="B9" s="40"/>
      <c r="C9" s="609"/>
    </row>
    <row r="10" spans="1:41" x14ac:dyDescent="0.2">
      <c r="C10" s="609"/>
      <c r="E10" s="677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677"/>
      <c r="G10" s="677"/>
      <c r="H10" s="677"/>
      <c r="I10" s="677"/>
      <c r="N10" s="678" t="str">
        <f ca="1">"Realizado Acumulado: "&amp;TEXT(ROUND($O$15/($I$15+10^-12),4),"0,00%")</f>
        <v>Realizado Acumulado: 0,00%</v>
      </c>
      <c r="O10" s="678"/>
    </row>
    <row r="11" spans="1:41" ht="15" customHeight="1" x14ac:dyDescent="0.25">
      <c r="C11" s="609"/>
      <c r="E11" s="677"/>
      <c r="F11" s="677"/>
      <c r="G11" s="677"/>
      <c r="H11" s="677"/>
      <c r="I11" s="677"/>
      <c r="N11" s="678"/>
      <c r="O11" s="678"/>
      <c r="T11" s="679" t="s">
        <v>341</v>
      </c>
      <c r="U11" s="679"/>
      <c r="Z11" s="4"/>
      <c r="AB11" s="652" t="s">
        <v>342</v>
      </c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</row>
    <row r="12" spans="1:41" ht="15" customHeight="1" x14ac:dyDescent="0.25">
      <c r="C12" s="609"/>
      <c r="E12" s="82" t="s">
        <v>343</v>
      </c>
      <c r="J12" s="582" t="str">
        <f ca="1">"Evolução Física "&amp;CHOOSE(MATCH(RegimeExecucao,{"Unitário","Global"},0),"(Qtde.)","(%)")</f>
        <v>Evolução Física (Qtde.)</v>
      </c>
      <c r="K12" s="582"/>
      <c r="L12" s="582"/>
      <c r="M12" s="582" t="s">
        <v>344</v>
      </c>
      <c r="N12" s="582"/>
      <c r="O12" s="582"/>
      <c r="Q12" s="582" t="str">
        <f ca="1">"Aferido (CAIXA) "&amp;CHOOSE(MATCH(RegimeExecucao,{"Unitário","Global"},0),"(Qtde.)","(%)")</f>
        <v>Aferido (CAIXA) (Qtde.)</v>
      </c>
      <c r="R12" s="582"/>
      <c r="T12" s="369" t="s">
        <v>345</v>
      </c>
      <c r="U12" s="191"/>
      <c r="V12" s="191"/>
      <c r="W12" s="191"/>
      <c r="X12" s="191"/>
      <c r="Y12" s="191"/>
      <c r="Z12" s="40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2"/>
    </row>
    <row r="13" spans="1:41" ht="45" customHeight="1" x14ac:dyDescent="0.2">
      <c r="A13" s="106" t="s">
        <v>222</v>
      </c>
      <c r="B13" s="106" t="s">
        <v>221</v>
      </c>
      <c r="C13" s="105" t="s">
        <v>217</v>
      </c>
      <c r="D13" s="334" t="s">
        <v>231</v>
      </c>
      <c r="E13" s="334" t="s">
        <v>234</v>
      </c>
      <c r="F13" s="373" t="s">
        <v>235</v>
      </c>
      <c r="G13" s="334" t="s">
        <v>203</v>
      </c>
      <c r="H13" s="334" t="s">
        <v>236</v>
      </c>
      <c r="I13" s="334" t="s">
        <v>237</v>
      </c>
      <c r="J13" s="334" t="s">
        <v>346</v>
      </c>
      <c r="K13" s="334" t="s">
        <v>347</v>
      </c>
      <c r="L13" s="334" t="s">
        <v>348</v>
      </c>
      <c r="M13" s="334" t="s">
        <v>346</v>
      </c>
      <c r="N13" s="334" t="s">
        <v>347</v>
      </c>
      <c r="O13" s="334" t="s">
        <v>348</v>
      </c>
      <c r="Q13" s="334" t="s">
        <v>346</v>
      </c>
      <c r="R13" s="334" t="s">
        <v>348</v>
      </c>
      <c r="T13" s="334" t="s">
        <v>231</v>
      </c>
      <c r="U13" s="334" t="s">
        <v>234</v>
      </c>
      <c r="V13" s="373" t="str">
        <f ca="1">IF(RegimeExecucao="Unitário","Unidade","")</f>
        <v>Unidade</v>
      </c>
      <c r="W13" s="334" t="str">
        <f ca="1">CHOOSE(MATCH(RegimeExecucao,{"Unitário","Global"},0),"Quant. Glosada (unid)","Percentual Glosado (%)")</f>
        <v>Quant. Glosada (unid)</v>
      </c>
      <c r="X13" s="334" t="str">
        <f ca="1">CHOOSE(MATCH(RegimeExecucao,{"Unitário","Global"},0),"Preço Unitário (R$)","Valor Total do Item (R$)")</f>
        <v>Preço Unitário (R$)</v>
      </c>
      <c r="Y13" s="334" t="s">
        <v>349</v>
      </c>
      <c r="Z13" s="334" t="s">
        <v>350</v>
      </c>
      <c r="AA13" s="111"/>
      <c r="AB13" s="374">
        <f ca="1">IF(BM.medicao&lt;=12,1,TRUNC((BM.medicao - 2)/11,0) * 11 + 1)</f>
        <v>1</v>
      </c>
      <c r="AC13" s="374">
        <f ca="1">OFFSET(AC13,0,-1)+1</f>
        <v>2</v>
      </c>
      <c r="AD13" s="374">
        <f t="shared" ref="AD13:AM13" ca="1" si="0">OFFSET(AD13,0,-1)+1</f>
        <v>3</v>
      </c>
      <c r="AE13" s="374">
        <f t="shared" ca="1" si="0"/>
        <v>4</v>
      </c>
      <c r="AF13" s="374">
        <f t="shared" ca="1" si="0"/>
        <v>5</v>
      </c>
      <c r="AG13" s="374">
        <f t="shared" ca="1" si="0"/>
        <v>6</v>
      </c>
      <c r="AH13" s="374">
        <f t="shared" ca="1" si="0"/>
        <v>7</v>
      </c>
      <c r="AI13" s="374">
        <f t="shared" ca="1" si="0"/>
        <v>8</v>
      </c>
      <c r="AJ13" s="374">
        <f t="shared" ca="1" si="0"/>
        <v>9</v>
      </c>
      <c r="AK13" s="374">
        <f t="shared" ca="1" si="0"/>
        <v>10</v>
      </c>
      <c r="AL13" s="374">
        <f t="shared" ca="1" si="0"/>
        <v>11</v>
      </c>
      <c r="AM13" s="374">
        <f t="shared" ca="1" si="0"/>
        <v>12</v>
      </c>
      <c r="AO13" s="106" t="s">
        <v>351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13" t="str">
        <f ca="1">IF(OR($I14&gt;0,$A14=1,$A14=2,$A14=3,$A14=4),"F","")</f>
        <v/>
      </c>
      <c r="D14" s="116" t="str">
        <f ca="1">ORÇAMENTO!O14</f>
        <v>-</v>
      </c>
      <c r="E14" s="169" t="str">
        <f ca="1">ORÇAMENTO.Descricao</f>
        <v>(abra o arquivo 'Referência 10-2024.xlsm)</v>
      </c>
      <c r="F14" s="170" t="str">
        <f ca="1">IF(RegimeExecucao="Global","",ORÇAMENTO.Unidade)</f>
        <v>-</v>
      </c>
      <c r="G14" s="121">
        <f ca="1">IF(RegimeExecucao="Global","",ORÇAMENTO!T14)</f>
        <v>0</v>
      </c>
      <c r="H14" s="121">
        <f ca="1">IF(RegimeExecucao="Global","",ORÇAMENTO!W14)</f>
        <v>0</v>
      </c>
      <c r="I14" s="124">
        <f ca="1">ORÇAMENTO!X14</f>
        <v>0</v>
      </c>
      <c r="J14" s="375">
        <f ca="1">IF($A14="S",IF(CAIXA.Modo,BM.AFAnterior,BM.MEDAnterior),IF(AND(RegimeExecucao="Global",$I14&gt;0,COUNTIF($AB$13:$AM$13,BM.medicao-1)&gt;0),M14/$I14*100,0))</f>
        <v>0</v>
      </c>
      <c r="K14" s="121">
        <f ca="1">L14-J14</f>
        <v>0</v>
      </c>
      <c r="L14" s="376">
        <f ca="1">IF($A14="S",IF(CAIXA.Modo,BM.AFAcumulado,BM.MEDAcumulado),IF(AND(RegimeExecucao="Global",$I14&gt;0,COUNTIF($AB$13:$AM$13,BM.medicao)&gt;0),O14/$I14*100,0))</f>
        <v>0</v>
      </c>
      <c r="M14" s="377">
        <f ca="1">IF($A14="S",VTOTALBM,IF($A14=0,0,ROUND(SomaAgrupBM,15-13*ORÇAMENTO!$AF$11)))</f>
        <v>0</v>
      </c>
      <c r="N14" s="378">
        <f ca="1">O14-M14</f>
        <v>0</v>
      </c>
      <c r="O14" s="124">
        <f ca="1">IF($A14="S",VTOTALBM,IF($A14=0,0,ROUND(SomaAgrupBM,15-13*ORÇAMENTO!$AF$11)))</f>
        <v>0</v>
      </c>
      <c r="Q14" s="379"/>
      <c r="R14" s="380"/>
      <c r="T14" s="116" t="str">
        <f ca="1">IF($W14&gt;0,$D14,"")</f>
        <v/>
      </c>
      <c r="U14" s="169" t="str">
        <f ca="1">IF($W14&gt;0,$E14,"")</f>
        <v/>
      </c>
      <c r="V14" s="170" t="str">
        <f ca="1">IF(AND($W14&gt;0,RegimeExecucao="Unitário"),$F14,"")</f>
        <v/>
      </c>
      <c r="W14" s="544">
        <f ca="1">IF($Y14&gt;0,CHOOSE(MATCH(RegimeExecucao,{"Unitário","Global"},0),IF($A14="S",$Y14/$X14,""),($Y14/$X14)*100),0)</f>
        <v>0</v>
      </c>
      <c r="X14" s="381" t="str">
        <f ca="1">IF($Y14&gt;0,CHOOSE(MATCH(RegimeExecucao,{"Unitário","Global"},0),IF($A14="S",ROUND($H14,ORÇAMENTO!$AF$10),""),ROUND($I14,ORÇAMENTO!$AF$11)),"")</f>
        <v/>
      </c>
      <c r="Y14" s="381">
        <f ca="1">AO14-O14</f>
        <v>0</v>
      </c>
      <c r="Z14" s="569"/>
      <c r="AB14" s="379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380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13" t="s">
        <v>246</v>
      </c>
      <c r="D15" s="685" t="str">
        <f>"Objeto do CTEF: "&amp;Import.DescLote</f>
        <v>Objeto do CTEF: IMPLANTAÇÃO DE VESTIÁRIOS</v>
      </c>
      <c r="E15" s="685"/>
      <c r="F15" s="545"/>
      <c r="G15" s="546"/>
      <c r="H15" s="546" t="s">
        <v>352</v>
      </c>
      <c r="I15" s="547">
        <f>IF(OR(ACOMPANHAMENTO="PLE",TIPOORCAMENTO="Proposto"),0,ORÇAMENTO!$X$15)</f>
        <v>0</v>
      </c>
      <c r="J15" s="382">
        <f ca="1">IF(M$15=0,0,IF(RegimeExecucao="Global",M$15/$I$15*100,0))</f>
        <v>0</v>
      </c>
      <c r="K15" s="382">
        <f ca="1">L15-J15</f>
        <v>0</v>
      </c>
      <c r="L15" s="382">
        <f ca="1">IF(O$15=0,0,IF(RegimeExecucao="Global",O$15/$I$15*100,0))</f>
        <v>0</v>
      </c>
      <c r="M15" s="383">
        <f ca="1">IF(OR(ACOMPANHAMENTO="PLE",TIPOORCAMENTO="Proposto"),0,SUMIF(OFFSET($A15,1,0):$A$120,"S",OFFSET(M15,1,0):M$120))</f>
        <v>0</v>
      </c>
      <c r="N15" s="383">
        <f ca="1">O15-M15</f>
        <v>0</v>
      </c>
      <c r="O15" s="383">
        <f ca="1">IF(OR(ACOMPANHAMENTO="PLE",TIPOORCAMENTO="Proposto"),0,SUMIF(OFFSET($A15,1,0):$A$120,"S",OFFSET(O15,1,0):O$120))</f>
        <v>0</v>
      </c>
      <c r="Q15" s="384"/>
      <c r="R15" s="384"/>
      <c r="T15" s="385"/>
      <c r="U15" s="386"/>
      <c r="V15" s="386"/>
      <c r="W15" s="386"/>
      <c r="X15" s="386"/>
      <c r="Y15" s="386"/>
      <c r="Z15" s="387"/>
      <c r="AB15" s="681" t="str">
        <f ca="1">"Preencher abaixo com a "&amp;CHOOSE(MATCH(RegimeExecucao,{"Unitário","Global"},0),"QUANTIDADE","PORCENTAGEM")&amp;" executada no PERÍODO"</f>
        <v>Preencher abaixo com a QUANTIDADE executada no PERÍODO</v>
      </c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</row>
    <row r="16" spans="1:41" x14ac:dyDescent="0.2">
      <c r="A16">
        <f ca="1">ORÇAMENTO!C16</f>
        <v>1</v>
      </c>
      <c r="B16">
        <f ca="1">ORÇAMENTO!D16</f>
        <v>104</v>
      </c>
      <c r="C16" s="113" t="str">
        <f t="shared" ref="C16:C91" ca="1" si="1">IF(OR($I16&gt;0,$A16=1,$A16=2,$A16=3,$A16=4),"F","")</f>
        <v>F</v>
      </c>
      <c r="D16" s="116" t="str">
        <f ca="1">ORÇAMENTO!O16</f>
        <v>1.</v>
      </c>
      <c r="E16" s="169" t="str">
        <f t="shared" ref="E16:E91" si="2">ORÇAMENTO.Descricao</f>
        <v>IMPLANTAÇÃO DE VESTIÁRIOS CAMPO SANTA HELENA</v>
      </c>
      <c r="F16" s="170" t="str">
        <f ca="1">IF(RegimeExecucao="Global","",ORÇAMENTO.Unidade)</f>
        <v>-</v>
      </c>
      <c r="G16" s="121">
        <f ca="1">IF(RegimeExecucao="Global","",ORÇAMENTO!T16)</f>
        <v>0</v>
      </c>
      <c r="H16" s="121">
        <f ca="1">IF(RegimeExecucao="Global","",ORÇAMENTO!W16)</f>
        <v>0</v>
      </c>
      <c r="I16" s="124">
        <f ca="1">ORÇAMENTO!X16</f>
        <v>0</v>
      </c>
      <c r="J16" s="375">
        <f ca="1">IF($A16="S",IF(CAIXA.Modo,BM.AFAnterior,BM.MEDAnterior),IF(AND(RegimeExecucao="Global",$I16&gt;0,COUNTIF($AB$13:$AM$13,BM.medicao-1)&gt;0),M16/$I16*100,0))</f>
        <v>0</v>
      </c>
      <c r="K16" s="121">
        <f t="shared" ref="K16:K91" ca="1" si="3">L16-J16</f>
        <v>0</v>
      </c>
      <c r="L16" s="376">
        <f ca="1">IF($A16="S",IF(CAIXA.Modo,BM.AFAcumulado,BM.MEDAcumulado),IF(AND(RegimeExecucao="Global",$I16&gt;0,COUNTIF($AB$13:$AM$13,BM.medicao)&gt;0),O16/$I16*100,0))</f>
        <v>0</v>
      </c>
      <c r="M16" s="377">
        <f ca="1">IF($A16="S",VTOTALBM,IF($A16=0,0,ROUND(SomaAgrupBM,15-13*ORÇAMENTO!$AF$11)))</f>
        <v>0</v>
      </c>
      <c r="N16" s="378">
        <f t="shared" ref="N16:N91" ca="1" si="4">O16-M16</f>
        <v>0</v>
      </c>
      <c r="O16" s="124">
        <f ca="1">IF($A16="S",VTOTALBM,IF($A16=0,0,ROUND(SomaAgrupBM,15-13*ORÇAMENTO!$AF$11)))</f>
        <v>0</v>
      </c>
      <c r="Q16" s="379"/>
      <c r="R16" s="380"/>
      <c r="T16" s="116" t="str">
        <f t="shared" ref="T16:T91" ca="1" si="5">IF($W16&gt;0,$D16,"")</f>
        <v/>
      </c>
      <c r="U16" s="169" t="str">
        <f t="shared" ref="U16:U91" ca="1" si="6">IF($W16&gt;0,$E16,"")</f>
        <v/>
      </c>
      <c r="V16" s="170" t="str">
        <f ca="1">IF(AND($W16&gt;0,RegimeExecucao="Unitário"),$F16,"")</f>
        <v/>
      </c>
      <c r="W16" s="544">
        <f ca="1">IF($Y16&gt;0,CHOOSE(MATCH(RegimeExecucao,{"Unitário","Global"},0),IF($A16="S",$Y16/$X16,""),($Y16/$X16)*100),0)</f>
        <v>0</v>
      </c>
      <c r="X16" s="381" t="str">
        <f ca="1">IF($Y16&gt;0,CHOOSE(MATCH(RegimeExecucao,{"Unitário","Global"},0),IF($A16="S",ROUND($H16,ORÇAMENTO!$AF$10),""),ROUND($I16,ORÇAMENTO!$AF$11)),"")</f>
        <v/>
      </c>
      <c r="Y16" s="381">
        <f t="shared" ref="Y16:Y91" ca="1" si="7">AO16-O16</f>
        <v>0</v>
      </c>
      <c r="Z16" s="569"/>
      <c r="AB16" s="379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380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13" t="str">
        <f t="shared" ca="1" si="1"/>
        <v>F</v>
      </c>
      <c r="D17" s="116" t="str">
        <f ca="1">ORÇAMENTO!O17</f>
        <v>1.1.</v>
      </c>
      <c r="E17" s="169" t="str">
        <f t="shared" si="2"/>
        <v>ADMINISTRAÇÃO E CANTEIRO DE OBRAS</v>
      </c>
      <c r="F17" s="170" t="str">
        <f ca="1">IF(RegimeExecucao="Global","",ORÇAMENTO.Unidade)</f>
        <v>-</v>
      </c>
      <c r="G17" s="121">
        <f ca="1">IF(RegimeExecucao="Global","",ORÇAMENTO!T17)</f>
        <v>0</v>
      </c>
      <c r="H17" s="121">
        <f ca="1">IF(RegimeExecucao="Global","",ORÇAMENTO!W17)</f>
        <v>0</v>
      </c>
      <c r="I17" s="124">
        <f ca="1">ORÇAMENTO!X17</f>
        <v>0</v>
      </c>
      <c r="J17" s="375">
        <f ca="1">IF($A17="S",IF(CAIXA.Modo,BM.AFAnterior,BM.MEDAnterior),IF(AND(RegimeExecucao="Global",$I17&gt;0,COUNTIF($AB$13:$AM$13,BM.medicao-1)&gt;0),M17/$I17*100,0))</f>
        <v>0</v>
      </c>
      <c r="K17" s="121">
        <f t="shared" ca="1" si="3"/>
        <v>0</v>
      </c>
      <c r="L17" s="376">
        <f ca="1">IF($A17="S",IF(CAIXA.Modo,BM.AFAcumulado,BM.MEDAcumulado),IF(AND(RegimeExecucao="Global",$I17&gt;0,COUNTIF($AB$13:$AM$13,BM.medicao)&gt;0),O17/$I17*100,0))</f>
        <v>0</v>
      </c>
      <c r="M17" s="377">
        <f ca="1">IF($A17="S",VTOTALBM,IF($A17=0,0,ROUND(SomaAgrupBM,15-13*ORÇAMENTO!$AF$11)))</f>
        <v>0</v>
      </c>
      <c r="N17" s="378">
        <f t="shared" ca="1" si="4"/>
        <v>0</v>
      </c>
      <c r="O17" s="124">
        <f ca="1">IF($A17="S",VTOTALBM,IF($A17=0,0,ROUND(SomaAgrupBM,15-13*ORÇAMENTO!$AF$11)))</f>
        <v>0</v>
      </c>
      <c r="Q17" s="379"/>
      <c r="R17" s="380"/>
      <c r="T17" s="116" t="str">
        <f t="shared" ca="1" si="5"/>
        <v/>
      </c>
      <c r="U17" s="169" t="str">
        <f t="shared" ca="1" si="6"/>
        <v/>
      </c>
      <c r="V17" s="170" t="str">
        <f ca="1">IF(AND($W17&gt;0,RegimeExecucao="Unitário"),$F17,"")</f>
        <v/>
      </c>
      <c r="W17" s="544">
        <f ca="1">IF($Y17&gt;0,CHOOSE(MATCH(RegimeExecucao,{"Unitário","Global"},0),IF($A17="S",$Y17/$X17,""),($Y17/$X17)*100),0)</f>
        <v>0</v>
      </c>
      <c r="X17" s="381" t="str">
        <f ca="1">IF($Y17&gt;0,CHOOSE(MATCH(RegimeExecucao,{"Unitário","Global"},0),IF($A17="S",ROUND($H17,ORÇAMENTO!$AF$10),""),ROUND($I17,ORÇAMENTO!$AF$11)),"")</f>
        <v/>
      </c>
      <c r="Y17" s="381">
        <f t="shared" ca="1" si="7"/>
        <v>0</v>
      </c>
      <c r="Z17" s="569"/>
      <c r="AB17" s="379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380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13" t="str">
        <f t="shared" ca="1" si="1"/>
        <v/>
      </c>
      <c r="D18" s="116" t="str">
        <f ca="1">ORÇAMENTO!O18</f>
        <v>-</v>
      </c>
      <c r="E18" s="169" t="str">
        <f t="shared" ca="1" si="2"/>
        <v>(abra o arquivo 'Referência 10-2024.xlsm)</v>
      </c>
      <c r="F18" s="170" t="str">
        <f ca="1">IF(RegimeExecucao="Global","",ORÇAMENTO.Unidade)</f>
        <v>-</v>
      </c>
      <c r="G18" s="121">
        <f ca="1">IF(RegimeExecucao="Global","",ORÇAMENTO!T18)</f>
        <v>3</v>
      </c>
      <c r="H18" s="121">
        <f ca="1">IF(RegimeExecucao="Global","",ORÇAMENTO!W18)</f>
        <v>0</v>
      </c>
      <c r="I18" s="124">
        <f ca="1">ORÇAMENTO!X18</f>
        <v>0</v>
      </c>
      <c r="J18" s="375">
        <f ca="1">IF($A18="S",IF(CAIXA.Modo,BM.AFAnterior,BM.MEDAnterior),IF(AND(RegimeExecucao="Global",$I18&gt;0,COUNTIF($AB$13:$AM$13,BM.medicao-1)&gt;0),M18/$I18*100,0))</f>
        <v>0</v>
      </c>
      <c r="K18" s="121">
        <f t="shared" ca="1" si="3"/>
        <v>0</v>
      </c>
      <c r="L18" s="376">
        <f ca="1">IF($A18="S",IF(CAIXA.Modo,BM.AFAcumulado,BM.MEDAcumulado),IF(AND(RegimeExecucao="Global",$I18&gt;0,COUNTIF($AB$13:$AM$13,BM.medicao)&gt;0),O18/$I18*100,0))</f>
        <v>0</v>
      </c>
      <c r="M18" s="377">
        <f ca="1">IF($A18="S",VTOTALBM,IF($A18=0,0,ROUND(SomaAgrupBM,15-13*ORÇAMENTO!$AF$11)))</f>
        <v>0</v>
      </c>
      <c r="N18" s="378">
        <f t="shared" ca="1" si="4"/>
        <v>0</v>
      </c>
      <c r="O18" s="124">
        <f ca="1">IF($A18="S",VTOTALBM,IF($A18=0,0,ROUND(SomaAgrupBM,15-13*ORÇAMENTO!$AF$11)))</f>
        <v>0</v>
      </c>
      <c r="Q18" s="379"/>
      <c r="R18" s="380"/>
      <c r="T18" s="116" t="str">
        <f t="shared" ca="1" si="5"/>
        <v/>
      </c>
      <c r="U18" s="169" t="str">
        <f t="shared" ca="1" si="6"/>
        <v/>
      </c>
      <c r="V18" s="170" t="str">
        <f ca="1">IF(AND($W18&gt;0,RegimeExecucao="Unitário"),$F18,"")</f>
        <v/>
      </c>
      <c r="W18" s="544">
        <f ca="1">IF($Y18&gt;0,CHOOSE(MATCH(RegimeExecucao,{"Unitário","Global"},0),IF($A18="S",$Y18/$X18,""),($Y18/$X18)*100),0)</f>
        <v>0</v>
      </c>
      <c r="X18" s="381" t="str">
        <f ca="1">IF($Y18&gt;0,CHOOSE(MATCH(RegimeExecucao,{"Unitário","Global"},0),IF($A18="S",ROUND($H18,ORÇAMENTO!$AF$10),""),ROUND($I18,ORÇAMENTO!$AF$11)),"")</f>
        <v/>
      </c>
      <c r="Y18" s="381">
        <f t="shared" ca="1" si="7"/>
        <v>0</v>
      </c>
      <c r="Z18" s="569"/>
      <c r="AB18" s="379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380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13" t="str">
        <f t="shared" ca="1" si="1"/>
        <v/>
      </c>
      <c r="D19" s="116" t="str">
        <f ca="1">ORÇAMENTO!O19</f>
        <v>-</v>
      </c>
      <c r="E19" s="169" t="str">
        <f t="shared" ca="1" si="2"/>
        <v>(abra o arquivo 'Referência 10-2024.xlsm)</v>
      </c>
      <c r="F19" s="170" t="str">
        <f ca="1">IF(RegimeExecucao="Global","",ORÇAMENTO.Unidade)</f>
        <v>-</v>
      </c>
      <c r="G19" s="121">
        <f ca="1">IF(RegimeExecucao="Global","",ORÇAMENTO!T19)</f>
        <v>1</v>
      </c>
      <c r="H19" s="121">
        <f ca="1">IF(RegimeExecucao="Global","",ORÇAMENTO!W19)</f>
        <v>0</v>
      </c>
      <c r="I19" s="124">
        <f ca="1">ORÇAMENTO!X19</f>
        <v>0</v>
      </c>
      <c r="J19" s="375">
        <f ca="1">IF($A19="S",IF(CAIXA.Modo,BM.AFAnterior,BM.MEDAnterior),IF(AND(RegimeExecucao="Global",$I19&gt;0,COUNTIF($AB$13:$AM$13,BM.medicao-1)&gt;0),M19/$I19*100,0))</f>
        <v>0</v>
      </c>
      <c r="K19" s="121">
        <f t="shared" ca="1" si="3"/>
        <v>0</v>
      </c>
      <c r="L19" s="376">
        <f ca="1">IF($A19="S",IF(CAIXA.Modo,BM.AFAcumulado,BM.MEDAcumulado),IF(AND(RegimeExecucao="Global",$I19&gt;0,COUNTIF($AB$13:$AM$13,BM.medicao)&gt;0),O19/$I19*100,0))</f>
        <v>0</v>
      </c>
      <c r="M19" s="377">
        <f ca="1">IF($A19="S",VTOTALBM,IF($A19=0,0,ROUND(SomaAgrupBM,15-13*ORÇAMENTO!$AF$11)))</f>
        <v>0</v>
      </c>
      <c r="N19" s="378">
        <f t="shared" ca="1" si="4"/>
        <v>0</v>
      </c>
      <c r="O19" s="124">
        <f ca="1">IF($A19="S",VTOTALBM,IF($A19=0,0,ROUND(SomaAgrupBM,15-13*ORÇAMENTO!$AF$11)))</f>
        <v>0</v>
      </c>
      <c r="Q19" s="379"/>
      <c r="R19" s="380"/>
      <c r="T19" s="116" t="str">
        <f t="shared" ca="1" si="5"/>
        <v/>
      </c>
      <c r="U19" s="169" t="str">
        <f t="shared" ca="1" si="6"/>
        <v/>
      </c>
      <c r="V19" s="170" t="str">
        <f ca="1">IF(AND($W19&gt;0,RegimeExecucao="Unitário"),$F19,"")</f>
        <v/>
      </c>
      <c r="W19" s="544">
        <f ca="1">IF($Y19&gt;0,CHOOSE(MATCH(RegimeExecucao,{"Unitário","Global"},0),IF($A19="S",$Y19/$X19,""),($Y19/$X19)*100),0)</f>
        <v>0</v>
      </c>
      <c r="X19" s="381" t="str">
        <f ca="1">IF($Y19&gt;0,CHOOSE(MATCH(RegimeExecucao,{"Unitário","Global"},0),IF($A19="S",ROUND($H19,ORÇAMENTO!$AF$10),""),ROUND($I19,ORÇAMENTO!$AF$11)),"")</f>
        <v/>
      </c>
      <c r="Y19" s="381">
        <f t="shared" ca="1" si="7"/>
        <v>0</v>
      </c>
      <c r="Z19" s="569"/>
      <c r="AB19" s="379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380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38.25" x14ac:dyDescent="0.2">
      <c r="A20" t="str">
        <f ca="1">ORÇAMENTO!C20</f>
        <v>S</v>
      </c>
      <c r="B20">
        <f ca="1">ORÇAMENTO!D20</f>
        <v>0</v>
      </c>
      <c r="C20" s="113" t="str">
        <f t="shared" ca="1" si="1"/>
        <v/>
      </c>
      <c r="D20" s="116" t="str">
        <f ca="1">ORÇAMENTO!O20</f>
        <v>-</v>
      </c>
      <c r="E20" s="169" t="str">
        <f t="shared" ca="1" si="2"/>
        <v>(abra o arquivo 'Referência 10-2024.xlsm)</v>
      </c>
      <c r="F20" s="170" t="str">
        <f ca="1">IF(RegimeExecucao="Global","",ORÇAMENTO.Unidade)</f>
        <v>-</v>
      </c>
      <c r="G20" s="121">
        <f ca="1">IF(RegimeExecucao="Global","",ORÇAMENTO!T20)</f>
        <v>3</v>
      </c>
      <c r="H20" s="121">
        <f ca="1">IF(RegimeExecucao="Global","",ORÇAMENTO!W20)</f>
        <v>0</v>
      </c>
      <c r="I20" s="124">
        <f ca="1">ORÇAMENTO!X20</f>
        <v>0</v>
      </c>
      <c r="J20" s="375">
        <f ca="1">IF($A20="S",IF(CAIXA.Modo,BM.AFAnterior,BM.MEDAnterior),IF(AND(RegimeExecucao="Global",$I20&gt;0,COUNTIF($AB$13:$AM$13,BM.medicao-1)&gt;0),M20/$I20*100,0))</f>
        <v>0</v>
      </c>
      <c r="K20" s="121">
        <f t="shared" ca="1" si="3"/>
        <v>0</v>
      </c>
      <c r="L20" s="376">
        <f ca="1">IF($A20="S",IF(CAIXA.Modo,BM.AFAcumulado,BM.MEDAcumulado),IF(AND(RegimeExecucao="Global",$I20&gt;0,COUNTIF($AB$13:$AM$13,BM.medicao)&gt;0),O20/$I20*100,0))</f>
        <v>0</v>
      </c>
      <c r="M20" s="377">
        <f ca="1">IF($A20="S",VTOTALBM,IF($A20=0,0,ROUND(SomaAgrupBM,15-13*ORÇAMENTO!$AF$11)))</f>
        <v>0</v>
      </c>
      <c r="N20" s="378">
        <f t="shared" ca="1" si="4"/>
        <v>0</v>
      </c>
      <c r="O20" s="124">
        <f ca="1">IF($A20="S",VTOTALBM,IF($A20=0,0,ROUND(SomaAgrupBM,15-13*ORÇAMENTO!$AF$11)))</f>
        <v>0</v>
      </c>
      <c r="Q20" s="379"/>
      <c r="R20" s="380"/>
      <c r="T20" s="116" t="str">
        <f t="shared" ca="1" si="5"/>
        <v/>
      </c>
      <c r="U20" s="169" t="str">
        <f t="shared" ca="1" si="6"/>
        <v/>
      </c>
      <c r="V20" s="170" t="str">
        <f ca="1">IF(AND($W20&gt;0,RegimeExecucao="Unitário"),$F20,"")</f>
        <v/>
      </c>
      <c r="W20" s="544">
        <f ca="1">IF($Y20&gt;0,CHOOSE(MATCH(RegimeExecucao,{"Unitário","Global"},0),IF($A20="S",$Y20/$X20,""),($Y20/$X20)*100),0)</f>
        <v>0</v>
      </c>
      <c r="X20" s="381" t="str">
        <f ca="1">IF($Y20&gt;0,CHOOSE(MATCH(RegimeExecucao,{"Unitário","Global"},0),IF($A20="S",ROUND($H20,ORÇAMENTO!$AF$10),""),ROUND($I20,ORÇAMENTO!$AF$11)),"")</f>
        <v/>
      </c>
      <c r="Y20" s="381">
        <f t="shared" ca="1" si="7"/>
        <v>0</v>
      </c>
      <c r="Z20" s="569"/>
      <c r="AB20" s="379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380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13" t="str">
        <f ca="1">IF(OR($I21&gt;0,$A21=1,$A21=2,$A21=3,$A21=4),"F","")</f>
        <v/>
      </c>
      <c r="D21" s="116" t="str">
        <f ca="1">ORÇAMENTO!O21</f>
        <v>-</v>
      </c>
      <c r="E21" s="169" t="str">
        <f ca="1">ORÇAMENTO.Descricao</f>
        <v>(abra o arquivo 'Referência 10-2024.xlsm)</v>
      </c>
      <c r="F21" s="170" t="str">
        <f ca="1">IF(RegimeExecucao="Global","",ORÇAMENTO.Unidade)</f>
        <v>-</v>
      </c>
      <c r="G21" s="121">
        <f ca="1">IF(RegimeExecucao="Global","",ORÇAMENTO!T21)</f>
        <v>1</v>
      </c>
      <c r="H21" s="121">
        <f ca="1">IF(RegimeExecucao="Global","",ORÇAMENTO!W21)</f>
        <v>0</v>
      </c>
      <c r="I21" s="124">
        <f ca="1">ORÇAMENTO!X21</f>
        <v>0</v>
      </c>
      <c r="J21" s="375">
        <f ca="1">IF($A21="S",IF(CAIXA.Modo,BM.AFAnterior,BM.MEDAnterior),IF(AND(RegimeExecucao="Global",$I21&gt;0,COUNTIF($AB$13:$AM$13,BM.medicao-1)&gt;0),M21/$I21*100,0))</f>
        <v>0</v>
      </c>
      <c r="K21" s="121">
        <f ca="1">L21-J21</f>
        <v>0</v>
      </c>
      <c r="L21" s="376">
        <f ca="1">IF($A21="S",IF(CAIXA.Modo,BM.AFAcumulado,BM.MEDAcumulado),IF(AND(RegimeExecucao="Global",$I21&gt;0,COUNTIF($AB$13:$AM$13,BM.medicao)&gt;0),O21/$I21*100,0))</f>
        <v>0</v>
      </c>
      <c r="M21" s="377">
        <f ca="1">IF($A21="S",VTOTALBM,IF($A21=0,0,ROUND(SomaAgrupBM,15-13*ORÇAMENTO!$AF$11)))</f>
        <v>0</v>
      </c>
      <c r="N21" s="378">
        <f ca="1">O21-M21</f>
        <v>0</v>
      </c>
      <c r="O21" s="124">
        <f ca="1">IF($A21="S",VTOTALBM,IF($A21=0,0,ROUND(SomaAgrupBM,15-13*ORÇAMENTO!$AF$11)))</f>
        <v>0</v>
      </c>
      <c r="Q21" s="379"/>
      <c r="R21" s="380"/>
      <c r="T21" s="116" t="str">
        <f ca="1">IF($W21&gt;0,$D21,"")</f>
        <v/>
      </c>
      <c r="U21" s="169" t="str">
        <f ca="1">IF($W21&gt;0,$E21,"")</f>
        <v/>
      </c>
      <c r="V21" s="170" t="str">
        <f ca="1">IF(AND($W21&gt;0,RegimeExecucao="Unitário"),$F21,"")</f>
        <v/>
      </c>
      <c r="W21" s="544">
        <f ca="1">IF($Y21&gt;0,CHOOSE(MATCH(RegimeExecucao,{"Unitário","Global"},0),IF($A21="S",$Y21/$X21,""),($Y21/$X21)*100),0)</f>
        <v>0</v>
      </c>
      <c r="X21" s="381" t="str">
        <f ca="1">IF($Y21&gt;0,CHOOSE(MATCH(RegimeExecucao,{"Unitário","Global"},0),IF($A21="S",ROUND($H21,ORÇAMENTO!$AF$10),""),ROUND($I21,ORÇAMENTO!$AF$11)),"")</f>
        <v/>
      </c>
      <c r="Y21" s="381">
        <f ca="1">AO21-O21</f>
        <v>0</v>
      </c>
      <c r="Z21" s="569"/>
      <c r="AB21" s="379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380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6</v>
      </c>
      <c r="C22" s="113" t="str">
        <f t="shared" ref="C22:C27" ca="1" si="8">IF(OR($I22&gt;0,$A22=1,$A22=2,$A22=3,$A22=4),"F","")</f>
        <v>F</v>
      </c>
      <c r="D22" s="116" t="str">
        <f ca="1">ORÇAMENTO!O22</f>
        <v>1.2.</v>
      </c>
      <c r="E22" s="169" t="str">
        <f t="shared" ref="E22:E27" si="9">ORÇAMENTO.Descricao</f>
        <v>SERVIÇOS PRELIMINARES</v>
      </c>
      <c r="F22" s="170" t="str">
        <f ca="1">IF(RegimeExecucao="Global","",ORÇAMENTO.Unidade)</f>
        <v>-</v>
      </c>
      <c r="G22" s="121">
        <f ca="1">IF(RegimeExecucao="Global","",ORÇAMENTO!T22)</f>
        <v>0</v>
      </c>
      <c r="H22" s="121">
        <f ca="1">IF(RegimeExecucao="Global","",ORÇAMENTO!W22)</f>
        <v>0</v>
      </c>
      <c r="I22" s="124">
        <f ca="1">ORÇAMENTO!X22</f>
        <v>0</v>
      </c>
      <c r="J22" s="375">
        <f ca="1">IF($A22="S",IF(CAIXA.Modo,BM.AFAnterior,BM.MEDAnterior),IF(AND(RegimeExecucao="Global",$I22&gt;0,COUNTIF($AB$13:$AM$13,BM.medicao-1)&gt;0),M22/$I22*100,0))</f>
        <v>0</v>
      </c>
      <c r="K22" s="121">
        <f t="shared" ref="K22:K27" ca="1" si="10">L22-J22</f>
        <v>0</v>
      </c>
      <c r="L22" s="376">
        <f ca="1">IF($A22="S",IF(CAIXA.Modo,BM.AFAcumulado,BM.MEDAcumulado),IF(AND(RegimeExecucao="Global",$I22&gt;0,COUNTIF($AB$13:$AM$13,BM.medicao)&gt;0),O22/$I22*100,0))</f>
        <v>0</v>
      </c>
      <c r="M22" s="377">
        <f ca="1">IF($A22="S",VTOTALBM,IF($A22=0,0,ROUND(SomaAgrupBM,15-13*ORÇAMENTO!$AF$11)))</f>
        <v>0</v>
      </c>
      <c r="N22" s="378">
        <f t="shared" ref="N22:N27" ca="1" si="11">O22-M22</f>
        <v>0</v>
      </c>
      <c r="O22" s="124">
        <f ca="1">IF($A22="S",VTOTALBM,IF($A22=0,0,ROUND(SomaAgrupBM,15-13*ORÇAMENTO!$AF$11)))</f>
        <v>0</v>
      </c>
      <c r="Q22" s="379"/>
      <c r="R22" s="380"/>
      <c r="T22" s="116" t="str">
        <f t="shared" ref="T22:T27" ca="1" si="12">IF($W22&gt;0,$D22,"")</f>
        <v/>
      </c>
      <c r="U22" s="169" t="str">
        <f t="shared" ref="U22:U27" ca="1" si="13">IF($W22&gt;0,$E22,"")</f>
        <v/>
      </c>
      <c r="V22" s="170" t="str">
        <f ca="1">IF(AND($W22&gt;0,RegimeExecucao="Unitário"),$F22,"")</f>
        <v/>
      </c>
      <c r="W22" s="544">
        <f ca="1">IF($Y22&gt;0,CHOOSE(MATCH(RegimeExecucao,{"Unitário","Global"},0),IF($A22="S",$Y22/$X22,""),($Y22/$X22)*100),0)</f>
        <v>0</v>
      </c>
      <c r="X22" s="381" t="str">
        <f ca="1">IF($Y22&gt;0,CHOOSE(MATCH(RegimeExecucao,{"Unitário","Global"},0),IF($A22="S",ROUND($H22,ORÇAMENTO!$AF$10),""),ROUND($I22,ORÇAMENTO!$AF$11)),"")</f>
        <v/>
      </c>
      <c r="Y22" s="381">
        <f t="shared" ref="Y22:Y27" ca="1" si="14">AO22-O22</f>
        <v>0</v>
      </c>
      <c r="Z22" s="569"/>
      <c r="AB22" s="379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380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38.25" x14ac:dyDescent="0.2">
      <c r="A23" t="str">
        <f ca="1">ORÇAMENTO!C23</f>
        <v>S</v>
      </c>
      <c r="B23">
        <f ca="1">ORÇAMENTO!D23</f>
        <v>0</v>
      </c>
      <c r="C23" s="113" t="str">
        <f t="shared" ca="1" si="8"/>
        <v/>
      </c>
      <c r="D23" s="116" t="str">
        <f ca="1">ORÇAMENTO!O23</f>
        <v>-</v>
      </c>
      <c r="E23" s="169" t="str">
        <f t="shared" ca="1" si="9"/>
        <v>(abra o arquivo 'Referência 10-2024.xlsm)</v>
      </c>
      <c r="F23" s="170" t="str">
        <f ca="1">IF(RegimeExecucao="Global","",ORÇAMENTO.Unidade)</f>
        <v>-</v>
      </c>
      <c r="G23" s="121">
        <f ca="1">IF(RegimeExecucao="Global","",ORÇAMENTO!T23)</f>
        <v>100</v>
      </c>
      <c r="H23" s="121">
        <f ca="1">IF(RegimeExecucao="Global","",ORÇAMENTO!W23)</f>
        <v>0</v>
      </c>
      <c r="I23" s="124">
        <f ca="1">ORÇAMENTO!X23</f>
        <v>0</v>
      </c>
      <c r="J23" s="375">
        <f ca="1">IF($A23="S",IF(CAIXA.Modo,BM.AFAnterior,BM.MEDAnterior),IF(AND(RegimeExecucao="Global",$I23&gt;0,COUNTIF($AB$13:$AM$13,BM.medicao-1)&gt;0),M23/$I23*100,0))</f>
        <v>0</v>
      </c>
      <c r="K23" s="121">
        <f t="shared" ca="1" si="10"/>
        <v>0</v>
      </c>
      <c r="L23" s="376">
        <f ca="1">IF($A23="S",IF(CAIXA.Modo,BM.AFAcumulado,BM.MEDAcumulado),IF(AND(RegimeExecucao="Global",$I23&gt;0,COUNTIF($AB$13:$AM$13,BM.medicao)&gt;0),O23/$I23*100,0))</f>
        <v>0</v>
      </c>
      <c r="M23" s="377">
        <f ca="1">IF($A23="S",VTOTALBM,IF($A23=0,0,ROUND(SomaAgrupBM,15-13*ORÇAMENTO!$AF$11)))</f>
        <v>0</v>
      </c>
      <c r="N23" s="378">
        <f t="shared" ca="1" si="11"/>
        <v>0</v>
      </c>
      <c r="O23" s="124">
        <f ca="1">IF($A23="S",VTOTALBM,IF($A23=0,0,ROUND(SomaAgrupBM,15-13*ORÇAMENTO!$AF$11)))</f>
        <v>0</v>
      </c>
      <c r="Q23" s="379"/>
      <c r="R23" s="380"/>
      <c r="T23" s="116" t="str">
        <f t="shared" ca="1" si="12"/>
        <v/>
      </c>
      <c r="U23" s="169" t="str">
        <f t="shared" ca="1" si="13"/>
        <v/>
      </c>
      <c r="V23" s="170" t="str">
        <f ca="1">IF(AND($W23&gt;0,RegimeExecucao="Unitário"),$F23,"")</f>
        <v/>
      </c>
      <c r="W23" s="544">
        <f ca="1">IF($Y23&gt;0,CHOOSE(MATCH(RegimeExecucao,{"Unitário","Global"},0),IF($A23="S",$Y23/$X23,""),($Y23/$X23)*100),0)</f>
        <v>0</v>
      </c>
      <c r="X23" s="381" t="str">
        <f ca="1">IF($Y23&gt;0,CHOOSE(MATCH(RegimeExecucao,{"Unitário","Global"},0),IF($A23="S",ROUND($H23,ORÇAMENTO!$AF$10),""),ROUND($I23,ORÇAMENTO!$AF$11)),"")</f>
        <v/>
      </c>
      <c r="Y23" s="381">
        <f t="shared" ca="1" si="14"/>
        <v>0</v>
      </c>
      <c r="Z23" s="569"/>
      <c r="AB23" s="379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380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13" t="str">
        <f t="shared" ca="1" si="8"/>
        <v/>
      </c>
      <c r="D24" s="116" t="str">
        <f ca="1">ORÇAMENTO!O24</f>
        <v>-</v>
      </c>
      <c r="E24" s="169" t="str">
        <f t="shared" ca="1" si="9"/>
        <v>(abra o arquivo 'Referência 10-2024.xlsm)</v>
      </c>
      <c r="F24" s="170" t="str">
        <f ca="1">IF(RegimeExecucao="Global","",ORÇAMENTO.Unidade)</f>
        <v>-</v>
      </c>
      <c r="G24" s="121">
        <f ca="1">IF(RegimeExecucao="Global","",ORÇAMENTO!T24)</f>
        <v>38</v>
      </c>
      <c r="H24" s="121">
        <f ca="1">IF(RegimeExecucao="Global","",ORÇAMENTO!W24)</f>
        <v>0</v>
      </c>
      <c r="I24" s="124">
        <f ca="1">ORÇAMENTO!X24</f>
        <v>0</v>
      </c>
      <c r="J24" s="375">
        <f ca="1">IF($A24="S",IF(CAIXA.Modo,BM.AFAnterior,BM.MEDAnterior),IF(AND(RegimeExecucao="Global",$I24&gt;0,COUNTIF($AB$13:$AM$13,BM.medicao-1)&gt;0),M24/$I24*100,0))</f>
        <v>0</v>
      </c>
      <c r="K24" s="121">
        <f t="shared" ca="1" si="10"/>
        <v>0</v>
      </c>
      <c r="L24" s="376">
        <f ca="1">IF($A24="S",IF(CAIXA.Modo,BM.AFAcumulado,BM.MEDAcumulado),IF(AND(RegimeExecucao="Global",$I24&gt;0,COUNTIF($AB$13:$AM$13,BM.medicao)&gt;0),O24/$I24*100,0))</f>
        <v>0</v>
      </c>
      <c r="M24" s="377">
        <f ca="1">IF($A24="S",VTOTALBM,IF($A24=0,0,ROUND(SomaAgrupBM,15-13*ORÇAMENTO!$AF$11)))</f>
        <v>0</v>
      </c>
      <c r="N24" s="378">
        <f t="shared" ca="1" si="11"/>
        <v>0</v>
      </c>
      <c r="O24" s="124">
        <f ca="1">IF($A24="S",VTOTALBM,IF($A24=0,0,ROUND(SomaAgrupBM,15-13*ORÇAMENTO!$AF$11)))</f>
        <v>0</v>
      </c>
      <c r="Q24" s="379"/>
      <c r="R24" s="380"/>
      <c r="T24" s="116" t="str">
        <f t="shared" ca="1" si="12"/>
        <v/>
      </c>
      <c r="U24" s="169" t="str">
        <f t="shared" ca="1" si="13"/>
        <v/>
      </c>
      <c r="V24" s="170" t="str">
        <f ca="1">IF(AND($W24&gt;0,RegimeExecucao="Unitário"),$F24,"")</f>
        <v/>
      </c>
      <c r="W24" s="544">
        <f ca="1">IF($Y24&gt;0,CHOOSE(MATCH(RegimeExecucao,{"Unitário","Global"},0),IF($A24="S",$Y24/$X24,""),($Y24/$X24)*100),0)</f>
        <v>0</v>
      </c>
      <c r="X24" s="381" t="str">
        <f ca="1">IF($Y24&gt;0,CHOOSE(MATCH(RegimeExecucao,{"Unitário","Global"},0),IF($A24="S",ROUND($H24,ORÇAMENTO!$AF$10),""),ROUND($I24,ORÇAMENTO!$AF$11)),"")</f>
        <v/>
      </c>
      <c r="Y24" s="381">
        <f t="shared" ca="1" si="14"/>
        <v>0</v>
      </c>
      <c r="Z24" s="569"/>
      <c r="AB24" s="379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380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13" t="str">
        <f t="shared" ca="1" si="8"/>
        <v/>
      </c>
      <c r="D25" s="116" t="str">
        <f ca="1">ORÇAMENTO!O25</f>
        <v>-</v>
      </c>
      <c r="E25" s="169" t="str">
        <f t="shared" ca="1" si="9"/>
        <v>(abra o arquivo 'Referência 10-2024.xlsm)</v>
      </c>
      <c r="F25" s="170" t="str">
        <f ca="1">IF(RegimeExecucao="Global","",ORÇAMENTO.Unidade)</f>
        <v>-</v>
      </c>
      <c r="G25" s="121">
        <f ca="1">IF(RegimeExecucao="Global","",ORÇAMENTO!T25)</f>
        <v>78</v>
      </c>
      <c r="H25" s="121">
        <f ca="1">IF(RegimeExecucao="Global","",ORÇAMENTO!W25)</f>
        <v>0</v>
      </c>
      <c r="I25" s="124">
        <f ca="1">ORÇAMENTO!X25</f>
        <v>0</v>
      </c>
      <c r="J25" s="375">
        <f ca="1">IF($A25="S",IF(CAIXA.Modo,BM.AFAnterior,BM.MEDAnterior),IF(AND(RegimeExecucao="Global",$I25&gt;0,COUNTIF($AB$13:$AM$13,BM.medicao-1)&gt;0),M25/$I25*100,0))</f>
        <v>0</v>
      </c>
      <c r="K25" s="121">
        <f t="shared" ca="1" si="10"/>
        <v>0</v>
      </c>
      <c r="L25" s="376">
        <f ca="1">IF($A25="S",IF(CAIXA.Modo,BM.AFAcumulado,BM.MEDAcumulado),IF(AND(RegimeExecucao="Global",$I25&gt;0,COUNTIF($AB$13:$AM$13,BM.medicao)&gt;0),O25/$I25*100,0))</f>
        <v>0</v>
      </c>
      <c r="M25" s="377">
        <f ca="1">IF($A25="S",VTOTALBM,IF($A25=0,0,ROUND(SomaAgrupBM,15-13*ORÇAMENTO!$AF$11)))</f>
        <v>0</v>
      </c>
      <c r="N25" s="378">
        <f t="shared" ca="1" si="11"/>
        <v>0</v>
      </c>
      <c r="O25" s="124">
        <f ca="1">IF($A25="S",VTOTALBM,IF($A25=0,0,ROUND(SomaAgrupBM,15-13*ORÇAMENTO!$AF$11)))</f>
        <v>0</v>
      </c>
      <c r="Q25" s="379"/>
      <c r="R25" s="380"/>
      <c r="T25" s="116" t="str">
        <f t="shared" ca="1" si="12"/>
        <v/>
      </c>
      <c r="U25" s="169" t="str">
        <f t="shared" ca="1" si="13"/>
        <v/>
      </c>
      <c r="V25" s="170" t="str">
        <f ca="1">IF(AND($W25&gt;0,RegimeExecucao="Unitário"),$F25,"")</f>
        <v/>
      </c>
      <c r="W25" s="544">
        <f ca="1">IF($Y25&gt;0,CHOOSE(MATCH(RegimeExecucao,{"Unitário","Global"},0),IF($A25="S",$Y25/$X25,""),($Y25/$X25)*100),0)</f>
        <v>0</v>
      </c>
      <c r="X25" s="381" t="str">
        <f ca="1">IF($Y25&gt;0,CHOOSE(MATCH(RegimeExecucao,{"Unitário","Global"},0),IF($A25="S",ROUND($H25,ORÇAMENTO!$AF$10),""),ROUND($I25,ORÇAMENTO!$AF$11)),"")</f>
        <v/>
      </c>
      <c r="Y25" s="381">
        <f t="shared" ca="1" si="14"/>
        <v>0</v>
      </c>
      <c r="Z25" s="569"/>
      <c r="AB25" s="379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380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51" x14ac:dyDescent="0.2">
      <c r="A26" t="str">
        <f ca="1">ORÇAMENTO!C26</f>
        <v>S</v>
      </c>
      <c r="B26">
        <f ca="1">ORÇAMENTO!D26</f>
        <v>0</v>
      </c>
      <c r="C26" s="113" t="str">
        <f t="shared" ca="1" si="8"/>
        <v/>
      </c>
      <c r="D26" s="116" t="str">
        <f ca="1">ORÇAMENTO!O26</f>
        <v>-</v>
      </c>
      <c r="E26" s="169" t="str">
        <f t="shared" ca="1" si="9"/>
        <v>(abra o arquivo 'Referência 10-2024.xlsm)</v>
      </c>
      <c r="F26" s="170" t="str">
        <f ca="1">IF(RegimeExecucao="Global","",ORÇAMENTO.Unidade)</f>
        <v>-</v>
      </c>
      <c r="G26" s="121">
        <f ca="1">IF(RegimeExecucao="Global","",ORÇAMENTO!T26)</f>
        <v>78</v>
      </c>
      <c r="H26" s="121">
        <f ca="1">IF(RegimeExecucao="Global","",ORÇAMENTO!W26)</f>
        <v>0</v>
      </c>
      <c r="I26" s="124">
        <f ca="1">ORÇAMENTO!X26</f>
        <v>0</v>
      </c>
      <c r="J26" s="375">
        <f ca="1">IF($A26="S",IF(CAIXA.Modo,BM.AFAnterior,BM.MEDAnterior),IF(AND(RegimeExecucao="Global",$I26&gt;0,COUNTIF($AB$13:$AM$13,BM.medicao-1)&gt;0),M26/$I26*100,0))</f>
        <v>0</v>
      </c>
      <c r="K26" s="121">
        <f t="shared" ca="1" si="10"/>
        <v>0</v>
      </c>
      <c r="L26" s="376">
        <f ca="1">IF($A26="S",IF(CAIXA.Modo,BM.AFAcumulado,BM.MEDAcumulado),IF(AND(RegimeExecucao="Global",$I26&gt;0,COUNTIF($AB$13:$AM$13,BM.medicao)&gt;0),O26/$I26*100,0))</f>
        <v>0</v>
      </c>
      <c r="M26" s="377">
        <f ca="1">IF($A26="S",VTOTALBM,IF($A26=0,0,ROUND(SomaAgrupBM,15-13*ORÇAMENTO!$AF$11)))</f>
        <v>0</v>
      </c>
      <c r="N26" s="378">
        <f t="shared" ca="1" si="11"/>
        <v>0</v>
      </c>
      <c r="O26" s="124">
        <f ca="1">IF($A26="S",VTOTALBM,IF($A26=0,0,ROUND(SomaAgrupBM,15-13*ORÇAMENTO!$AF$11)))</f>
        <v>0</v>
      </c>
      <c r="Q26" s="379"/>
      <c r="R26" s="380"/>
      <c r="T26" s="116" t="str">
        <f t="shared" ca="1" si="12"/>
        <v/>
      </c>
      <c r="U26" s="169" t="str">
        <f t="shared" ca="1" si="13"/>
        <v/>
      </c>
      <c r="V26" s="170" t="str">
        <f ca="1">IF(AND($W26&gt;0,RegimeExecucao="Unitário"),$F26,"")</f>
        <v/>
      </c>
      <c r="W26" s="544">
        <f ca="1">IF($Y26&gt;0,CHOOSE(MATCH(RegimeExecucao,{"Unitário","Global"},0),IF($A26="S",$Y26/$X26,""),($Y26/$X26)*100),0)</f>
        <v>0</v>
      </c>
      <c r="X26" s="381" t="str">
        <f ca="1">IF($Y26&gt;0,CHOOSE(MATCH(RegimeExecucao,{"Unitário","Global"},0),IF($A26="S",ROUND($H26,ORÇAMENTO!$AF$10),""),ROUND($I26,ORÇAMENTO!$AF$11)),"")</f>
        <v/>
      </c>
      <c r="Y26" s="381">
        <f t="shared" ca="1" si="14"/>
        <v>0</v>
      </c>
      <c r="Z26" s="569"/>
      <c r="AB26" s="379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380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51" x14ac:dyDescent="0.2">
      <c r="A27" t="str">
        <f ca="1">ORÇAMENTO!C27</f>
        <v>S</v>
      </c>
      <c r="B27">
        <f ca="1">ORÇAMENTO!D27</f>
        <v>0</v>
      </c>
      <c r="C27" s="113" t="str">
        <f t="shared" ca="1" si="8"/>
        <v/>
      </c>
      <c r="D27" s="116" t="str">
        <f ca="1">ORÇAMENTO!O27</f>
        <v>-</v>
      </c>
      <c r="E27" s="169" t="str">
        <f t="shared" ca="1" si="9"/>
        <v>(abra o arquivo 'Referência 10-2024.xlsm)</v>
      </c>
      <c r="F27" s="170" t="str">
        <f ca="1">IF(RegimeExecucao="Global","",ORÇAMENTO.Unidade)</f>
        <v>-</v>
      </c>
      <c r="G27" s="121">
        <f ca="1">IF(RegimeExecucao="Global","",ORÇAMENTO!T27)</f>
        <v>78</v>
      </c>
      <c r="H27" s="121">
        <f ca="1">IF(RegimeExecucao="Global","",ORÇAMENTO!W27)</f>
        <v>0</v>
      </c>
      <c r="I27" s="124">
        <f ca="1">ORÇAMENTO!X27</f>
        <v>0</v>
      </c>
      <c r="J27" s="375">
        <f ca="1">IF($A27="S",IF(CAIXA.Modo,BM.AFAnterior,BM.MEDAnterior),IF(AND(RegimeExecucao="Global",$I27&gt;0,COUNTIF($AB$13:$AM$13,BM.medicao-1)&gt;0),M27/$I27*100,0))</f>
        <v>0</v>
      </c>
      <c r="K27" s="121">
        <f t="shared" ca="1" si="10"/>
        <v>0</v>
      </c>
      <c r="L27" s="376">
        <f ca="1">IF($A27="S",IF(CAIXA.Modo,BM.AFAcumulado,BM.MEDAcumulado),IF(AND(RegimeExecucao="Global",$I27&gt;0,COUNTIF($AB$13:$AM$13,BM.medicao)&gt;0),O27/$I27*100,0))</f>
        <v>0</v>
      </c>
      <c r="M27" s="377">
        <f ca="1">IF($A27="S",VTOTALBM,IF($A27=0,0,ROUND(SomaAgrupBM,15-13*ORÇAMENTO!$AF$11)))</f>
        <v>0</v>
      </c>
      <c r="N27" s="378">
        <f t="shared" ca="1" si="11"/>
        <v>0</v>
      </c>
      <c r="O27" s="124">
        <f ca="1">IF($A27="S",VTOTALBM,IF($A27=0,0,ROUND(SomaAgrupBM,15-13*ORÇAMENTO!$AF$11)))</f>
        <v>0</v>
      </c>
      <c r="Q27" s="379"/>
      <c r="R27" s="380"/>
      <c r="T27" s="116" t="str">
        <f t="shared" ca="1" si="12"/>
        <v/>
      </c>
      <c r="U27" s="169" t="str">
        <f t="shared" ca="1" si="13"/>
        <v/>
      </c>
      <c r="V27" s="170" t="str">
        <f ca="1">IF(AND($W27&gt;0,RegimeExecucao="Unitário"),$F27,"")</f>
        <v/>
      </c>
      <c r="W27" s="544">
        <f ca="1">IF($Y27&gt;0,CHOOSE(MATCH(RegimeExecucao,{"Unitário","Global"},0),IF($A27="S",$Y27/$X27,""),($Y27/$X27)*100),0)</f>
        <v>0</v>
      </c>
      <c r="X27" s="381" t="str">
        <f ca="1">IF($Y27&gt;0,CHOOSE(MATCH(RegimeExecucao,{"Unitário","Global"},0),IF($A27="S",ROUND($H27,ORÇAMENTO!$AF$10),""),ROUND($I27,ORÇAMENTO!$AF$11)),"")</f>
        <v/>
      </c>
      <c r="Y27" s="381">
        <f t="shared" ca="1" si="14"/>
        <v>0</v>
      </c>
      <c r="Z27" s="569"/>
      <c r="AB27" s="379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380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>
        <f ca="1">ORÇAMENTO!C28</f>
        <v>2</v>
      </c>
      <c r="B28">
        <f ca="1">ORÇAMENTO!D28</f>
        <v>14</v>
      </c>
      <c r="C28" s="113" t="str">
        <f t="shared" ca="1" si="1"/>
        <v>F</v>
      </c>
      <c r="D28" s="116" t="str">
        <f ca="1">ORÇAMENTO!O28</f>
        <v>1.3.</v>
      </c>
      <c r="E28" s="169" t="str">
        <f t="shared" si="2"/>
        <v>FUNDAÇÕES</v>
      </c>
      <c r="F28" s="170" t="str">
        <f ca="1">IF(RegimeExecucao="Global","",ORÇAMENTO.Unidade)</f>
        <v>-</v>
      </c>
      <c r="G28" s="121">
        <f ca="1">IF(RegimeExecucao="Global","",ORÇAMENTO!T28)</f>
        <v>0</v>
      </c>
      <c r="H28" s="121">
        <f ca="1">IF(RegimeExecucao="Global","",ORÇAMENTO!W28)</f>
        <v>0</v>
      </c>
      <c r="I28" s="124">
        <f ca="1">ORÇAMENTO!X28</f>
        <v>0</v>
      </c>
      <c r="J28" s="375">
        <f ca="1">IF($A28="S",IF(CAIXA.Modo,BM.AFAnterior,BM.MEDAnterior),IF(AND(RegimeExecucao="Global",$I28&gt;0,COUNTIF($AB$13:$AM$13,BM.medicao-1)&gt;0),M28/$I28*100,0))</f>
        <v>0</v>
      </c>
      <c r="K28" s="121">
        <f t="shared" ca="1" si="3"/>
        <v>0</v>
      </c>
      <c r="L28" s="376">
        <f ca="1">IF($A28="S",IF(CAIXA.Modo,BM.AFAcumulado,BM.MEDAcumulado),IF(AND(RegimeExecucao="Global",$I28&gt;0,COUNTIF($AB$13:$AM$13,BM.medicao)&gt;0),O28/$I28*100,0))</f>
        <v>0</v>
      </c>
      <c r="M28" s="377">
        <f ca="1">IF($A28="S",VTOTALBM,IF($A28=0,0,ROUND(SomaAgrupBM,15-13*ORÇAMENTO!$AF$11)))</f>
        <v>0</v>
      </c>
      <c r="N28" s="378">
        <f t="shared" ca="1" si="4"/>
        <v>0</v>
      </c>
      <c r="O28" s="124">
        <f ca="1">IF($A28="S",VTOTALBM,IF($A28=0,0,ROUND(SomaAgrupBM,15-13*ORÇAMENTO!$AF$11)))</f>
        <v>0</v>
      </c>
      <c r="Q28" s="379"/>
      <c r="R28" s="380"/>
      <c r="T28" s="116" t="str">
        <f t="shared" ca="1" si="5"/>
        <v/>
      </c>
      <c r="U28" s="169" t="str">
        <f t="shared" ca="1" si="6"/>
        <v/>
      </c>
      <c r="V28" s="170" t="str">
        <f ca="1">IF(AND($W28&gt;0,RegimeExecucao="Unitário"),$F28,"")</f>
        <v/>
      </c>
      <c r="W28" s="544">
        <f ca="1">IF($Y28&gt;0,CHOOSE(MATCH(RegimeExecucao,{"Unitário","Global"},0),IF($A28="S",$Y28/$X28,""),($Y28/$X28)*100),0)</f>
        <v>0</v>
      </c>
      <c r="X28" s="381" t="str">
        <f ca="1">IF($Y28&gt;0,CHOOSE(MATCH(RegimeExecucao,{"Unitário","Global"},0),IF($A28="S",ROUND($H28,ORÇAMENTO!$AF$10),""),ROUND($I28,ORÇAMENTO!$AF$11)),"")</f>
        <v/>
      </c>
      <c r="Y28" s="381">
        <f t="shared" ca="1" si="7"/>
        <v>0</v>
      </c>
      <c r="Z28" s="569"/>
      <c r="AB28" s="379"/>
      <c r="AC28" s="513"/>
      <c r="AD28" s="513"/>
      <c r="AE28" s="513"/>
      <c r="AF28" s="513"/>
      <c r="AG28" s="513"/>
      <c r="AH28" s="513"/>
      <c r="AI28" s="513"/>
      <c r="AJ28" s="513"/>
      <c r="AK28" s="513"/>
      <c r="AL28" s="513"/>
      <c r="AM28" s="380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38.25" x14ac:dyDescent="0.2">
      <c r="A29" t="str">
        <f ca="1">ORÇAMENTO!C29</f>
        <v>S</v>
      </c>
      <c r="B29">
        <f ca="1">ORÇAMENTO!D29</f>
        <v>0</v>
      </c>
      <c r="C29" s="113" t="str">
        <f t="shared" ca="1" si="1"/>
        <v/>
      </c>
      <c r="D29" s="116" t="str">
        <f ca="1">ORÇAMENTO!O29</f>
        <v>-</v>
      </c>
      <c r="E29" s="169" t="str">
        <f t="shared" ca="1" si="2"/>
        <v>(abra o arquivo 'Referência 10-2024.xlsm)</v>
      </c>
      <c r="F29" s="170" t="str">
        <f ca="1">IF(RegimeExecucao="Global","",ORÇAMENTO.Unidade)</f>
        <v>-</v>
      </c>
      <c r="G29" s="121">
        <f ca="1">IF(RegimeExecucao="Global","",ORÇAMENTO!T29)</f>
        <v>12.8</v>
      </c>
      <c r="H29" s="121">
        <f ca="1">IF(RegimeExecucao="Global","",ORÇAMENTO!W29)</f>
        <v>0</v>
      </c>
      <c r="I29" s="124">
        <f ca="1">ORÇAMENTO!X29</f>
        <v>0</v>
      </c>
      <c r="J29" s="375">
        <f ca="1">IF($A29="S",IF(CAIXA.Modo,BM.AFAnterior,BM.MEDAnterior),IF(AND(RegimeExecucao="Global",$I29&gt;0,COUNTIF($AB$13:$AM$13,BM.medicao-1)&gt;0),M29/$I29*100,0))</f>
        <v>0</v>
      </c>
      <c r="K29" s="121">
        <f t="shared" ca="1" si="3"/>
        <v>0</v>
      </c>
      <c r="L29" s="376">
        <f ca="1">IF($A29="S",IF(CAIXA.Modo,BM.AFAcumulado,BM.MEDAcumulado),IF(AND(RegimeExecucao="Global",$I29&gt;0,COUNTIF($AB$13:$AM$13,BM.medicao)&gt;0),O29/$I29*100,0))</f>
        <v>0</v>
      </c>
      <c r="M29" s="377">
        <f ca="1">IF($A29="S",VTOTALBM,IF($A29=0,0,ROUND(SomaAgrupBM,15-13*ORÇAMENTO!$AF$11)))</f>
        <v>0</v>
      </c>
      <c r="N29" s="378">
        <f t="shared" ca="1" si="4"/>
        <v>0</v>
      </c>
      <c r="O29" s="124">
        <f ca="1">IF($A29="S",VTOTALBM,IF($A29=0,0,ROUND(SomaAgrupBM,15-13*ORÇAMENTO!$AF$11)))</f>
        <v>0</v>
      </c>
      <c r="Q29" s="379"/>
      <c r="R29" s="380"/>
      <c r="T29" s="116" t="str">
        <f t="shared" ca="1" si="5"/>
        <v/>
      </c>
      <c r="U29" s="169" t="str">
        <f t="shared" ca="1" si="6"/>
        <v/>
      </c>
      <c r="V29" s="170" t="str">
        <f ca="1">IF(AND($W29&gt;0,RegimeExecucao="Unitário"),$F29,"")</f>
        <v/>
      </c>
      <c r="W29" s="544">
        <f ca="1">IF($Y29&gt;0,CHOOSE(MATCH(RegimeExecucao,{"Unitário","Global"},0),IF($A29="S",$Y29/$X29,""),($Y29/$X29)*100),0)</f>
        <v>0</v>
      </c>
      <c r="X29" s="381" t="str">
        <f ca="1">IF($Y29&gt;0,CHOOSE(MATCH(RegimeExecucao,{"Unitário","Global"},0),IF($A29="S",ROUND($H29,ORÇAMENTO!$AF$10),""),ROUND($I29,ORÇAMENTO!$AF$11)),"")</f>
        <v/>
      </c>
      <c r="Y29" s="381">
        <f t="shared" ca="1" si="7"/>
        <v>0</v>
      </c>
      <c r="Z29" s="569"/>
      <c r="AB29" s="379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380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38.25" x14ac:dyDescent="0.2">
      <c r="A30" t="str">
        <f ca="1">ORÇAMENTO!C30</f>
        <v>S</v>
      </c>
      <c r="B30">
        <f ca="1">ORÇAMENTO!D30</f>
        <v>0</v>
      </c>
      <c r="C30" s="113" t="str">
        <f t="shared" ca="1" si="1"/>
        <v/>
      </c>
      <c r="D30" s="116" t="str">
        <f ca="1">ORÇAMENTO!O30</f>
        <v>-</v>
      </c>
      <c r="E30" s="169" t="str">
        <f t="shared" ca="1" si="2"/>
        <v>(abra o arquivo 'Referência 10-2024.xlsm)</v>
      </c>
      <c r="F30" s="170" t="str">
        <f ca="1">IF(RegimeExecucao="Global","",ORÇAMENTO.Unidade)</f>
        <v>-</v>
      </c>
      <c r="G30" s="121">
        <f ca="1">IF(RegimeExecucao="Global","",ORÇAMENTO!T30)</f>
        <v>1.92</v>
      </c>
      <c r="H30" s="121">
        <f ca="1">IF(RegimeExecucao="Global","",ORÇAMENTO!W30)</f>
        <v>0</v>
      </c>
      <c r="I30" s="124">
        <f ca="1">ORÇAMENTO!X30</f>
        <v>0</v>
      </c>
      <c r="J30" s="375">
        <f ca="1">IF($A30="S",IF(CAIXA.Modo,BM.AFAnterior,BM.MEDAnterior),IF(AND(RegimeExecucao="Global",$I30&gt;0,COUNTIF($AB$13:$AM$13,BM.medicao-1)&gt;0),M30/$I30*100,0))</f>
        <v>0</v>
      </c>
      <c r="K30" s="121">
        <f t="shared" ca="1" si="3"/>
        <v>0</v>
      </c>
      <c r="L30" s="376">
        <f ca="1">IF($A30="S",IF(CAIXA.Modo,BM.AFAcumulado,BM.MEDAcumulado),IF(AND(RegimeExecucao="Global",$I30&gt;0,COUNTIF($AB$13:$AM$13,BM.medicao)&gt;0),O30/$I30*100,0))</f>
        <v>0</v>
      </c>
      <c r="M30" s="377">
        <f ca="1">IF($A30="S",VTOTALBM,IF($A30=0,0,ROUND(SomaAgrupBM,15-13*ORÇAMENTO!$AF$11)))</f>
        <v>0</v>
      </c>
      <c r="N30" s="378">
        <f t="shared" ca="1" si="4"/>
        <v>0</v>
      </c>
      <c r="O30" s="124">
        <f ca="1">IF($A30="S",VTOTALBM,IF($A30=0,0,ROUND(SomaAgrupBM,15-13*ORÇAMENTO!$AF$11)))</f>
        <v>0</v>
      </c>
      <c r="Q30" s="379"/>
      <c r="R30" s="380"/>
      <c r="T30" s="116" t="str">
        <f t="shared" ca="1" si="5"/>
        <v/>
      </c>
      <c r="U30" s="169" t="str">
        <f t="shared" ca="1" si="6"/>
        <v/>
      </c>
      <c r="V30" s="170" t="str">
        <f ca="1">IF(AND($W30&gt;0,RegimeExecucao="Unitário"),$F30,"")</f>
        <v/>
      </c>
      <c r="W30" s="544">
        <f ca="1">IF($Y30&gt;0,CHOOSE(MATCH(RegimeExecucao,{"Unitário","Global"},0),IF($A30="S",$Y30/$X30,""),($Y30/$X30)*100),0)</f>
        <v>0</v>
      </c>
      <c r="X30" s="381" t="str">
        <f ca="1">IF($Y30&gt;0,CHOOSE(MATCH(RegimeExecucao,{"Unitário","Global"},0),IF($A30="S",ROUND($H30,ORÇAMENTO!$AF$10),""),ROUND($I30,ORÇAMENTO!$AF$11)),"")</f>
        <v/>
      </c>
      <c r="Y30" s="381">
        <f t="shared" ca="1" si="7"/>
        <v>0</v>
      </c>
      <c r="Z30" s="569"/>
      <c r="AB30" s="379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380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13" t="str">
        <f t="shared" ca="1" si="1"/>
        <v/>
      </c>
      <c r="D31" s="116" t="str">
        <f ca="1">ORÇAMENTO!O31</f>
        <v>-</v>
      </c>
      <c r="E31" s="169" t="str">
        <f t="shared" ca="1" si="2"/>
        <v>(abra o arquivo 'Referência 10-2024.xlsm)</v>
      </c>
      <c r="F31" s="170" t="str">
        <f ca="1">IF(RegimeExecucao="Global","",ORÇAMENTO.Unidade)</f>
        <v>-</v>
      </c>
      <c r="G31" s="121">
        <f ca="1">IF(RegimeExecucao="Global","",ORÇAMENTO!T31)</f>
        <v>8</v>
      </c>
      <c r="H31" s="121">
        <f ca="1">IF(RegimeExecucao="Global","",ORÇAMENTO!W31)</f>
        <v>0</v>
      </c>
      <c r="I31" s="124">
        <f ca="1">ORÇAMENTO!X31</f>
        <v>0</v>
      </c>
      <c r="J31" s="375">
        <f ca="1">IF($A31="S",IF(CAIXA.Modo,BM.AFAnterior,BM.MEDAnterior),IF(AND(RegimeExecucao="Global",$I31&gt;0,COUNTIF($AB$13:$AM$13,BM.medicao-1)&gt;0),M31/$I31*100,0))</f>
        <v>0</v>
      </c>
      <c r="K31" s="121">
        <f t="shared" ca="1" si="3"/>
        <v>0</v>
      </c>
      <c r="L31" s="376">
        <f ca="1">IF($A31="S",IF(CAIXA.Modo,BM.AFAcumulado,BM.MEDAcumulado),IF(AND(RegimeExecucao="Global",$I31&gt;0,COUNTIF($AB$13:$AM$13,BM.medicao)&gt;0),O31/$I31*100,0))</f>
        <v>0</v>
      </c>
      <c r="M31" s="377">
        <f ca="1">IF($A31="S",VTOTALBM,IF($A31=0,0,ROUND(SomaAgrupBM,15-13*ORÇAMENTO!$AF$11)))</f>
        <v>0</v>
      </c>
      <c r="N31" s="378">
        <f t="shared" ca="1" si="4"/>
        <v>0</v>
      </c>
      <c r="O31" s="124">
        <f ca="1">IF($A31="S",VTOTALBM,IF($A31=0,0,ROUND(SomaAgrupBM,15-13*ORÇAMENTO!$AF$11)))</f>
        <v>0</v>
      </c>
      <c r="Q31" s="379"/>
      <c r="R31" s="380"/>
      <c r="T31" s="116" t="str">
        <f t="shared" ca="1" si="5"/>
        <v/>
      </c>
      <c r="U31" s="169" t="str">
        <f t="shared" ca="1" si="6"/>
        <v/>
      </c>
      <c r="V31" s="170" t="str">
        <f ca="1">IF(AND($W31&gt;0,RegimeExecucao="Unitário"),$F31,"")</f>
        <v/>
      </c>
      <c r="W31" s="544">
        <f ca="1">IF($Y31&gt;0,CHOOSE(MATCH(RegimeExecucao,{"Unitário","Global"},0),IF($A31="S",$Y31/$X31,""),($Y31/$X31)*100),0)</f>
        <v>0</v>
      </c>
      <c r="X31" s="381" t="str">
        <f ca="1">IF($Y31&gt;0,CHOOSE(MATCH(RegimeExecucao,{"Unitário","Global"},0),IF($A31="S",ROUND($H31,ORÇAMENTO!$AF$10),""),ROUND($I31,ORÇAMENTO!$AF$11)),"")</f>
        <v/>
      </c>
      <c r="Y31" s="381">
        <f t="shared" ca="1" si="7"/>
        <v>0</v>
      </c>
      <c r="Z31" s="569"/>
      <c r="AB31" s="379"/>
      <c r="AC31" s="513"/>
      <c r="AD31" s="513"/>
      <c r="AE31" s="513"/>
      <c r="AF31" s="513"/>
      <c r="AG31" s="513"/>
      <c r="AH31" s="513"/>
      <c r="AI31" s="513"/>
      <c r="AJ31" s="513"/>
      <c r="AK31" s="513"/>
      <c r="AL31" s="513"/>
      <c r="AM31" s="380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38.25" x14ac:dyDescent="0.2">
      <c r="A32" t="str">
        <f ca="1">ORÇAMENTO!C32</f>
        <v>S</v>
      </c>
      <c r="B32">
        <f ca="1">ORÇAMENTO!D32</f>
        <v>0</v>
      </c>
      <c r="C32" s="113" t="str">
        <f t="shared" ca="1" si="1"/>
        <v/>
      </c>
      <c r="D32" s="116" t="str">
        <f ca="1">ORÇAMENTO!O32</f>
        <v>-</v>
      </c>
      <c r="E32" s="169" t="str">
        <f t="shared" ca="1" si="2"/>
        <v>(abra o arquivo 'Referência 10-2024.xlsm)</v>
      </c>
      <c r="F32" s="170" t="str">
        <f ca="1">IF(RegimeExecucao="Global","",ORÇAMENTO.Unidade)</f>
        <v>-</v>
      </c>
      <c r="G32" s="121">
        <f ca="1">IF(RegimeExecucao="Global","",ORÇAMENTO!T32)</f>
        <v>97.77</v>
      </c>
      <c r="H32" s="121">
        <f ca="1">IF(RegimeExecucao="Global","",ORÇAMENTO!W32)</f>
        <v>0</v>
      </c>
      <c r="I32" s="124">
        <f ca="1">ORÇAMENTO!X32</f>
        <v>0</v>
      </c>
      <c r="J32" s="375">
        <f ca="1">IF($A32="S",IF(CAIXA.Modo,BM.AFAnterior,BM.MEDAnterior),IF(AND(RegimeExecucao="Global",$I32&gt;0,COUNTIF($AB$13:$AM$13,BM.medicao-1)&gt;0),M32/$I32*100,0))</f>
        <v>0</v>
      </c>
      <c r="K32" s="121">
        <f t="shared" ca="1" si="3"/>
        <v>0</v>
      </c>
      <c r="L32" s="376">
        <f ca="1">IF($A32="S",IF(CAIXA.Modo,BM.AFAcumulado,BM.MEDAcumulado),IF(AND(RegimeExecucao="Global",$I32&gt;0,COUNTIF($AB$13:$AM$13,BM.medicao)&gt;0),O32/$I32*100,0))</f>
        <v>0</v>
      </c>
      <c r="M32" s="377">
        <f ca="1">IF($A32="S",VTOTALBM,IF($A32=0,0,ROUND(SomaAgrupBM,15-13*ORÇAMENTO!$AF$11)))</f>
        <v>0</v>
      </c>
      <c r="N32" s="378">
        <f t="shared" ca="1" si="4"/>
        <v>0</v>
      </c>
      <c r="O32" s="124">
        <f ca="1">IF($A32="S",VTOTALBM,IF($A32=0,0,ROUND(SomaAgrupBM,15-13*ORÇAMENTO!$AF$11)))</f>
        <v>0</v>
      </c>
      <c r="Q32" s="379"/>
      <c r="R32" s="380"/>
      <c r="T32" s="116" t="str">
        <f t="shared" ca="1" si="5"/>
        <v/>
      </c>
      <c r="U32" s="169" t="str">
        <f t="shared" ca="1" si="6"/>
        <v/>
      </c>
      <c r="V32" s="170" t="str">
        <f ca="1">IF(AND($W32&gt;0,RegimeExecucao="Unitário"),$F32,"")</f>
        <v/>
      </c>
      <c r="W32" s="544">
        <f ca="1">IF($Y32&gt;0,CHOOSE(MATCH(RegimeExecucao,{"Unitário","Global"},0),IF($A32="S",$Y32/$X32,""),($Y32/$X32)*100),0)</f>
        <v>0</v>
      </c>
      <c r="X32" s="381" t="str">
        <f ca="1">IF($Y32&gt;0,CHOOSE(MATCH(RegimeExecucao,{"Unitário","Global"},0),IF($A32="S",ROUND($H32,ORÇAMENTO!$AF$10),""),ROUND($I32,ORÇAMENTO!$AF$11)),"")</f>
        <v/>
      </c>
      <c r="Y32" s="381">
        <f t="shared" ca="1" si="7"/>
        <v>0</v>
      </c>
      <c r="Z32" s="569"/>
      <c r="AB32" s="379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380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ht="38.25" x14ac:dyDescent="0.2">
      <c r="A33" t="str">
        <f ca="1">ORÇAMENTO!C33</f>
        <v>S</v>
      </c>
      <c r="B33">
        <f ca="1">ORÇAMENTO!D33</f>
        <v>0</v>
      </c>
      <c r="C33" s="113" t="str">
        <f t="shared" ca="1" si="1"/>
        <v/>
      </c>
      <c r="D33" s="116" t="str">
        <f ca="1">ORÇAMENTO!O33</f>
        <v>-</v>
      </c>
      <c r="E33" s="169" t="str">
        <f t="shared" ca="1" si="2"/>
        <v>(abra o arquivo 'Referência 10-2024.xlsm)</v>
      </c>
      <c r="F33" s="170" t="str">
        <f ca="1">IF(RegimeExecucao="Global","",ORÇAMENTO.Unidade)</f>
        <v>-</v>
      </c>
      <c r="G33" s="121">
        <f ca="1">IF(RegimeExecucao="Global","",ORÇAMENTO!T33)</f>
        <v>6.4</v>
      </c>
      <c r="H33" s="121">
        <f ca="1">IF(RegimeExecucao="Global","",ORÇAMENTO!W33)</f>
        <v>0</v>
      </c>
      <c r="I33" s="124">
        <f ca="1">ORÇAMENTO!X33</f>
        <v>0</v>
      </c>
      <c r="J33" s="375">
        <f ca="1">IF($A33="S",IF(CAIXA.Modo,BM.AFAnterior,BM.MEDAnterior),IF(AND(RegimeExecucao="Global",$I33&gt;0,COUNTIF($AB$13:$AM$13,BM.medicao-1)&gt;0),M33/$I33*100,0))</f>
        <v>0</v>
      </c>
      <c r="K33" s="121">
        <f t="shared" ca="1" si="3"/>
        <v>0</v>
      </c>
      <c r="L33" s="376">
        <f ca="1">IF($A33="S",IF(CAIXA.Modo,BM.AFAcumulado,BM.MEDAcumulado),IF(AND(RegimeExecucao="Global",$I33&gt;0,COUNTIF($AB$13:$AM$13,BM.medicao)&gt;0),O33/$I33*100,0))</f>
        <v>0</v>
      </c>
      <c r="M33" s="377">
        <f ca="1">IF($A33="S",VTOTALBM,IF($A33=0,0,ROUND(SomaAgrupBM,15-13*ORÇAMENTO!$AF$11)))</f>
        <v>0</v>
      </c>
      <c r="N33" s="378">
        <f t="shared" ca="1" si="4"/>
        <v>0</v>
      </c>
      <c r="O33" s="124">
        <f ca="1">IF($A33="S",VTOTALBM,IF($A33=0,0,ROUND(SomaAgrupBM,15-13*ORÇAMENTO!$AF$11)))</f>
        <v>0</v>
      </c>
      <c r="Q33" s="379"/>
      <c r="R33" s="380"/>
      <c r="T33" s="116" t="str">
        <f t="shared" ca="1" si="5"/>
        <v/>
      </c>
      <c r="U33" s="169" t="str">
        <f t="shared" ca="1" si="6"/>
        <v/>
      </c>
      <c r="V33" s="170" t="str">
        <f ca="1">IF(AND($W33&gt;0,RegimeExecucao="Unitário"),$F33,"")</f>
        <v/>
      </c>
      <c r="W33" s="544">
        <f ca="1">IF($Y33&gt;0,CHOOSE(MATCH(RegimeExecucao,{"Unitário","Global"},0),IF($A33="S",$Y33/$X33,""),($Y33/$X33)*100),0)</f>
        <v>0</v>
      </c>
      <c r="X33" s="381" t="str">
        <f ca="1">IF($Y33&gt;0,CHOOSE(MATCH(RegimeExecucao,{"Unitário","Global"},0),IF($A33="S",ROUND($H33,ORÇAMENTO!$AF$10),""),ROUND($I33,ORÇAMENTO!$AF$11)),"")</f>
        <v/>
      </c>
      <c r="Y33" s="381">
        <f t="shared" ca="1" si="7"/>
        <v>0</v>
      </c>
      <c r="Z33" s="569"/>
      <c r="AB33" s="379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380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ht="25.5" x14ac:dyDescent="0.2">
      <c r="A34" t="str">
        <f ca="1">ORÇAMENTO!C34</f>
        <v>S</v>
      </c>
      <c r="B34">
        <f ca="1">ORÇAMENTO!D34</f>
        <v>0</v>
      </c>
      <c r="C34" s="113" t="str">
        <f t="shared" ca="1" si="1"/>
        <v/>
      </c>
      <c r="D34" s="116" t="str">
        <f ca="1">ORÇAMENTO!O34</f>
        <v>-</v>
      </c>
      <c r="E34" s="169" t="str">
        <f t="shared" ca="1" si="2"/>
        <v>(abra o arquivo 'Referência 10-2024.xlsm)</v>
      </c>
      <c r="F34" s="170" t="str">
        <f ca="1">IF(RegimeExecucao="Global","",ORÇAMENTO.Unidade)</f>
        <v>-</v>
      </c>
      <c r="G34" s="121">
        <f ca="1">IF(RegimeExecucao="Global","",ORÇAMENTO!T34)</f>
        <v>3.74</v>
      </c>
      <c r="H34" s="121">
        <f ca="1">IF(RegimeExecucao="Global","",ORÇAMENTO!W34)</f>
        <v>0</v>
      </c>
      <c r="I34" s="124">
        <f ca="1">ORÇAMENTO!X34</f>
        <v>0</v>
      </c>
      <c r="J34" s="375">
        <f ca="1">IF($A34="S",IF(CAIXA.Modo,BM.AFAnterior,BM.MEDAnterior),IF(AND(RegimeExecucao="Global",$I34&gt;0,COUNTIF($AB$13:$AM$13,BM.medicao-1)&gt;0),M34/$I34*100,0))</f>
        <v>0</v>
      </c>
      <c r="K34" s="121">
        <f t="shared" ca="1" si="3"/>
        <v>0</v>
      </c>
      <c r="L34" s="376">
        <f ca="1">IF($A34="S",IF(CAIXA.Modo,BM.AFAcumulado,BM.MEDAcumulado),IF(AND(RegimeExecucao="Global",$I34&gt;0,COUNTIF($AB$13:$AM$13,BM.medicao)&gt;0),O34/$I34*100,0))</f>
        <v>0</v>
      </c>
      <c r="M34" s="377">
        <f ca="1">IF($A34="S",VTOTALBM,IF($A34=0,0,ROUND(SomaAgrupBM,15-13*ORÇAMENTO!$AF$11)))</f>
        <v>0</v>
      </c>
      <c r="N34" s="378">
        <f t="shared" ca="1" si="4"/>
        <v>0</v>
      </c>
      <c r="O34" s="124">
        <f ca="1">IF($A34="S",VTOTALBM,IF($A34=0,0,ROUND(SomaAgrupBM,15-13*ORÇAMENTO!$AF$11)))</f>
        <v>0</v>
      </c>
      <c r="Q34" s="379"/>
      <c r="R34" s="380"/>
      <c r="T34" s="116" t="str">
        <f t="shared" ca="1" si="5"/>
        <v/>
      </c>
      <c r="U34" s="169" t="str">
        <f t="shared" ca="1" si="6"/>
        <v/>
      </c>
      <c r="V34" s="170" t="str">
        <f ca="1">IF(AND($W34&gt;0,RegimeExecucao="Unitário"),$F34,"")</f>
        <v/>
      </c>
      <c r="W34" s="544">
        <f ca="1">IF($Y34&gt;0,CHOOSE(MATCH(RegimeExecucao,{"Unitário","Global"},0),IF($A34="S",$Y34/$X34,""),($Y34/$X34)*100),0)</f>
        <v>0</v>
      </c>
      <c r="X34" s="381" t="str">
        <f ca="1">IF($Y34&gt;0,CHOOSE(MATCH(RegimeExecucao,{"Unitário","Global"},0),IF($A34="S",ROUND($H34,ORÇAMENTO!$AF$10),""),ROUND($I34,ORÇAMENTO!$AF$11)),"")</f>
        <v/>
      </c>
      <c r="Y34" s="381">
        <f t="shared" ca="1" si="7"/>
        <v>0</v>
      </c>
      <c r="Z34" s="569"/>
      <c r="AB34" s="379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380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25.5" x14ac:dyDescent="0.2">
      <c r="A35" t="str">
        <f ca="1">ORÇAMENTO!C35</f>
        <v>S</v>
      </c>
      <c r="B35">
        <f ca="1">ORÇAMENTO!D35</f>
        <v>0</v>
      </c>
      <c r="C35" s="113" t="str">
        <f t="shared" ca="1" si="1"/>
        <v/>
      </c>
      <c r="D35" s="116" t="str">
        <f ca="1">ORÇAMENTO!O35</f>
        <v>-</v>
      </c>
      <c r="E35" s="169" t="str">
        <f t="shared" ca="1" si="2"/>
        <v>(abra o arquivo 'Referência 10-2024.xlsm)</v>
      </c>
      <c r="F35" s="170" t="str">
        <f ca="1">IF(RegimeExecucao="Global","",ORÇAMENTO.Unidade)</f>
        <v>-</v>
      </c>
      <c r="G35" s="121">
        <f ca="1">IF(RegimeExecucao="Global","",ORÇAMENTO!T35)</f>
        <v>5.12</v>
      </c>
      <c r="H35" s="121">
        <f ca="1">IF(RegimeExecucao="Global","",ORÇAMENTO!W35)</f>
        <v>0</v>
      </c>
      <c r="I35" s="124">
        <f ca="1">ORÇAMENTO!X35</f>
        <v>0</v>
      </c>
      <c r="J35" s="375">
        <f ca="1">IF($A35="S",IF(CAIXA.Modo,BM.AFAnterior,BM.MEDAnterior),IF(AND(RegimeExecucao="Global",$I35&gt;0,COUNTIF($AB$13:$AM$13,BM.medicao-1)&gt;0),M35/$I35*100,0))</f>
        <v>0</v>
      </c>
      <c r="K35" s="121">
        <f t="shared" ca="1" si="3"/>
        <v>0</v>
      </c>
      <c r="L35" s="376">
        <f ca="1">IF($A35="S",IF(CAIXA.Modo,BM.AFAcumulado,BM.MEDAcumulado),IF(AND(RegimeExecucao="Global",$I35&gt;0,COUNTIF($AB$13:$AM$13,BM.medicao)&gt;0),O35/$I35*100,0))</f>
        <v>0</v>
      </c>
      <c r="M35" s="377">
        <f ca="1">IF($A35="S",VTOTALBM,IF($A35=0,0,ROUND(SomaAgrupBM,15-13*ORÇAMENTO!$AF$11)))</f>
        <v>0</v>
      </c>
      <c r="N35" s="378">
        <f t="shared" ca="1" si="4"/>
        <v>0</v>
      </c>
      <c r="O35" s="124">
        <f ca="1">IF($A35="S",VTOTALBM,IF($A35=0,0,ROUND(SomaAgrupBM,15-13*ORÇAMENTO!$AF$11)))</f>
        <v>0</v>
      </c>
      <c r="Q35" s="379"/>
      <c r="R35" s="380"/>
      <c r="T35" s="116" t="str">
        <f t="shared" ca="1" si="5"/>
        <v/>
      </c>
      <c r="U35" s="169" t="str">
        <f t="shared" ca="1" si="6"/>
        <v/>
      </c>
      <c r="V35" s="170" t="str">
        <f ca="1">IF(AND($W35&gt;0,RegimeExecucao="Unitário"),$F35,"")</f>
        <v/>
      </c>
      <c r="W35" s="544">
        <f ca="1">IF($Y35&gt;0,CHOOSE(MATCH(RegimeExecucao,{"Unitário","Global"},0),IF($A35="S",$Y35/$X35,""),($Y35/$X35)*100),0)</f>
        <v>0</v>
      </c>
      <c r="X35" s="381" t="str">
        <f ca="1">IF($Y35&gt;0,CHOOSE(MATCH(RegimeExecucao,{"Unitário","Global"},0),IF($A35="S",ROUND($H35,ORÇAMENTO!$AF$10),""),ROUND($I35,ORÇAMENTO!$AF$11)),"")</f>
        <v/>
      </c>
      <c r="Y35" s="381">
        <f t="shared" ca="1" si="7"/>
        <v>0</v>
      </c>
      <c r="Z35" s="569"/>
      <c r="AB35" s="379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380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25.5" x14ac:dyDescent="0.2">
      <c r="A36" t="str">
        <f ca="1">ORÇAMENTO!C36</f>
        <v>S</v>
      </c>
      <c r="B36">
        <f ca="1">ORÇAMENTO!D36</f>
        <v>0</v>
      </c>
      <c r="C36" s="113" t="str">
        <f t="shared" ca="1" si="1"/>
        <v/>
      </c>
      <c r="D36" s="116" t="str">
        <f ca="1">ORÇAMENTO!O36</f>
        <v>-</v>
      </c>
      <c r="E36" s="169" t="str">
        <f t="shared" ca="1" si="2"/>
        <v>(abra o arquivo 'Referência 10-2024.xlsm)</v>
      </c>
      <c r="F36" s="170" t="str">
        <f ca="1">IF(RegimeExecucao="Global","",ORÇAMENTO.Unidade)</f>
        <v>-</v>
      </c>
      <c r="G36" s="121">
        <f ca="1">IF(RegimeExecucao="Global","",ORÇAMENTO!T36)</f>
        <v>41.34</v>
      </c>
      <c r="H36" s="121">
        <f ca="1">IF(RegimeExecucao="Global","",ORÇAMENTO!W36)</f>
        <v>0</v>
      </c>
      <c r="I36" s="124">
        <f ca="1">ORÇAMENTO!X36</f>
        <v>0</v>
      </c>
      <c r="J36" s="375">
        <f ca="1">IF($A36="S",IF(CAIXA.Modo,BM.AFAnterior,BM.MEDAnterior),IF(AND(RegimeExecucao="Global",$I36&gt;0,COUNTIF($AB$13:$AM$13,BM.medicao-1)&gt;0),M36/$I36*100,0))</f>
        <v>0</v>
      </c>
      <c r="K36" s="121">
        <f t="shared" ca="1" si="3"/>
        <v>0</v>
      </c>
      <c r="L36" s="376">
        <f ca="1">IF($A36="S",IF(CAIXA.Modo,BM.AFAcumulado,BM.MEDAcumulado),IF(AND(RegimeExecucao="Global",$I36&gt;0,COUNTIF($AB$13:$AM$13,BM.medicao)&gt;0),O36/$I36*100,0))</f>
        <v>0</v>
      </c>
      <c r="M36" s="377">
        <f ca="1">IF($A36="S",VTOTALBM,IF($A36=0,0,ROUND(SomaAgrupBM,15-13*ORÇAMENTO!$AF$11)))</f>
        <v>0</v>
      </c>
      <c r="N36" s="378">
        <f t="shared" ca="1" si="4"/>
        <v>0</v>
      </c>
      <c r="O36" s="124">
        <f ca="1">IF($A36="S",VTOTALBM,IF($A36=0,0,ROUND(SomaAgrupBM,15-13*ORÇAMENTO!$AF$11)))</f>
        <v>0</v>
      </c>
      <c r="Q36" s="379"/>
      <c r="R36" s="380"/>
      <c r="T36" s="116" t="str">
        <f t="shared" ca="1" si="5"/>
        <v/>
      </c>
      <c r="U36" s="169" t="str">
        <f t="shared" ca="1" si="6"/>
        <v/>
      </c>
      <c r="V36" s="170" t="str">
        <f ca="1">IF(AND($W36&gt;0,RegimeExecucao="Unitário"),$F36,"")</f>
        <v/>
      </c>
      <c r="W36" s="544">
        <f ca="1">IF($Y36&gt;0,CHOOSE(MATCH(RegimeExecucao,{"Unitário","Global"},0),IF($A36="S",$Y36/$X36,""),($Y36/$X36)*100),0)</f>
        <v>0</v>
      </c>
      <c r="X36" s="381" t="str">
        <f ca="1">IF($Y36&gt;0,CHOOSE(MATCH(RegimeExecucao,{"Unitário","Global"},0),IF($A36="S",ROUND($H36,ORÇAMENTO!$AF$10),""),ROUND($I36,ORÇAMENTO!$AF$11)),"")</f>
        <v/>
      </c>
      <c r="Y36" s="381">
        <f t="shared" ca="1" si="7"/>
        <v>0</v>
      </c>
      <c r="Z36" s="569"/>
      <c r="AB36" s="379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380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38.25" x14ac:dyDescent="0.2">
      <c r="A37" t="str">
        <f ca="1">ORÇAMENTO!C37</f>
        <v>S</v>
      </c>
      <c r="B37">
        <f ca="1">ORÇAMENTO!D37</f>
        <v>0</v>
      </c>
      <c r="C37" s="113" t="str">
        <f t="shared" ca="1" si="1"/>
        <v/>
      </c>
      <c r="D37" s="116" t="str">
        <f ca="1">ORÇAMENTO!O37</f>
        <v>-</v>
      </c>
      <c r="E37" s="169" t="str">
        <f t="shared" ca="1" si="2"/>
        <v>(abra o arquivo 'Referência 10-2024.xlsm)</v>
      </c>
      <c r="F37" s="170" t="str">
        <f ca="1">IF(RegimeExecucao="Global","",ORÇAMENTO.Unidade)</f>
        <v>-</v>
      </c>
      <c r="G37" s="121">
        <f ca="1">IF(RegimeExecucao="Global","",ORÇAMENTO!T37)</f>
        <v>29.82</v>
      </c>
      <c r="H37" s="121">
        <f ca="1">IF(RegimeExecucao="Global","",ORÇAMENTO!W37)</f>
        <v>0</v>
      </c>
      <c r="I37" s="124">
        <f ca="1">ORÇAMENTO!X37</f>
        <v>0</v>
      </c>
      <c r="J37" s="375">
        <f ca="1">IF($A37="S",IF(CAIXA.Modo,BM.AFAnterior,BM.MEDAnterior),IF(AND(RegimeExecucao="Global",$I37&gt;0,COUNTIF($AB$13:$AM$13,BM.medicao-1)&gt;0),M37/$I37*100,0))</f>
        <v>0</v>
      </c>
      <c r="K37" s="121">
        <f t="shared" ca="1" si="3"/>
        <v>0</v>
      </c>
      <c r="L37" s="376">
        <f ca="1">IF($A37="S",IF(CAIXA.Modo,BM.AFAcumulado,BM.MEDAcumulado),IF(AND(RegimeExecucao="Global",$I37&gt;0,COUNTIF($AB$13:$AM$13,BM.medicao)&gt;0),O37/$I37*100,0))</f>
        <v>0</v>
      </c>
      <c r="M37" s="377">
        <f ca="1">IF($A37="S",VTOTALBM,IF($A37=0,0,ROUND(SomaAgrupBM,15-13*ORÇAMENTO!$AF$11)))</f>
        <v>0</v>
      </c>
      <c r="N37" s="378">
        <f t="shared" ca="1" si="4"/>
        <v>0</v>
      </c>
      <c r="O37" s="124">
        <f ca="1">IF($A37="S",VTOTALBM,IF($A37=0,0,ROUND(SomaAgrupBM,15-13*ORÇAMENTO!$AF$11)))</f>
        <v>0</v>
      </c>
      <c r="Q37" s="379"/>
      <c r="R37" s="380"/>
      <c r="T37" s="116" t="str">
        <f t="shared" ca="1" si="5"/>
        <v/>
      </c>
      <c r="U37" s="169" t="str">
        <f t="shared" ca="1" si="6"/>
        <v/>
      </c>
      <c r="V37" s="170" t="str">
        <f ca="1">IF(AND($W37&gt;0,RegimeExecucao="Unitário"),$F37,"")</f>
        <v/>
      </c>
      <c r="W37" s="544">
        <f ca="1">IF($Y37&gt;0,CHOOSE(MATCH(RegimeExecucao,{"Unitário","Global"},0),IF($A37="S",$Y37/$X37,""),($Y37/$X37)*100),0)</f>
        <v>0</v>
      </c>
      <c r="X37" s="381" t="str">
        <f ca="1">IF($Y37&gt;0,CHOOSE(MATCH(RegimeExecucao,{"Unitário","Global"},0),IF($A37="S",ROUND($H37,ORÇAMENTO!$AF$10),""),ROUND($I37,ORÇAMENTO!$AF$11)),"")</f>
        <v/>
      </c>
      <c r="Y37" s="381">
        <f t="shared" ca="1" si="7"/>
        <v>0</v>
      </c>
      <c r="Z37" s="569"/>
      <c r="AB37" s="379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380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38.25" x14ac:dyDescent="0.2">
      <c r="A38" t="str">
        <f ca="1">ORÇAMENTO!C38</f>
        <v>S</v>
      </c>
      <c r="B38">
        <f ca="1">ORÇAMENTO!D38</f>
        <v>0</v>
      </c>
      <c r="C38" s="113" t="str">
        <f t="shared" ca="1" si="1"/>
        <v/>
      </c>
      <c r="D38" s="116" t="str">
        <f ca="1">ORÇAMENTO!O38</f>
        <v>-</v>
      </c>
      <c r="E38" s="169" t="str">
        <f t="shared" ca="1" si="2"/>
        <v>(abra o arquivo 'Referência 10-2024.xlsm)</v>
      </c>
      <c r="F38" s="170" t="str">
        <f ca="1">IF(RegimeExecucao="Global","",ORÇAMENTO.Unidade)</f>
        <v>-</v>
      </c>
      <c r="G38" s="121">
        <f ca="1">IF(RegimeExecucao="Global","",ORÇAMENTO!T38)</f>
        <v>45.76</v>
      </c>
      <c r="H38" s="121">
        <f ca="1">IF(RegimeExecucao="Global","",ORÇAMENTO!W38)</f>
        <v>0</v>
      </c>
      <c r="I38" s="124">
        <f ca="1">ORÇAMENTO!X38</f>
        <v>0</v>
      </c>
      <c r="J38" s="375">
        <f ca="1">IF($A38="S",IF(CAIXA.Modo,BM.AFAnterior,BM.MEDAnterior),IF(AND(RegimeExecucao="Global",$I38&gt;0,COUNTIF($AB$13:$AM$13,BM.medicao-1)&gt;0),M38/$I38*100,0))</f>
        <v>0</v>
      </c>
      <c r="K38" s="121">
        <f t="shared" ca="1" si="3"/>
        <v>0</v>
      </c>
      <c r="L38" s="376">
        <f ca="1">IF($A38="S",IF(CAIXA.Modo,BM.AFAcumulado,BM.MEDAcumulado),IF(AND(RegimeExecucao="Global",$I38&gt;0,COUNTIF($AB$13:$AM$13,BM.medicao)&gt;0),O38/$I38*100,0))</f>
        <v>0</v>
      </c>
      <c r="M38" s="377">
        <f ca="1">IF($A38="S",VTOTALBM,IF($A38=0,0,ROUND(SomaAgrupBM,15-13*ORÇAMENTO!$AF$11)))</f>
        <v>0</v>
      </c>
      <c r="N38" s="378">
        <f t="shared" ca="1" si="4"/>
        <v>0</v>
      </c>
      <c r="O38" s="124">
        <f ca="1">IF($A38="S",VTOTALBM,IF($A38=0,0,ROUND(SomaAgrupBM,15-13*ORÇAMENTO!$AF$11)))</f>
        <v>0</v>
      </c>
      <c r="Q38" s="379"/>
      <c r="R38" s="380"/>
      <c r="T38" s="116" t="str">
        <f t="shared" ca="1" si="5"/>
        <v/>
      </c>
      <c r="U38" s="169" t="str">
        <f t="shared" ca="1" si="6"/>
        <v/>
      </c>
      <c r="V38" s="170" t="str">
        <f ca="1">IF(AND($W38&gt;0,RegimeExecucao="Unitário"),$F38,"")</f>
        <v/>
      </c>
      <c r="W38" s="544">
        <f ca="1">IF($Y38&gt;0,CHOOSE(MATCH(RegimeExecucao,{"Unitário","Global"},0),IF($A38="S",$Y38/$X38,""),($Y38/$X38)*100),0)</f>
        <v>0</v>
      </c>
      <c r="X38" s="381" t="str">
        <f ca="1">IF($Y38&gt;0,CHOOSE(MATCH(RegimeExecucao,{"Unitário","Global"},0),IF($A38="S",ROUND($H38,ORÇAMENTO!$AF$10),""),ROUND($I38,ORÇAMENTO!$AF$11)),"")</f>
        <v/>
      </c>
      <c r="Y38" s="381">
        <f t="shared" ca="1" si="7"/>
        <v>0</v>
      </c>
      <c r="Z38" s="569"/>
      <c r="AB38" s="379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380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25.5" x14ac:dyDescent="0.2">
      <c r="A39" t="str">
        <f ca="1">ORÇAMENTO!C39</f>
        <v>S</v>
      </c>
      <c r="B39">
        <f ca="1">ORÇAMENTO!D39</f>
        <v>0</v>
      </c>
      <c r="C39" s="113" t="str">
        <f t="shared" ca="1" si="1"/>
        <v/>
      </c>
      <c r="D39" s="116" t="str">
        <f ca="1">ORÇAMENTO!O39</f>
        <v>-</v>
      </c>
      <c r="E39" s="169" t="str">
        <f t="shared" ca="1" si="2"/>
        <v>(abra o arquivo 'Referência 10-2024.xlsm)</v>
      </c>
      <c r="F39" s="170" t="str">
        <f ca="1">IF(RegimeExecucao="Global","",ORÇAMENTO.Unidade)</f>
        <v>-</v>
      </c>
      <c r="G39" s="121">
        <f ca="1">IF(RegimeExecucao="Global","",ORÇAMENTO!T39)</f>
        <v>10.8</v>
      </c>
      <c r="H39" s="121">
        <f ca="1">IF(RegimeExecucao="Global","",ORÇAMENTO!W39)</f>
        <v>0</v>
      </c>
      <c r="I39" s="124">
        <f ca="1">ORÇAMENTO!X39</f>
        <v>0</v>
      </c>
      <c r="J39" s="375">
        <f ca="1">IF($A39="S",IF(CAIXA.Modo,BM.AFAnterior,BM.MEDAnterior),IF(AND(RegimeExecucao="Global",$I39&gt;0,COUNTIF($AB$13:$AM$13,BM.medicao-1)&gt;0),M39/$I39*100,0))</f>
        <v>0</v>
      </c>
      <c r="K39" s="121">
        <f t="shared" ca="1" si="3"/>
        <v>0</v>
      </c>
      <c r="L39" s="376">
        <f ca="1">IF($A39="S",IF(CAIXA.Modo,BM.AFAcumulado,BM.MEDAcumulado),IF(AND(RegimeExecucao="Global",$I39&gt;0,COUNTIF($AB$13:$AM$13,BM.medicao)&gt;0),O39/$I39*100,0))</f>
        <v>0</v>
      </c>
      <c r="M39" s="377">
        <f ca="1">IF($A39="S",VTOTALBM,IF($A39=0,0,ROUND(SomaAgrupBM,15-13*ORÇAMENTO!$AF$11)))</f>
        <v>0</v>
      </c>
      <c r="N39" s="378">
        <f t="shared" ca="1" si="4"/>
        <v>0</v>
      </c>
      <c r="O39" s="124">
        <f ca="1">IF($A39="S",VTOTALBM,IF($A39=0,0,ROUND(SomaAgrupBM,15-13*ORÇAMENTO!$AF$11)))</f>
        <v>0</v>
      </c>
      <c r="Q39" s="379"/>
      <c r="R39" s="380"/>
      <c r="T39" s="116" t="str">
        <f t="shared" ca="1" si="5"/>
        <v/>
      </c>
      <c r="U39" s="169" t="str">
        <f t="shared" ca="1" si="6"/>
        <v/>
      </c>
      <c r="V39" s="170" t="str">
        <f ca="1">IF(AND($W39&gt;0,RegimeExecucao="Unitário"),$F39,"")</f>
        <v/>
      </c>
      <c r="W39" s="544">
        <f ca="1">IF($Y39&gt;0,CHOOSE(MATCH(RegimeExecucao,{"Unitário","Global"},0),IF($A39="S",$Y39/$X39,""),($Y39/$X39)*100),0)</f>
        <v>0</v>
      </c>
      <c r="X39" s="381" t="str">
        <f ca="1">IF($Y39&gt;0,CHOOSE(MATCH(RegimeExecucao,{"Unitário","Global"},0),IF($A39="S",ROUND($H39,ORÇAMENTO!$AF$10),""),ROUND($I39,ORÇAMENTO!$AF$11)),"")</f>
        <v/>
      </c>
      <c r="Y39" s="381">
        <f t="shared" ca="1" si="7"/>
        <v>0</v>
      </c>
      <c r="Z39" s="569"/>
      <c r="AB39" s="379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380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38.25" x14ac:dyDescent="0.2">
      <c r="A40" t="str">
        <f ca="1">ORÇAMENTO!C40</f>
        <v>S</v>
      </c>
      <c r="B40">
        <f ca="1">ORÇAMENTO!D40</f>
        <v>0</v>
      </c>
      <c r="C40" s="113" t="str">
        <f t="shared" ca="1" si="1"/>
        <v/>
      </c>
      <c r="D40" s="116" t="str">
        <f ca="1">ORÇAMENTO!O40</f>
        <v>-</v>
      </c>
      <c r="E40" s="169" t="str">
        <f t="shared" ca="1" si="2"/>
        <v>(abra o arquivo 'Referência 10-2024.xlsm)</v>
      </c>
      <c r="F40" s="170" t="str">
        <f ca="1">IF(RegimeExecucao="Global","",ORÇAMENTO.Unidade)</f>
        <v>-</v>
      </c>
      <c r="G40" s="121">
        <f ca="1">IF(RegimeExecucao="Global","",ORÇAMENTO!T40)</f>
        <v>78.37</v>
      </c>
      <c r="H40" s="121">
        <f ca="1">IF(RegimeExecucao="Global","",ORÇAMENTO!W40)</f>
        <v>0</v>
      </c>
      <c r="I40" s="124">
        <f ca="1">ORÇAMENTO!X40</f>
        <v>0</v>
      </c>
      <c r="J40" s="375">
        <f ca="1">IF($A40="S",IF(CAIXA.Modo,BM.AFAnterior,BM.MEDAnterior),IF(AND(RegimeExecucao="Global",$I40&gt;0,COUNTIF($AB$13:$AM$13,BM.medicao-1)&gt;0),M40/$I40*100,0))</f>
        <v>0</v>
      </c>
      <c r="K40" s="121">
        <f t="shared" ca="1" si="3"/>
        <v>0</v>
      </c>
      <c r="L40" s="376">
        <f ca="1">IF($A40="S",IF(CAIXA.Modo,BM.AFAcumulado,BM.MEDAcumulado),IF(AND(RegimeExecucao="Global",$I40&gt;0,COUNTIF($AB$13:$AM$13,BM.medicao)&gt;0),O40/$I40*100,0))</f>
        <v>0</v>
      </c>
      <c r="M40" s="377">
        <f ca="1">IF($A40="S",VTOTALBM,IF($A40=0,0,ROUND(SomaAgrupBM,15-13*ORÇAMENTO!$AF$11)))</f>
        <v>0</v>
      </c>
      <c r="N40" s="378">
        <f t="shared" ca="1" si="4"/>
        <v>0</v>
      </c>
      <c r="O40" s="124">
        <f ca="1">IF($A40="S",VTOTALBM,IF($A40=0,0,ROUND(SomaAgrupBM,15-13*ORÇAMENTO!$AF$11)))</f>
        <v>0</v>
      </c>
      <c r="Q40" s="379"/>
      <c r="R40" s="380"/>
      <c r="T40" s="116" t="str">
        <f t="shared" ca="1" si="5"/>
        <v/>
      </c>
      <c r="U40" s="169" t="str">
        <f t="shared" ca="1" si="6"/>
        <v/>
      </c>
      <c r="V40" s="170" t="str">
        <f ca="1">IF(AND($W40&gt;0,RegimeExecucao="Unitário"),$F40,"")</f>
        <v/>
      </c>
      <c r="W40" s="544">
        <f ca="1">IF($Y40&gt;0,CHOOSE(MATCH(RegimeExecucao,{"Unitário","Global"},0),IF($A40="S",$Y40/$X40,""),($Y40/$X40)*100),0)</f>
        <v>0</v>
      </c>
      <c r="X40" s="381" t="str">
        <f ca="1">IF($Y40&gt;0,CHOOSE(MATCH(RegimeExecucao,{"Unitário","Global"},0),IF($A40="S",ROUND($H40,ORÇAMENTO!$AF$10),""),ROUND($I40,ORÇAMENTO!$AF$11)),"")</f>
        <v/>
      </c>
      <c r="Y40" s="381">
        <f t="shared" ca="1" si="7"/>
        <v>0</v>
      </c>
      <c r="Z40" s="569"/>
      <c r="AB40" s="379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380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38.25" x14ac:dyDescent="0.2">
      <c r="A41" t="str">
        <f ca="1">ORÇAMENTO!C41</f>
        <v>S</v>
      </c>
      <c r="B41">
        <f ca="1">ORÇAMENTO!D41</f>
        <v>0</v>
      </c>
      <c r="C41" s="113" t="str">
        <f t="shared" ca="1" si="1"/>
        <v/>
      </c>
      <c r="D41" s="116" t="str">
        <f ca="1">ORÇAMENTO!O41</f>
        <v>-</v>
      </c>
      <c r="E41" s="169" t="str">
        <f t="shared" ca="1" si="2"/>
        <v>(abra o arquivo 'Referência 10-2024.xlsm)</v>
      </c>
      <c r="F41" s="170" t="str">
        <f ca="1">IF(RegimeExecucao="Global","",ORÇAMENTO.Unidade)</f>
        <v>-</v>
      </c>
      <c r="G41" s="121">
        <f ca="1">IF(RegimeExecucao="Global","",ORÇAMENTO!T41)</f>
        <v>40</v>
      </c>
      <c r="H41" s="121">
        <f ca="1">IF(RegimeExecucao="Global","",ORÇAMENTO!W41)</f>
        <v>0</v>
      </c>
      <c r="I41" s="124">
        <f ca="1">ORÇAMENTO!X41</f>
        <v>0</v>
      </c>
      <c r="J41" s="375">
        <f ca="1">IF($A41="S",IF(CAIXA.Modo,BM.AFAnterior,BM.MEDAnterior),IF(AND(RegimeExecucao="Global",$I41&gt;0,COUNTIF($AB$13:$AM$13,BM.medicao-1)&gt;0),M41/$I41*100,0))</f>
        <v>0</v>
      </c>
      <c r="K41" s="121">
        <f t="shared" ca="1" si="3"/>
        <v>0</v>
      </c>
      <c r="L41" s="376">
        <f ca="1">IF($A41="S",IF(CAIXA.Modo,BM.AFAcumulado,BM.MEDAcumulado),IF(AND(RegimeExecucao="Global",$I41&gt;0,COUNTIF($AB$13:$AM$13,BM.medicao)&gt;0),O41/$I41*100,0))</f>
        <v>0</v>
      </c>
      <c r="M41" s="377">
        <f ca="1">IF($A41="S",VTOTALBM,IF($A41=0,0,ROUND(SomaAgrupBM,15-13*ORÇAMENTO!$AF$11)))</f>
        <v>0</v>
      </c>
      <c r="N41" s="378">
        <f t="shared" ca="1" si="4"/>
        <v>0</v>
      </c>
      <c r="O41" s="124">
        <f ca="1">IF($A41="S",VTOTALBM,IF($A41=0,0,ROUND(SomaAgrupBM,15-13*ORÇAMENTO!$AF$11)))</f>
        <v>0</v>
      </c>
      <c r="Q41" s="379"/>
      <c r="R41" s="380"/>
      <c r="T41" s="116" t="str">
        <f t="shared" ca="1" si="5"/>
        <v/>
      </c>
      <c r="U41" s="169" t="str">
        <f t="shared" ca="1" si="6"/>
        <v/>
      </c>
      <c r="V41" s="170" t="str">
        <f ca="1">IF(AND($W41&gt;0,RegimeExecucao="Unitário"),$F41,"")</f>
        <v/>
      </c>
      <c r="W41" s="544">
        <f ca="1">IF($Y41&gt;0,CHOOSE(MATCH(RegimeExecucao,{"Unitário","Global"},0),IF($A41="S",$Y41/$X41,""),($Y41/$X41)*100),0)</f>
        <v>0</v>
      </c>
      <c r="X41" s="381" t="str">
        <f ca="1">IF($Y41&gt;0,CHOOSE(MATCH(RegimeExecucao,{"Unitário","Global"},0),IF($A41="S",ROUND($H41,ORÇAMENTO!$AF$10),""),ROUND($I41,ORÇAMENTO!$AF$11)),"")</f>
        <v/>
      </c>
      <c r="Y41" s="381">
        <f t="shared" ca="1" si="7"/>
        <v>0</v>
      </c>
      <c r="Z41" s="569"/>
      <c r="AB41" s="379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380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8</v>
      </c>
      <c r="C42" s="113" t="str">
        <f t="shared" ca="1" si="1"/>
        <v>F</v>
      </c>
      <c r="D42" s="116" t="str">
        <f ca="1">ORÇAMENTO!O42</f>
        <v>1.4.</v>
      </c>
      <c r="E42" s="169" t="str">
        <f t="shared" si="2"/>
        <v>ESTRUTURA DE CONCRETO</v>
      </c>
      <c r="F42" s="170" t="str">
        <f ca="1">IF(RegimeExecucao="Global","",ORÇAMENTO.Unidade)</f>
        <v>-</v>
      </c>
      <c r="G42" s="121">
        <f ca="1">IF(RegimeExecucao="Global","",ORÇAMENTO!T42)</f>
        <v>0</v>
      </c>
      <c r="H42" s="121">
        <f ca="1">IF(RegimeExecucao="Global","",ORÇAMENTO!W42)</f>
        <v>0</v>
      </c>
      <c r="I42" s="124">
        <f ca="1">ORÇAMENTO!X42</f>
        <v>0</v>
      </c>
      <c r="J42" s="375">
        <f ca="1">IF($A42="S",IF(CAIXA.Modo,BM.AFAnterior,BM.MEDAnterior),IF(AND(RegimeExecucao="Global",$I42&gt;0,COUNTIF($AB$13:$AM$13,BM.medicao-1)&gt;0),M42/$I42*100,0))</f>
        <v>0</v>
      </c>
      <c r="K42" s="121">
        <f t="shared" ca="1" si="3"/>
        <v>0</v>
      </c>
      <c r="L42" s="376">
        <f ca="1">IF($A42="S",IF(CAIXA.Modo,BM.AFAcumulado,BM.MEDAcumulado),IF(AND(RegimeExecucao="Global",$I42&gt;0,COUNTIF($AB$13:$AM$13,BM.medicao)&gt;0),O42/$I42*100,0))</f>
        <v>0</v>
      </c>
      <c r="M42" s="377">
        <f ca="1">IF($A42="S",VTOTALBM,IF($A42=0,0,ROUND(SomaAgrupBM,15-13*ORÇAMENTO!$AF$11)))</f>
        <v>0</v>
      </c>
      <c r="N42" s="378">
        <f t="shared" ca="1" si="4"/>
        <v>0</v>
      </c>
      <c r="O42" s="124">
        <f ca="1">IF($A42="S",VTOTALBM,IF($A42=0,0,ROUND(SomaAgrupBM,15-13*ORÇAMENTO!$AF$11)))</f>
        <v>0</v>
      </c>
      <c r="Q42" s="379"/>
      <c r="R42" s="380"/>
      <c r="T42" s="116" t="str">
        <f t="shared" ca="1" si="5"/>
        <v/>
      </c>
      <c r="U42" s="169" t="str">
        <f t="shared" ca="1" si="6"/>
        <v/>
      </c>
      <c r="V42" s="170" t="str">
        <f ca="1">IF(AND($W42&gt;0,RegimeExecucao="Unitário"),$F42,"")</f>
        <v/>
      </c>
      <c r="W42" s="544">
        <f ca="1">IF($Y42&gt;0,CHOOSE(MATCH(RegimeExecucao,{"Unitário","Global"},0),IF($A42="S",$Y42/$X42,""),($Y42/$X42)*100),0)</f>
        <v>0</v>
      </c>
      <c r="X42" s="381" t="str">
        <f ca="1">IF($Y42&gt;0,CHOOSE(MATCH(RegimeExecucao,{"Unitário","Global"},0),IF($A42="S",ROUND($H42,ORÇAMENTO!$AF$10),""),ROUND($I42,ORÇAMENTO!$AF$11)),"")</f>
        <v/>
      </c>
      <c r="Y42" s="381">
        <f t="shared" ca="1" si="7"/>
        <v>0</v>
      </c>
      <c r="Z42" s="569"/>
      <c r="AB42" s="379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380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13" t="str">
        <f t="shared" ca="1" si="1"/>
        <v/>
      </c>
      <c r="D43" s="116" t="str">
        <f ca="1">ORÇAMENTO!O43</f>
        <v>-</v>
      </c>
      <c r="E43" s="169" t="str">
        <f t="shared" ca="1" si="2"/>
        <v>(abra o arquivo 'Referência 10-2024.xlsm)</v>
      </c>
      <c r="F43" s="170" t="str">
        <f ca="1">IF(RegimeExecucao="Global","",ORÇAMENTO.Unidade)</f>
        <v>-</v>
      </c>
      <c r="G43" s="121">
        <f ca="1">IF(RegimeExecucao="Global","",ORÇAMENTO!T43)</f>
        <v>30.24</v>
      </c>
      <c r="H43" s="121">
        <f ca="1">IF(RegimeExecucao="Global","",ORÇAMENTO!W43)</f>
        <v>0</v>
      </c>
      <c r="I43" s="124">
        <f ca="1">ORÇAMENTO!X43</f>
        <v>0</v>
      </c>
      <c r="J43" s="375">
        <f ca="1">IF($A43="S",IF(CAIXA.Modo,BM.AFAnterior,BM.MEDAnterior),IF(AND(RegimeExecucao="Global",$I43&gt;0,COUNTIF($AB$13:$AM$13,BM.medicao-1)&gt;0),M43/$I43*100,0))</f>
        <v>0</v>
      </c>
      <c r="K43" s="121">
        <f t="shared" ca="1" si="3"/>
        <v>0</v>
      </c>
      <c r="L43" s="376">
        <f ca="1">IF($A43="S",IF(CAIXA.Modo,BM.AFAcumulado,BM.MEDAcumulado),IF(AND(RegimeExecucao="Global",$I43&gt;0,COUNTIF($AB$13:$AM$13,BM.medicao)&gt;0),O43/$I43*100,0))</f>
        <v>0</v>
      </c>
      <c r="M43" s="377">
        <f ca="1">IF($A43="S",VTOTALBM,IF($A43=0,0,ROUND(SomaAgrupBM,15-13*ORÇAMENTO!$AF$11)))</f>
        <v>0</v>
      </c>
      <c r="N43" s="378">
        <f t="shared" ca="1" si="4"/>
        <v>0</v>
      </c>
      <c r="O43" s="124">
        <f ca="1">IF($A43="S",VTOTALBM,IF($A43=0,0,ROUND(SomaAgrupBM,15-13*ORÇAMENTO!$AF$11)))</f>
        <v>0</v>
      </c>
      <c r="Q43" s="379"/>
      <c r="R43" s="380"/>
      <c r="T43" s="116" t="str">
        <f t="shared" ca="1" si="5"/>
        <v/>
      </c>
      <c r="U43" s="169" t="str">
        <f t="shared" ca="1" si="6"/>
        <v/>
      </c>
      <c r="V43" s="170" t="str">
        <f ca="1">IF(AND($W43&gt;0,RegimeExecucao="Unitário"),$F43,"")</f>
        <v/>
      </c>
      <c r="W43" s="544">
        <f ca="1">IF($Y43&gt;0,CHOOSE(MATCH(RegimeExecucao,{"Unitário","Global"},0),IF($A43="S",$Y43/$X43,""),($Y43/$X43)*100),0)</f>
        <v>0</v>
      </c>
      <c r="X43" s="381" t="str">
        <f ca="1">IF($Y43&gt;0,CHOOSE(MATCH(RegimeExecucao,{"Unitário","Global"},0),IF($A43="S",ROUND($H43,ORÇAMENTO!$AF$10),""),ROUND($I43,ORÇAMENTO!$AF$11)),"")</f>
        <v/>
      </c>
      <c r="Y43" s="381">
        <f t="shared" ca="1" si="7"/>
        <v>0</v>
      </c>
      <c r="Z43" s="569"/>
      <c r="AB43" s="379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380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13" t="str">
        <f t="shared" ca="1" si="1"/>
        <v/>
      </c>
      <c r="D44" s="116" t="str">
        <f ca="1">ORÇAMENTO!O44</f>
        <v>-</v>
      </c>
      <c r="E44" s="169" t="str">
        <f t="shared" ca="1" si="2"/>
        <v>(abra o arquivo 'Referência 10-2024.xlsm)</v>
      </c>
      <c r="F44" s="170" t="str">
        <f ca="1">IF(RegimeExecucao="Global","",ORÇAMENTO.Unidade)</f>
        <v>-</v>
      </c>
      <c r="G44" s="121">
        <f ca="1">IF(RegimeExecucao="Global","",ORÇAMENTO!T44)</f>
        <v>29.82</v>
      </c>
      <c r="H44" s="121">
        <f ca="1">IF(RegimeExecucao="Global","",ORÇAMENTO!W44)</f>
        <v>0</v>
      </c>
      <c r="I44" s="124">
        <f ca="1">ORÇAMENTO!X44</f>
        <v>0</v>
      </c>
      <c r="J44" s="375">
        <f ca="1">IF($A44="S",IF(CAIXA.Modo,BM.AFAnterior,BM.MEDAnterior),IF(AND(RegimeExecucao="Global",$I44&gt;0,COUNTIF($AB$13:$AM$13,BM.medicao-1)&gt;0),M44/$I44*100,0))</f>
        <v>0</v>
      </c>
      <c r="K44" s="121">
        <f t="shared" ca="1" si="3"/>
        <v>0</v>
      </c>
      <c r="L44" s="376">
        <f ca="1">IF($A44="S",IF(CAIXA.Modo,BM.AFAcumulado,BM.MEDAcumulado),IF(AND(RegimeExecucao="Global",$I44&gt;0,COUNTIF($AB$13:$AM$13,BM.medicao)&gt;0),O44/$I44*100,0))</f>
        <v>0</v>
      </c>
      <c r="M44" s="377">
        <f ca="1">IF($A44="S",VTOTALBM,IF($A44=0,0,ROUND(SomaAgrupBM,15-13*ORÇAMENTO!$AF$11)))</f>
        <v>0</v>
      </c>
      <c r="N44" s="378">
        <f t="shared" ca="1" si="4"/>
        <v>0</v>
      </c>
      <c r="O44" s="124">
        <f ca="1">IF($A44="S",VTOTALBM,IF($A44=0,0,ROUND(SomaAgrupBM,15-13*ORÇAMENTO!$AF$11)))</f>
        <v>0</v>
      </c>
      <c r="Q44" s="379"/>
      <c r="R44" s="380"/>
      <c r="T44" s="116" t="str">
        <f t="shared" ca="1" si="5"/>
        <v/>
      </c>
      <c r="U44" s="169" t="str">
        <f t="shared" ca="1" si="6"/>
        <v/>
      </c>
      <c r="V44" s="170" t="str">
        <f ca="1">IF(AND($W44&gt;0,RegimeExecucao="Unitário"),$F44,"")</f>
        <v/>
      </c>
      <c r="W44" s="544">
        <f ca="1">IF($Y44&gt;0,CHOOSE(MATCH(RegimeExecucao,{"Unitário","Global"},0),IF($A44="S",$Y44/$X44,""),($Y44/$X44)*100),0)</f>
        <v>0</v>
      </c>
      <c r="X44" s="381" t="str">
        <f ca="1">IF($Y44&gt;0,CHOOSE(MATCH(RegimeExecucao,{"Unitário","Global"},0),IF($A44="S",ROUND($H44,ORÇAMENTO!$AF$10),""),ROUND($I44,ORÇAMENTO!$AF$11)),"")</f>
        <v/>
      </c>
      <c r="Y44" s="381">
        <f t="shared" ca="1" si="7"/>
        <v>0</v>
      </c>
      <c r="Z44" s="569"/>
      <c r="AB44" s="379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380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38.25" x14ac:dyDescent="0.2">
      <c r="A45" t="str">
        <f ca="1">ORÇAMENTO!C45</f>
        <v>S</v>
      </c>
      <c r="B45">
        <f ca="1">ORÇAMENTO!D45</f>
        <v>0</v>
      </c>
      <c r="C45" s="113" t="str">
        <f t="shared" ca="1" si="1"/>
        <v/>
      </c>
      <c r="D45" s="116" t="str">
        <f ca="1">ORÇAMENTO!O45</f>
        <v>-</v>
      </c>
      <c r="E45" s="169" t="str">
        <f t="shared" ca="1" si="2"/>
        <v>(abra o arquivo 'Referência 10-2024.xlsm)</v>
      </c>
      <c r="F45" s="170" t="str">
        <f ca="1">IF(RegimeExecucao="Global","",ORÇAMENTO.Unidade)</f>
        <v>-</v>
      </c>
      <c r="G45" s="121">
        <f ca="1">IF(RegimeExecucao="Global","",ORÇAMENTO!T45)</f>
        <v>166.73</v>
      </c>
      <c r="H45" s="121">
        <f ca="1">IF(RegimeExecucao="Global","",ORÇAMENTO!W45)</f>
        <v>0</v>
      </c>
      <c r="I45" s="124">
        <f ca="1">ORÇAMENTO!X45</f>
        <v>0</v>
      </c>
      <c r="J45" s="375">
        <f ca="1">IF($A45="S",IF(CAIXA.Modo,BM.AFAnterior,BM.MEDAnterior),IF(AND(RegimeExecucao="Global",$I45&gt;0,COUNTIF($AB$13:$AM$13,BM.medicao-1)&gt;0),M45/$I45*100,0))</f>
        <v>0</v>
      </c>
      <c r="K45" s="121">
        <f t="shared" ca="1" si="3"/>
        <v>0</v>
      </c>
      <c r="L45" s="376">
        <f ca="1">IF($A45="S",IF(CAIXA.Modo,BM.AFAcumulado,BM.MEDAcumulado),IF(AND(RegimeExecucao="Global",$I45&gt;0,COUNTIF($AB$13:$AM$13,BM.medicao)&gt;0),O45/$I45*100,0))</f>
        <v>0</v>
      </c>
      <c r="M45" s="377">
        <f ca="1">IF($A45="S",VTOTALBM,IF($A45=0,0,ROUND(SomaAgrupBM,15-13*ORÇAMENTO!$AF$11)))</f>
        <v>0</v>
      </c>
      <c r="N45" s="378">
        <f t="shared" ca="1" si="4"/>
        <v>0</v>
      </c>
      <c r="O45" s="124">
        <f ca="1">IF($A45="S",VTOTALBM,IF($A45=0,0,ROUND(SomaAgrupBM,15-13*ORÇAMENTO!$AF$11)))</f>
        <v>0</v>
      </c>
      <c r="Q45" s="379"/>
      <c r="R45" s="380"/>
      <c r="T45" s="116" t="str">
        <f t="shared" ca="1" si="5"/>
        <v/>
      </c>
      <c r="U45" s="169" t="str">
        <f t="shared" ca="1" si="6"/>
        <v/>
      </c>
      <c r="V45" s="170" t="str">
        <f ca="1">IF(AND($W45&gt;0,RegimeExecucao="Unitário"),$F45,"")</f>
        <v/>
      </c>
      <c r="W45" s="544">
        <f ca="1">IF($Y45&gt;0,CHOOSE(MATCH(RegimeExecucao,{"Unitário","Global"},0),IF($A45="S",$Y45/$X45,""),($Y45/$X45)*100),0)</f>
        <v>0</v>
      </c>
      <c r="X45" s="381" t="str">
        <f ca="1">IF($Y45&gt;0,CHOOSE(MATCH(RegimeExecucao,{"Unitário","Global"},0),IF($A45="S",ROUND($H45,ORÇAMENTO!$AF$10),""),ROUND($I45,ORÇAMENTO!$AF$11)),"")</f>
        <v/>
      </c>
      <c r="Y45" s="381">
        <f t="shared" ca="1" si="7"/>
        <v>0</v>
      </c>
      <c r="Z45" s="569"/>
      <c r="AB45" s="379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380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38.25" x14ac:dyDescent="0.2">
      <c r="A46" t="str">
        <f ca="1">ORÇAMENTO!C46</f>
        <v>S</v>
      </c>
      <c r="B46">
        <f ca="1">ORÇAMENTO!D46</f>
        <v>0</v>
      </c>
      <c r="C46" s="113" t="str">
        <f t="shared" ca="1" si="1"/>
        <v/>
      </c>
      <c r="D46" s="116" t="str">
        <f ca="1">ORÇAMENTO!O46</f>
        <v>-</v>
      </c>
      <c r="E46" s="169" t="str">
        <f t="shared" ca="1" si="2"/>
        <v>(abra o arquivo 'Referência 10-2024.xlsm)</v>
      </c>
      <c r="F46" s="170" t="str">
        <f ca="1">IF(RegimeExecucao="Global","",ORÇAMENTO.Unidade)</f>
        <v>-</v>
      </c>
      <c r="G46" s="121">
        <f ca="1">IF(RegimeExecucao="Global","",ORÇAMENTO!T46)</f>
        <v>64.7</v>
      </c>
      <c r="H46" s="121">
        <f ca="1">IF(RegimeExecucao="Global","",ORÇAMENTO!W46)</f>
        <v>0</v>
      </c>
      <c r="I46" s="124">
        <f ca="1">ORÇAMENTO!X46</f>
        <v>0</v>
      </c>
      <c r="J46" s="375">
        <f ca="1">IF($A46="S",IF(CAIXA.Modo,BM.AFAnterior,BM.MEDAnterior),IF(AND(RegimeExecucao="Global",$I46&gt;0,COUNTIF($AB$13:$AM$13,BM.medicao-1)&gt;0),M46/$I46*100,0))</f>
        <v>0</v>
      </c>
      <c r="K46" s="121">
        <f t="shared" ca="1" si="3"/>
        <v>0</v>
      </c>
      <c r="L46" s="376">
        <f ca="1">IF($A46="S",IF(CAIXA.Modo,BM.AFAcumulado,BM.MEDAcumulado),IF(AND(RegimeExecucao="Global",$I46&gt;0,COUNTIF($AB$13:$AM$13,BM.medicao)&gt;0),O46/$I46*100,0))</f>
        <v>0</v>
      </c>
      <c r="M46" s="377">
        <f ca="1">IF($A46="S",VTOTALBM,IF($A46=0,0,ROUND(SomaAgrupBM,15-13*ORÇAMENTO!$AF$11)))</f>
        <v>0</v>
      </c>
      <c r="N46" s="378">
        <f t="shared" ca="1" si="4"/>
        <v>0</v>
      </c>
      <c r="O46" s="124">
        <f ca="1">IF($A46="S",VTOTALBM,IF($A46=0,0,ROUND(SomaAgrupBM,15-13*ORÇAMENTO!$AF$11)))</f>
        <v>0</v>
      </c>
      <c r="Q46" s="379"/>
      <c r="R46" s="380"/>
      <c r="T46" s="116" t="str">
        <f t="shared" ca="1" si="5"/>
        <v/>
      </c>
      <c r="U46" s="169" t="str">
        <f t="shared" ca="1" si="6"/>
        <v/>
      </c>
      <c r="V46" s="170" t="str">
        <f ca="1">IF(AND($W46&gt;0,RegimeExecucao="Unitário"),$F46,"")</f>
        <v/>
      </c>
      <c r="W46" s="544">
        <f ca="1">IF($Y46&gt;0,CHOOSE(MATCH(RegimeExecucao,{"Unitário","Global"},0),IF($A46="S",$Y46/$X46,""),($Y46/$X46)*100),0)</f>
        <v>0</v>
      </c>
      <c r="X46" s="381" t="str">
        <f ca="1">IF($Y46&gt;0,CHOOSE(MATCH(RegimeExecucao,{"Unitário","Global"},0),IF($A46="S",ROUND($H46,ORÇAMENTO!$AF$10),""),ROUND($I46,ORÇAMENTO!$AF$11)),"")</f>
        <v/>
      </c>
      <c r="Y46" s="381">
        <f t="shared" ca="1" si="7"/>
        <v>0</v>
      </c>
      <c r="Z46" s="569"/>
      <c r="AB46" s="379"/>
      <c r="AC46" s="513"/>
      <c r="AD46" s="513"/>
      <c r="AE46" s="513"/>
      <c r="AF46" s="513"/>
      <c r="AG46" s="513"/>
      <c r="AH46" s="513"/>
      <c r="AI46" s="513"/>
      <c r="AJ46" s="513"/>
      <c r="AK46" s="513"/>
      <c r="AL46" s="513"/>
      <c r="AM46" s="380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13" t="str">
        <f t="shared" ca="1" si="1"/>
        <v/>
      </c>
      <c r="D47" s="116" t="str">
        <f ca="1">ORÇAMENTO!O47</f>
        <v>-</v>
      </c>
      <c r="E47" s="169" t="str">
        <f t="shared" ca="1" si="2"/>
        <v>(abra o arquivo 'Referência 10-2024.xlsm)</v>
      </c>
      <c r="F47" s="170" t="str">
        <f ca="1">IF(RegimeExecucao="Global","",ORÇAMENTO.Unidade)</f>
        <v>-</v>
      </c>
      <c r="G47" s="121">
        <f ca="1">IF(RegimeExecucao="Global","",ORÇAMENTO!T47)</f>
        <v>3.43</v>
      </c>
      <c r="H47" s="121">
        <f ca="1">IF(RegimeExecucao="Global","",ORÇAMENTO!W47)</f>
        <v>0</v>
      </c>
      <c r="I47" s="124">
        <f ca="1">ORÇAMENTO!X47</f>
        <v>0</v>
      </c>
      <c r="J47" s="375">
        <f ca="1">IF($A47="S",IF(CAIXA.Modo,BM.AFAnterior,BM.MEDAnterior),IF(AND(RegimeExecucao="Global",$I47&gt;0,COUNTIF($AB$13:$AM$13,BM.medicao-1)&gt;0),M47/$I47*100,0))</f>
        <v>0</v>
      </c>
      <c r="K47" s="121">
        <f t="shared" ca="1" si="3"/>
        <v>0</v>
      </c>
      <c r="L47" s="376">
        <f ca="1">IF($A47="S",IF(CAIXA.Modo,BM.AFAcumulado,BM.MEDAcumulado),IF(AND(RegimeExecucao="Global",$I47&gt;0,COUNTIF($AB$13:$AM$13,BM.medicao)&gt;0),O47/$I47*100,0))</f>
        <v>0</v>
      </c>
      <c r="M47" s="377">
        <f ca="1">IF($A47="S",VTOTALBM,IF($A47=0,0,ROUND(SomaAgrupBM,15-13*ORÇAMENTO!$AF$11)))</f>
        <v>0</v>
      </c>
      <c r="N47" s="378">
        <f t="shared" ca="1" si="4"/>
        <v>0</v>
      </c>
      <c r="O47" s="124">
        <f ca="1">IF($A47="S",VTOTALBM,IF($A47=0,0,ROUND(SomaAgrupBM,15-13*ORÇAMENTO!$AF$11)))</f>
        <v>0</v>
      </c>
      <c r="Q47" s="379"/>
      <c r="R47" s="380"/>
      <c r="T47" s="116" t="str">
        <f t="shared" ca="1" si="5"/>
        <v/>
      </c>
      <c r="U47" s="169" t="str">
        <f t="shared" ca="1" si="6"/>
        <v/>
      </c>
      <c r="V47" s="170" t="str">
        <f ca="1">IF(AND($W47&gt;0,RegimeExecucao="Unitário"),$F47,"")</f>
        <v/>
      </c>
      <c r="W47" s="544">
        <f ca="1">IF($Y47&gt;0,CHOOSE(MATCH(RegimeExecucao,{"Unitário","Global"},0),IF($A47="S",$Y47/$X47,""),($Y47/$X47)*100),0)</f>
        <v>0</v>
      </c>
      <c r="X47" s="381" t="str">
        <f ca="1">IF($Y47&gt;0,CHOOSE(MATCH(RegimeExecucao,{"Unitário","Global"},0),IF($A47="S",ROUND($H47,ORÇAMENTO!$AF$10),""),ROUND($I47,ORÇAMENTO!$AF$11)),"")</f>
        <v/>
      </c>
      <c r="Y47" s="381">
        <f t="shared" ca="1" si="7"/>
        <v>0</v>
      </c>
      <c r="Z47" s="569"/>
      <c r="AB47" s="379"/>
      <c r="AC47" s="513"/>
      <c r="AD47" s="513"/>
      <c r="AE47" s="513"/>
      <c r="AF47" s="513"/>
      <c r="AG47" s="513"/>
      <c r="AH47" s="513"/>
      <c r="AI47" s="513"/>
      <c r="AJ47" s="513"/>
      <c r="AK47" s="513"/>
      <c r="AL47" s="513"/>
      <c r="AM47" s="380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13" t="str">
        <f t="shared" ca="1" si="1"/>
        <v/>
      </c>
      <c r="D48" s="116" t="str">
        <f ca="1">ORÇAMENTO!O48</f>
        <v>-</v>
      </c>
      <c r="E48" s="169" t="str">
        <f t="shared" ca="1" si="2"/>
        <v>(abra o arquivo 'Referência 10-2024.xlsm)</v>
      </c>
      <c r="F48" s="170" t="str">
        <f ca="1">IF(RegimeExecucao="Global","",ORÇAMENTO.Unidade)</f>
        <v>-</v>
      </c>
      <c r="G48" s="121">
        <f ca="1">IF(RegimeExecucao="Global","",ORÇAMENTO!T48)</f>
        <v>25.37</v>
      </c>
      <c r="H48" s="121">
        <f ca="1">IF(RegimeExecucao="Global","",ORÇAMENTO!W48)</f>
        <v>0</v>
      </c>
      <c r="I48" s="124">
        <f ca="1">ORÇAMENTO!X48</f>
        <v>0</v>
      </c>
      <c r="J48" s="375">
        <f ca="1">IF($A48="S",IF(CAIXA.Modo,BM.AFAnterior,BM.MEDAnterior),IF(AND(RegimeExecucao="Global",$I48&gt;0,COUNTIF($AB$13:$AM$13,BM.medicao-1)&gt;0),M48/$I48*100,0))</f>
        <v>0</v>
      </c>
      <c r="K48" s="121">
        <f t="shared" ca="1" si="3"/>
        <v>0</v>
      </c>
      <c r="L48" s="376">
        <f ca="1">IF($A48="S",IF(CAIXA.Modo,BM.AFAcumulado,BM.MEDAcumulado),IF(AND(RegimeExecucao="Global",$I48&gt;0,COUNTIF($AB$13:$AM$13,BM.medicao)&gt;0),O48/$I48*100,0))</f>
        <v>0</v>
      </c>
      <c r="M48" s="377">
        <f ca="1">IF($A48="S",VTOTALBM,IF($A48=0,0,ROUND(SomaAgrupBM,15-13*ORÇAMENTO!$AF$11)))</f>
        <v>0</v>
      </c>
      <c r="N48" s="378">
        <f t="shared" ca="1" si="4"/>
        <v>0</v>
      </c>
      <c r="O48" s="124">
        <f ca="1">IF($A48="S",VTOTALBM,IF($A48=0,0,ROUND(SomaAgrupBM,15-13*ORÇAMENTO!$AF$11)))</f>
        <v>0</v>
      </c>
      <c r="Q48" s="379"/>
      <c r="R48" s="380"/>
      <c r="T48" s="116" t="str">
        <f t="shared" ca="1" si="5"/>
        <v/>
      </c>
      <c r="U48" s="169" t="str">
        <f t="shared" ca="1" si="6"/>
        <v/>
      </c>
      <c r="V48" s="170" t="str">
        <f ca="1">IF(AND($W48&gt;0,RegimeExecucao="Unitário"),$F48,"")</f>
        <v/>
      </c>
      <c r="W48" s="544">
        <f ca="1">IF($Y48&gt;0,CHOOSE(MATCH(RegimeExecucao,{"Unitário","Global"},0),IF($A48="S",$Y48/$X48,""),($Y48/$X48)*100),0)</f>
        <v>0</v>
      </c>
      <c r="X48" s="381" t="str">
        <f ca="1">IF($Y48&gt;0,CHOOSE(MATCH(RegimeExecucao,{"Unitário","Global"},0),IF($A48="S",ROUND($H48,ORÇAMENTO!$AF$10),""),ROUND($I48,ORÇAMENTO!$AF$11)),"")</f>
        <v/>
      </c>
      <c r="Y48" s="381">
        <f t="shared" ca="1" si="7"/>
        <v>0</v>
      </c>
      <c r="Z48" s="569"/>
      <c r="AB48" s="379"/>
      <c r="AC48" s="513"/>
      <c r="AD48" s="513"/>
      <c r="AE48" s="513"/>
      <c r="AF48" s="513"/>
      <c r="AG48" s="513"/>
      <c r="AH48" s="513"/>
      <c r="AI48" s="513"/>
      <c r="AJ48" s="513"/>
      <c r="AK48" s="513"/>
      <c r="AL48" s="513"/>
      <c r="AM48" s="380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38.25" x14ac:dyDescent="0.2">
      <c r="A49" t="str">
        <f ca="1">ORÇAMENTO!C49</f>
        <v>S</v>
      </c>
      <c r="B49">
        <f ca="1">ORÇAMENTO!D49</f>
        <v>0</v>
      </c>
      <c r="C49" s="113" t="str">
        <f t="shared" ca="1" si="1"/>
        <v/>
      </c>
      <c r="D49" s="116" t="str">
        <f ca="1">ORÇAMENTO!O49</f>
        <v>-</v>
      </c>
      <c r="E49" s="169" t="str">
        <f t="shared" ca="1" si="2"/>
        <v>(abra o arquivo 'Referência 10-2024.xlsm)</v>
      </c>
      <c r="F49" s="170" t="str">
        <f ca="1">IF(RegimeExecucao="Global","",ORÇAMENTO.Unidade)</f>
        <v>-</v>
      </c>
      <c r="G49" s="121">
        <f ca="1">IF(RegimeExecucao="Global","",ORÇAMENTO!T49)</f>
        <v>54.92</v>
      </c>
      <c r="H49" s="121">
        <f ca="1">IF(RegimeExecucao="Global","",ORÇAMENTO!W49)</f>
        <v>0</v>
      </c>
      <c r="I49" s="124">
        <f ca="1">ORÇAMENTO!X49</f>
        <v>0</v>
      </c>
      <c r="J49" s="375">
        <f ca="1">IF($A49="S",IF(CAIXA.Modo,BM.AFAnterior,BM.MEDAnterior),IF(AND(RegimeExecucao="Global",$I49&gt;0,COUNTIF($AB$13:$AM$13,BM.medicao-1)&gt;0),M49/$I49*100,0))</f>
        <v>0</v>
      </c>
      <c r="K49" s="121">
        <f t="shared" ca="1" si="3"/>
        <v>0</v>
      </c>
      <c r="L49" s="376">
        <f ca="1">IF($A49="S",IF(CAIXA.Modo,BM.AFAcumulado,BM.MEDAcumulado),IF(AND(RegimeExecucao="Global",$I49&gt;0,COUNTIF($AB$13:$AM$13,BM.medicao)&gt;0),O49/$I49*100,0))</f>
        <v>0</v>
      </c>
      <c r="M49" s="377">
        <f ca="1">IF($A49="S",VTOTALBM,IF($A49=0,0,ROUND(SomaAgrupBM,15-13*ORÇAMENTO!$AF$11)))</f>
        <v>0</v>
      </c>
      <c r="N49" s="378">
        <f t="shared" ca="1" si="4"/>
        <v>0</v>
      </c>
      <c r="O49" s="124">
        <f ca="1">IF($A49="S",VTOTALBM,IF($A49=0,0,ROUND(SomaAgrupBM,15-13*ORÇAMENTO!$AF$11)))</f>
        <v>0</v>
      </c>
      <c r="Q49" s="379"/>
      <c r="R49" s="380"/>
      <c r="T49" s="116" t="str">
        <f t="shared" ca="1" si="5"/>
        <v/>
      </c>
      <c r="U49" s="169" t="str">
        <f t="shared" ca="1" si="6"/>
        <v/>
      </c>
      <c r="V49" s="170" t="str">
        <f ca="1">IF(AND($W49&gt;0,RegimeExecucao="Unitário"),$F49,"")</f>
        <v/>
      </c>
      <c r="W49" s="544">
        <f ca="1">IF($Y49&gt;0,CHOOSE(MATCH(RegimeExecucao,{"Unitário","Global"},0),IF($A49="S",$Y49/$X49,""),($Y49/$X49)*100),0)</f>
        <v>0</v>
      </c>
      <c r="X49" s="381" t="str">
        <f ca="1">IF($Y49&gt;0,CHOOSE(MATCH(RegimeExecucao,{"Unitário","Global"},0),IF($A49="S",ROUND($H49,ORÇAMENTO!$AF$10),""),ROUND($I49,ORÇAMENTO!$AF$11)),"")</f>
        <v/>
      </c>
      <c r="Y49" s="381">
        <f t="shared" ca="1" si="7"/>
        <v>0</v>
      </c>
      <c r="Z49" s="569"/>
      <c r="AB49" s="379"/>
      <c r="AC49" s="513"/>
      <c r="AD49" s="513"/>
      <c r="AE49" s="513"/>
      <c r="AF49" s="513"/>
      <c r="AG49" s="513"/>
      <c r="AH49" s="513"/>
      <c r="AI49" s="513"/>
      <c r="AJ49" s="513"/>
      <c r="AK49" s="513"/>
      <c r="AL49" s="513"/>
      <c r="AM49" s="380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3</v>
      </c>
      <c r="C50" s="113" t="str">
        <f t="shared" ca="1" si="1"/>
        <v>F</v>
      </c>
      <c r="D50" s="116" t="str">
        <f ca="1">ORÇAMENTO!O50</f>
        <v>1.5.</v>
      </c>
      <c r="E50" s="169" t="str">
        <f t="shared" si="2"/>
        <v>PAREDES E DIVISÓRIAS</v>
      </c>
      <c r="F50" s="170" t="str">
        <f ca="1">IF(RegimeExecucao="Global","",ORÇAMENTO.Unidade)</f>
        <v>-</v>
      </c>
      <c r="G50" s="121">
        <f ca="1">IF(RegimeExecucao="Global","",ORÇAMENTO!T50)</f>
        <v>0</v>
      </c>
      <c r="H50" s="121">
        <f ca="1">IF(RegimeExecucao="Global","",ORÇAMENTO!W50)</f>
        <v>0</v>
      </c>
      <c r="I50" s="124">
        <f ca="1">ORÇAMENTO!X50</f>
        <v>0</v>
      </c>
      <c r="J50" s="375">
        <f ca="1">IF($A50="S",IF(CAIXA.Modo,BM.AFAnterior,BM.MEDAnterior),IF(AND(RegimeExecucao="Global",$I50&gt;0,COUNTIF($AB$13:$AM$13,BM.medicao-1)&gt;0),M50/$I50*100,0))</f>
        <v>0</v>
      </c>
      <c r="K50" s="121">
        <f t="shared" ca="1" si="3"/>
        <v>0</v>
      </c>
      <c r="L50" s="376">
        <f ca="1">IF($A50="S",IF(CAIXA.Modo,BM.AFAcumulado,BM.MEDAcumulado),IF(AND(RegimeExecucao="Global",$I50&gt;0,COUNTIF($AB$13:$AM$13,BM.medicao)&gt;0),O50/$I50*100,0))</f>
        <v>0</v>
      </c>
      <c r="M50" s="377">
        <f ca="1">IF($A50="S",VTOTALBM,IF($A50=0,0,ROUND(SomaAgrupBM,15-13*ORÇAMENTO!$AF$11)))</f>
        <v>0</v>
      </c>
      <c r="N50" s="378">
        <f t="shared" ca="1" si="4"/>
        <v>0</v>
      </c>
      <c r="O50" s="124">
        <f ca="1">IF($A50="S",VTOTALBM,IF($A50=0,0,ROUND(SomaAgrupBM,15-13*ORÇAMENTO!$AF$11)))</f>
        <v>0</v>
      </c>
      <c r="Q50" s="379"/>
      <c r="R50" s="380"/>
      <c r="T50" s="116" t="str">
        <f t="shared" ca="1" si="5"/>
        <v/>
      </c>
      <c r="U50" s="169" t="str">
        <f t="shared" ca="1" si="6"/>
        <v/>
      </c>
      <c r="V50" s="170" t="str">
        <f ca="1">IF(AND($W50&gt;0,RegimeExecucao="Unitário"),$F50,"")</f>
        <v/>
      </c>
      <c r="W50" s="544">
        <f ca="1">IF($Y50&gt;0,CHOOSE(MATCH(RegimeExecucao,{"Unitário","Global"},0),IF($A50="S",$Y50/$X50,""),($Y50/$X50)*100),0)</f>
        <v>0</v>
      </c>
      <c r="X50" s="381" t="str">
        <f ca="1">IF($Y50&gt;0,CHOOSE(MATCH(RegimeExecucao,{"Unitário","Global"},0),IF($A50="S",ROUND($H50,ORÇAMENTO!$AF$10),""),ROUND($I50,ORÇAMENTO!$AF$11)),"")</f>
        <v/>
      </c>
      <c r="Y50" s="381">
        <f t="shared" ca="1" si="7"/>
        <v>0</v>
      </c>
      <c r="Z50" s="569"/>
      <c r="AB50" s="379"/>
      <c r="AC50" s="513"/>
      <c r="AD50" s="513"/>
      <c r="AE50" s="513"/>
      <c r="AF50" s="513"/>
      <c r="AG50" s="513"/>
      <c r="AH50" s="513"/>
      <c r="AI50" s="513"/>
      <c r="AJ50" s="513"/>
      <c r="AK50" s="513"/>
      <c r="AL50" s="513"/>
      <c r="AM50" s="380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ht="51" x14ac:dyDescent="0.2">
      <c r="A51" t="str">
        <f ca="1">ORÇAMENTO!C51</f>
        <v>S</v>
      </c>
      <c r="B51">
        <f ca="1">ORÇAMENTO!D51</f>
        <v>0</v>
      </c>
      <c r="C51" s="113" t="str">
        <f t="shared" ca="1" si="1"/>
        <v/>
      </c>
      <c r="D51" s="116" t="str">
        <f ca="1">ORÇAMENTO!O51</f>
        <v>-</v>
      </c>
      <c r="E51" s="169" t="str">
        <f t="shared" ca="1" si="2"/>
        <v>(abra o arquivo 'Referência 10-2024.xlsm)</v>
      </c>
      <c r="F51" s="170" t="str">
        <f ca="1">IF(RegimeExecucao="Global","",ORÇAMENTO.Unidade)</f>
        <v>-</v>
      </c>
      <c r="G51" s="121">
        <f ca="1">IF(RegimeExecucao="Global","",ORÇAMENTO!T51)</f>
        <v>74.930000000000007</v>
      </c>
      <c r="H51" s="121">
        <f ca="1">IF(RegimeExecucao="Global","",ORÇAMENTO!W51)</f>
        <v>0</v>
      </c>
      <c r="I51" s="124">
        <f ca="1">ORÇAMENTO!X51</f>
        <v>0</v>
      </c>
      <c r="J51" s="375">
        <f ca="1">IF($A51="S",IF(CAIXA.Modo,BM.AFAnterior,BM.MEDAnterior),IF(AND(RegimeExecucao="Global",$I51&gt;0,COUNTIF($AB$13:$AM$13,BM.medicao-1)&gt;0),M51/$I51*100,0))</f>
        <v>0</v>
      </c>
      <c r="K51" s="121">
        <f t="shared" ca="1" si="3"/>
        <v>0</v>
      </c>
      <c r="L51" s="376">
        <f ca="1">IF($A51="S",IF(CAIXA.Modo,BM.AFAcumulado,BM.MEDAcumulado),IF(AND(RegimeExecucao="Global",$I51&gt;0,COUNTIF($AB$13:$AM$13,BM.medicao)&gt;0),O51/$I51*100,0))</f>
        <v>0</v>
      </c>
      <c r="M51" s="377">
        <f ca="1">IF($A51="S",VTOTALBM,IF($A51=0,0,ROUND(SomaAgrupBM,15-13*ORÇAMENTO!$AF$11)))</f>
        <v>0</v>
      </c>
      <c r="N51" s="378">
        <f t="shared" ca="1" si="4"/>
        <v>0</v>
      </c>
      <c r="O51" s="124">
        <f ca="1">IF($A51="S",VTOTALBM,IF($A51=0,0,ROUND(SomaAgrupBM,15-13*ORÇAMENTO!$AF$11)))</f>
        <v>0</v>
      </c>
      <c r="Q51" s="379"/>
      <c r="R51" s="380"/>
      <c r="T51" s="116" t="str">
        <f t="shared" ca="1" si="5"/>
        <v/>
      </c>
      <c r="U51" s="169" t="str">
        <f t="shared" ca="1" si="6"/>
        <v/>
      </c>
      <c r="V51" s="170" t="str">
        <f ca="1">IF(AND($W51&gt;0,RegimeExecucao="Unitário"),$F51,"")</f>
        <v/>
      </c>
      <c r="W51" s="544">
        <f ca="1">IF($Y51&gt;0,CHOOSE(MATCH(RegimeExecucao,{"Unitário","Global"},0),IF($A51="S",$Y51/$X51,""),($Y51/$X51)*100),0)</f>
        <v>0</v>
      </c>
      <c r="X51" s="381" t="str">
        <f ca="1">IF($Y51&gt;0,CHOOSE(MATCH(RegimeExecucao,{"Unitário","Global"},0),IF($A51="S",ROUND($H51,ORÇAMENTO!$AF$10),""),ROUND($I51,ORÇAMENTO!$AF$11)),"")</f>
        <v/>
      </c>
      <c r="Y51" s="381">
        <f t="shared" ca="1" si="7"/>
        <v>0</v>
      </c>
      <c r="Z51" s="569"/>
      <c r="AB51" s="379"/>
      <c r="AC51" s="513"/>
      <c r="AD51" s="513"/>
      <c r="AE51" s="513"/>
      <c r="AF51" s="513"/>
      <c r="AG51" s="513"/>
      <c r="AH51" s="513"/>
      <c r="AI51" s="513"/>
      <c r="AJ51" s="513"/>
      <c r="AK51" s="513"/>
      <c r="AL51" s="513"/>
      <c r="AM51" s="380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ht="38.25" x14ac:dyDescent="0.2">
      <c r="A52" t="str">
        <f ca="1">ORÇAMENTO!C52</f>
        <v>S</v>
      </c>
      <c r="B52">
        <f ca="1">ORÇAMENTO!D52</f>
        <v>0</v>
      </c>
      <c r="C52" s="113" t="str">
        <f t="shared" ca="1" si="1"/>
        <v/>
      </c>
      <c r="D52" s="116" t="str">
        <f ca="1">ORÇAMENTO!O52</f>
        <v>-</v>
      </c>
      <c r="E52" s="169" t="str">
        <f t="shared" ca="1" si="2"/>
        <v>(abra o arquivo 'Referência 10-2024.xlsm)</v>
      </c>
      <c r="F52" s="170" t="str">
        <f ca="1">IF(RegimeExecucao="Global","",ORÇAMENTO.Unidade)</f>
        <v>-</v>
      </c>
      <c r="G52" s="121">
        <f ca="1">IF(RegimeExecucao="Global","",ORÇAMENTO!T52)</f>
        <v>12.96</v>
      </c>
      <c r="H52" s="121">
        <f ca="1">IF(RegimeExecucao="Global","",ORÇAMENTO!W52)</f>
        <v>0</v>
      </c>
      <c r="I52" s="124">
        <f ca="1">ORÇAMENTO!X52</f>
        <v>0</v>
      </c>
      <c r="J52" s="375">
        <f ca="1">IF($A52="S",IF(CAIXA.Modo,BM.AFAnterior,BM.MEDAnterior),IF(AND(RegimeExecucao="Global",$I52&gt;0,COUNTIF($AB$13:$AM$13,BM.medicao-1)&gt;0),M52/$I52*100,0))</f>
        <v>0</v>
      </c>
      <c r="K52" s="121">
        <f t="shared" ca="1" si="3"/>
        <v>0</v>
      </c>
      <c r="L52" s="376">
        <f ca="1">IF($A52="S",IF(CAIXA.Modo,BM.AFAcumulado,BM.MEDAcumulado),IF(AND(RegimeExecucao="Global",$I52&gt;0,COUNTIF($AB$13:$AM$13,BM.medicao)&gt;0),O52/$I52*100,0))</f>
        <v>0</v>
      </c>
      <c r="M52" s="377">
        <f ca="1">IF($A52="S",VTOTALBM,IF($A52=0,0,ROUND(SomaAgrupBM,15-13*ORÇAMENTO!$AF$11)))</f>
        <v>0</v>
      </c>
      <c r="N52" s="378">
        <f t="shared" ca="1" si="4"/>
        <v>0</v>
      </c>
      <c r="O52" s="124">
        <f ca="1">IF($A52="S",VTOTALBM,IF($A52=0,0,ROUND(SomaAgrupBM,15-13*ORÇAMENTO!$AF$11)))</f>
        <v>0</v>
      </c>
      <c r="Q52" s="379"/>
      <c r="R52" s="380"/>
      <c r="T52" s="116" t="str">
        <f t="shared" ca="1" si="5"/>
        <v/>
      </c>
      <c r="U52" s="169" t="str">
        <f t="shared" ca="1" si="6"/>
        <v/>
      </c>
      <c r="V52" s="170" t="str">
        <f ca="1">IF(AND($W52&gt;0,RegimeExecucao="Unitário"),$F52,"")</f>
        <v/>
      </c>
      <c r="W52" s="544">
        <f ca="1">IF($Y52&gt;0,CHOOSE(MATCH(RegimeExecucao,{"Unitário","Global"},0),IF($A52="S",$Y52/$X52,""),($Y52/$X52)*100),0)</f>
        <v>0</v>
      </c>
      <c r="X52" s="381" t="str">
        <f ca="1">IF($Y52&gt;0,CHOOSE(MATCH(RegimeExecucao,{"Unitário","Global"},0),IF($A52="S",ROUND($H52,ORÇAMENTO!$AF$10),""),ROUND($I52,ORÇAMENTO!$AF$11)),"")</f>
        <v/>
      </c>
      <c r="Y52" s="381">
        <f t="shared" ca="1" si="7"/>
        <v>0</v>
      </c>
      <c r="Z52" s="569"/>
      <c r="AB52" s="379"/>
      <c r="AC52" s="513"/>
      <c r="AD52" s="513"/>
      <c r="AE52" s="513"/>
      <c r="AF52" s="513"/>
      <c r="AG52" s="513"/>
      <c r="AH52" s="513"/>
      <c r="AI52" s="513"/>
      <c r="AJ52" s="513"/>
      <c r="AK52" s="513"/>
      <c r="AL52" s="513"/>
      <c r="AM52" s="380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>
        <f ca="1">ORÇAMENTO!C53</f>
        <v>2</v>
      </c>
      <c r="B53">
        <f ca="1">ORÇAMENTO!D53</f>
        <v>4</v>
      </c>
      <c r="C53" s="113" t="str">
        <f t="shared" ca="1" si="1"/>
        <v>F</v>
      </c>
      <c r="D53" s="116" t="str">
        <f ca="1">ORÇAMENTO!O53</f>
        <v>1.6.</v>
      </c>
      <c r="E53" s="169" t="str">
        <f t="shared" si="2"/>
        <v>COBERTURA</v>
      </c>
      <c r="F53" s="170" t="str">
        <f ca="1">IF(RegimeExecucao="Global","",ORÇAMENTO.Unidade)</f>
        <v>-</v>
      </c>
      <c r="G53" s="121">
        <f ca="1">IF(RegimeExecucao="Global","",ORÇAMENTO!T53)</f>
        <v>0</v>
      </c>
      <c r="H53" s="121">
        <f ca="1">IF(RegimeExecucao="Global","",ORÇAMENTO!W53)</f>
        <v>0</v>
      </c>
      <c r="I53" s="124">
        <f ca="1">ORÇAMENTO!X53</f>
        <v>0</v>
      </c>
      <c r="J53" s="375">
        <f ca="1">IF($A53="S",IF(CAIXA.Modo,BM.AFAnterior,BM.MEDAnterior),IF(AND(RegimeExecucao="Global",$I53&gt;0,COUNTIF($AB$13:$AM$13,BM.medicao-1)&gt;0),M53/$I53*100,0))</f>
        <v>0</v>
      </c>
      <c r="K53" s="121">
        <f t="shared" ca="1" si="3"/>
        <v>0</v>
      </c>
      <c r="L53" s="376">
        <f ca="1">IF($A53="S",IF(CAIXA.Modo,BM.AFAcumulado,BM.MEDAcumulado),IF(AND(RegimeExecucao="Global",$I53&gt;0,COUNTIF($AB$13:$AM$13,BM.medicao)&gt;0),O53/$I53*100,0))</f>
        <v>0</v>
      </c>
      <c r="M53" s="377">
        <f ca="1">IF($A53="S",VTOTALBM,IF($A53=0,0,ROUND(SomaAgrupBM,15-13*ORÇAMENTO!$AF$11)))</f>
        <v>0</v>
      </c>
      <c r="N53" s="378">
        <f t="shared" ca="1" si="4"/>
        <v>0</v>
      </c>
      <c r="O53" s="124">
        <f ca="1">IF($A53="S",VTOTALBM,IF($A53=0,0,ROUND(SomaAgrupBM,15-13*ORÇAMENTO!$AF$11)))</f>
        <v>0</v>
      </c>
      <c r="Q53" s="379"/>
      <c r="R53" s="380"/>
      <c r="T53" s="116" t="str">
        <f t="shared" ca="1" si="5"/>
        <v/>
      </c>
      <c r="U53" s="169" t="str">
        <f t="shared" ca="1" si="6"/>
        <v/>
      </c>
      <c r="V53" s="170" t="str">
        <f ca="1">IF(AND($W53&gt;0,RegimeExecucao="Unitário"),$F53,"")</f>
        <v/>
      </c>
      <c r="W53" s="544">
        <f ca="1">IF($Y53&gt;0,CHOOSE(MATCH(RegimeExecucao,{"Unitário","Global"},0),IF($A53="S",$Y53/$X53,""),($Y53/$X53)*100),0)</f>
        <v>0</v>
      </c>
      <c r="X53" s="381" t="str">
        <f ca="1">IF($Y53&gt;0,CHOOSE(MATCH(RegimeExecucao,{"Unitário","Global"},0),IF($A53="S",ROUND($H53,ORÇAMENTO!$AF$10),""),ROUND($I53,ORÇAMENTO!$AF$11)),"")</f>
        <v/>
      </c>
      <c r="Y53" s="381">
        <f t="shared" ca="1" si="7"/>
        <v>0</v>
      </c>
      <c r="Z53" s="569"/>
      <c r="AB53" s="379"/>
      <c r="AC53" s="513"/>
      <c r="AD53" s="513"/>
      <c r="AE53" s="513"/>
      <c r="AF53" s="513"/>
      <c r="AG53" s="513"/>
      <c r="AH53" s="513"/>
      <c r="AI53" s="513"/>
      <c r="AJ53" s="513"/>
      <c r="AK53" s="513"/>
      <c r="AL53" s="513"/>
      <c r="AM53" s="380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ht="38.25" x14ac:dyDescent="0.2">
      <c r="A54" t="str">
        <f ca="1">ORÇAMENTO!C54</f>
        <v>S</v>
      </c>
      <c r="B54">
        <f ca="1">ORÇAMENTO!D54</f>
        <v>0</v>
      </c>
      <c r="C54" s="113" t="str">
        <f t="shared" ca="1" si="1"/>
        <v/>
      </c>
      <c r="D54" s="116" t="str">
        <f ca="1">ORÇAMENTO!O54</f>
        <v>-</v>
      </c>
      <c r="E54" s="169" t="str">
        <f t="shared" ca="1" si="2"/>
        <v>(abra o arquivo 'Referência 10-2024.xlsm)</v>
      </c>
      <c r="F54" s="170" t="str">
        <f ca="1">IF(RegimeExecucao="Global","",ORÇAMENTO.Unidade)</f>
        <v>-</v>
      </c>
      <c r="G54" s="121">
        <f ca="1">IF(RegimeExecucao="Global","",ORÇAMENTO!T54)</f>
        <v>12</v>
      </c>
      <c r="H54" s="121">
        <f ca="1">IF(RegimeExecucao="Global","",ORÇAMENTO!W54)</f>
        <v>0</v>
      </c>
      <c r="I54" s="124">
        <f ca="1">ORÇAMENTO!X54</f>
        <v>0</v>
      </c>
      <c r="J54" s="375">
        <f ca="1">IF($A54="S",IF(CAIXA.Modo,BM.AFAnterior,BM.MEDAnterior),IF(AND(RegimeExecucao="Global",$I54&gt;0,COUNTIF($AB$13:$AM$13,BM.medicao-1)&gt;0),M54/$I54*100,0))</f>
        <v>0</v>
      </c>
      <c r="K54" s="121">
        <f t="shared" ca="1" si="3"/>
        <v>0</v>
      </c>
      <c r="L54" s="376">
        <f ca="1">IF($A54="S",IF(CAIXA.Modo,BM.AFAcumulado,BM.MEDAcumulado),IF(AND(RegimeExecucao="Global",$I54&gt;0,COUNTIF($AB$13:$AM$13,BM.medicao)&gt;0),O54/$I54*100,0))</f>
        <v>0</v>
      </c>
      <c r="M54" s="377">
        <f ca="1">IF($A54="S",VTOTALBM,IF($A54=0,0,ROUND(SomaAgrupBM,15-13*ORÇAMENTO!$AF$11)))</f>
        <v>0</v>
      </c>
      <c r="N54" s="378">
        <f t="shared" ca="1" si="4"/>
        <v>0</v>
      </c>
      <c r="O54" s="124">
        <f ca="1">IF($A54="S",VTOTALBM,IF($A54=0,0,ROUND(SomaAgrupBM,15-13*ORÇAMENTO!$AF$11)))</f>
        <v>0</v>
      </c>
      <c r="Q54" s="379"/>
      <c r="R54" s="380"/>
      <c r="T54" s="116" t="str">
        <f t="shared" ca="1" si="5"/>
        <v/>
      </c>
      <c r="U54" s="169" t="str">
        <f t="shared" ca="1" si="6"/>
        <v/>
      </c>
      <c r="V54" s="170" t="str">
        <f ca="1">IF(AND($W54&gt;0,RegimeExecucao="Unitário"),$F54,"")</f>
        <v/>
      </c>
      <c r="W54" s="544">
        <f ca="1">IF($Y54&gt;0,CHOOSE(MATCH(RegimeExecucao,{"Unitário","Global"},0),IF($A54="S",$Y54/$X54,""),($Y54/$X54)*100),0)</f>
        <v>0</v>
      </c>
      <c r="X54" s="381" t="str">
        <f ca="1">IF($Y54&gt;0,CHOOSE(MATCH(RegimeExecucao,{"Unitário","Global"},0),IF($A54="S",ROUND($H54,ORÇAMENTO!$AF$10),""),ROUND($I54,ORÇAMENTO!$AF$11)),"")</f>
        <v/>
      </c>
      <c r="Y54" s="381">
        <f t="shared" ca="1" si="7"/>
        <v>0</v>
      </c>
      <c r="Z54" s="569"/>
      <c r="AB54" s="379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380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51" x14ac:dyDescent="0.2">
      <c r="A55" t="str">
        <f ca="1">ORÇAMENTO!C55</f>
        <v>S</v>
      </c>
      <c r="B55">
        <f ca="1">ORÇAMENTO!D55</f>
        <v>0</v>
      </c>
      <c r="C55" s="113" t="str">
        <f t="shared" ca="1" si="1"/>
        <v/>
      </c>
      <c r="D55" s="116" t="str">
        <f ca="1">ORÇAMENTO!O55</f>
        <v>-</v>
      </c>
      <c r="E55" s="169" t="str">
        <f t="shared" ca="1" si="2"/>
        <v>(abra o arquivo 'Referência 10-2024.xlsm)</v>
      </c>
      <c r="F55" s="170" t="str">
        <f ca="1">IF(RegimeExecucao="Global","",ORÇAMENTO.Unidade)</f>
        <v>-</v>
      </c>
      <c r="G55" s="121">
        <f ca="1">IF(RegimeExecucao="Global","",ORÇAMENTO!T55)</f>
        <v>35</v>
      </c>
      <c r="H55" s="121">
        <f ca="1">IF(RegimeExecucao="Global","",ORÇAMENTO!W55)</f>
        <v>0</v>
      </c>
      <c r="I55" s="124">
        <f ca="1">ORÇAMENTO!X55</f>
        <v>0</v>
      </c>
      <c r="J55" s="375">
        <f ca="1">IF($A55="S",IF(CAIXA.Modo,BM.AFAnterior,BM.MEDAnterior),IF(AND(RegimeExecucao="Global",$I55&gt;0,COUNTIF($AB$13:$AM$13,BM.medicao-1)&gt;0),M55/$I55*100,0))</f>
        <v>0</v>
      </c>
      <c r="K55" s="121">
        <f t="shared" ca="1" si="3"/>
        <v>0</v>
      </c>
      <c r="L55" s="376">
        <f ca="1">IF($A55="S",IF(CAIXA.Modo,BM.AFAcumulado,BM.MEDAcumulado),IF(AND(RegimeExecucao="Global",$I55&gt;0,COUNTIF($AB$13:$AM$13,BM.medicao)&gt;0),O55/$I55*100,0))</f>
        <v>0</v>
      </c>
      <c r="M55" s="377">
        <f ca="1">IF($A55="S",VTOTALBM,IF($A55=0,0,ROUND(SomaAgrupBM,15-13*ORÇAMENTO!$AF$11)))</f>
        <v>0</v>
      </c>
      <c r="N55" s="378">
        <f t="shared" ca="1" si="4"/>
        <v>0</v>
      </c>
      <c r="O55" s="124">
        <f ca="1">IF($A55="S",VTOTALBM,IF($A55=0,0,ROUND(SomaAgrupBM,15-13*ORÇAMENTO!$AF$11)))</f>
        <v>0</v>
      </c>
      <c r="Q55" s="379"/>
      <c r="R55" s="380"/>
      <c r="T55" s="116" t="str">
        <f t="shared" ca="1" si="5"/>
        <v/>
      </c>
      <c r="U55" s="169" t="str">
        <f t="shared" ca="1" si="6"/>
        <v/>
      </c>
      <c r="V55" s="170" t="str">
        <f ca="1">IF(AND($W55&gt;0,RegimeExecucao="Unitário"),$F55,"")</f>
        <v/>
      </c>
      <c r="W55" s="544">
        <f ca="1">IF($Y55&gt;0,CHOOSE(MATCH(RegimeExecucao,{"Unitário","Global"},0),IF($A55="S",$Y55/$X55,""),($Y55/$X55)*100),0)</f>
        <v>0</v>
      </c>
      <c r="X55" s="381" t="str">
        <f ca="1">IF($Y55&gt;0,CHOOSE(MATCH(RegimeExecucao,{"Unitário","Global"},0),IF($A55="S",ROUND($H55,ORÇAMENTO!$AF$10),""),ROUND($I55,ORÇAMENTO!$AF$11)),"")</f>
        <v/>
      </c>
      <c r="Y55" s="381">
        <f t="shared" ca="1" si="7"/>
        <v>0</v>
      </c>
      <c r="Z55" s="569"/>
      <c r="AB55" s="379"/>
      <c r="AC55" s="513"/>
      <c r="AD55" s="513"/>
      <c r="AE55" s="513"/>
      <c r="AF55" s="513"/>
      <c r="AG55" s="513"/>
      <c r="AH55" s="513"/>
      <c r="AI55" s="513"/>
      <c r="AJ55" s="513"/>
      <c r="AK55" s="513"/>
      <c r="AL55" s="513"/>
      <c r="AM55" s="380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ht="51" x14ac:dyDescent="0.2">
      <c r="A56" t="str">
        <f ca="1">ORÇAMENTO!C56</f>
        <v>S</v>
      </c>
      <c r="B56">
        <f ca="1">ORÇAMENTO!D56</f>
        <v>0</v>
      </c>
      <c r="C56" s="113" t="str">
        <f t="shared" ca="1" si="1"/>
        <v/>
      </c>
      <c r="D56" s="116" t="str">
        <f ca="1">ORÇAMENTO!O56</f>
        <v>-</v>
      </c>
      <c r="E56" s="169" t="str">
        <f t="shared" ca="1" si="2"/>
        <v>(abra o arquivo 'Referência 10-2024.xlsm)</v>
      </c>
      <c r="F56" s="170" t="str">
        <f ca="1">IF(RegimeExecucao="Global","",ORÇAMENTO.Unidade)</f>
        <v>-</v>
      </c>
      <c r="G56" s="121">
        <f ca="1">IF(RegimeExecucao="Global","",ORÇAMENTO!T56)</f>
        <v>35</v>
      </c>
      <c r="H56" s="121">
        <f ca="1">IF(RegimeExecucao="Global","",ORÇAMENTO!W56)</f>
        <v>0</v>
      </c>
      <c r="I56" s="124">
        <f ca="1">ORÇAMENTO!X56</f>
        <v>0</v>
      </c>
      <c r="J56" s="375">
        <f ca="1">IF($A56="S",IF(CAIXA.Modo,BM.AFAnterior,BM.MEDAnterior),IF(AND(RegimeExecucao="Global",$I56&gt;0,COUNTIF($AB$13:$AM$13,BM.medicao-1)&gt;0),M56/$I56*100,0))</f>
        <v>0</v>
      </c>
      <c r="K56" s="121">
        <f t="shared" ca="1" si="3"/>
        <v>0</v>
      </c>
      <c r="L56" s="376">
        <f ca="1">IF($A56="S",IF(CAIXA.Modo,BM.AFAcumulado,BM.MEDAcumulado),IF(AND(RegimeExecucao="Global",$I56&gt;0,COUNTIF($AB$13:$AM$13,BM.medicao)&gt;0),O56/$I56*100,0))</f>
        <v>0</v>
      </c>
      <c r="M56" s="377">
        <f ca="1">IF($A56="S",VTOTALBM,IF($A56=0,0,ROUND(SomaAgrupBM,15-13*ORÇAMENTO!$AF$11)))</f>
        <v>0</v>
      </c>
      <c r="N56" s="378">
        <f t="shared" ca="1" si="4"/>
        <v>0</v>
      </c>
      <c r="O56" s="124">
        <f ca="1">IF($A56="S",VTOTALBM,IF($A56=0,0,ROUND(SomaAgrupBM,15-13*ORÇAMENTO!$AF$11)))</f>
        <v>0</v>
      </c>
      <c r="Q56" s="379"/>
      <c r="R56" s="380"/>
      <c r="T56" s="116" t="str">
        <f t="shared" ca="1" si="5"/>
        <v/>
      </c>
      <c r="U56" s="169" t="str">
        <f t="shared" ca="1" si="6"/>
        <v/>
      </c>
      <c r="V56" s="170" t="str">
        <f ca="1">IF(AND($W56&gt;0,RegimeExecucao="Unitário"),$F56,"")</f>
        <v/>
      </c>
      <c r="W56" s="544">
        <f ca="1">IF($Y56&gt;0,CHOOSE(MATCH(RegimeExecucao,{"Unitário","Global"},0),IF($A56="S",$Y56/$X56,""),($Y56/$X56)*100),0)</f>
        <v>0</v>
      </c>
      <c r="X56" s="381" t="str">
        <f ca="1">IF($Y56&gt;0,CHOOSE(MATCH(RegimeExecucao,{"Unitário","Global"},0),IF($A56="S",ROUND($H56,ORÇAMENTO!$AF$10),""),ROUND($I56,ORÇAMENTO!$AF$11)),"")</f>
        <v/>
      </c>
      <c r="Y56" s="381">
        <f t="shared" ca="1" si="7"/>
        <v>0</v>
      </c>
      <c r="Z56" s="569"/>
      <c r="AB56" s="379"/>
      <c r="AC56" s="513"/>
      <c r="AD56" s="513"/>
      <c r="AE56" s="513"/>
      <c r="AF56" s="513"/>
      <c r="AG56" s="513"/>
      <c r="AH56" s="513"/>
      <c r="AI56" s="513"/>
      <c r="AJ56" s="513"/>
      <c r="AK56" s="513"/>
      <c r="AL56" s="513"/>
      <c r="AM56" s="380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>
        <f ca="1">ORÇAMENTO!C57</f>
        <v>2</v>
      </c>
      <c r="B57">
        <f ca="1">ORÇAMENTO!D57</f>
        <v>4</v>
      </c>
      <c r="C57" s="113" t="str">
        <f t="shared" ca="1" si="1"/>
        <v>F</v>
      </c>
      <c r="D57" s="116" t="str">
        <f ca="1">ORÇAMENTO!O57</f>
        <v>1.7.</v>
      </c>
      <c r="E57" s="169" t="str">
        <f t="shared" si="2"/>
        <v>REVESTIMENTOS DE FACHADA</v>
      </c>
      <c r="F57" s="170" t="str">
        <f ca="1">IF(RegimeExecucao="Global","",ORÇAMENTO.Unidade)</f>
        <v>-</v>
      </c>
      <c r="G57" s="121">
        <f ca="1">IF(RegimeExecucao="Global","",ORÇAMENTO!T57)</f>
        <v>0</v>
      </c>
      <c r="H57" s="121">
        <f ca="1">IF(RegimeExecucao="Global","",ORÇAMENTO!W57)</f>
        <v>0</v>
      </c>
      <c r="I57" s="124">
        <f ca="1">ORÇAMENTO!X57</f>
        <v>0</v>
      </c>
      <c r="J57" s="375">
        <f ca="1">IF($A57="S",IF(CAIXA.Modo,BM.AFAnterior,BM.MEDAnterior),IF(AND(RegimeExecucao="Global",$I57&gt;0,COUNTIF($AB$13:$AM$13,BM.medicao-1)&gt;0),M57/$I57*100,0))</f>
        <v>0</v>
      </c>
      <c r="K57" s="121">
        <f t="shared" ca="1" si="3"/>
        <v>0</v>
      </c>
      <c r="L57" s="376">
        <f ca="1">IF($A57="S",IF(CAIXA.Modo,BM.AFAcumulado,BM.MEDAcumulado),IF(AND(RegimeExecucao="Global",$I57&gt;0,COUNTIF($AB$13:$AM$13,BM.medicao)&gt;0),O57/$I57*100,0))</f>
        <v>0</v>
      </c>
      <c r="M57" s="377">
        <f ca="1">IF($A57="S",VTOTALBM,IF($A57=0,0,ROUND(SomaAgrupBM,15-13*ORÇAMENTO!$AF$11)))</f>
        <v>0</v>
      </c>
      <c r="N57" s="378">
        <f t="shared" ca="1" si="4"/>
        <v>0</v>
      </c>
      <c r="O57" s="124">
        <f ca="1">IF($A57="S",VTOTALBM,IF($A57=0,0,ROUND(SomaAgrupBM,15-13*ORÇAMENTO!$AF$11)))</f>
        <v>0</v>
      </c>
      <c r="Q57" s="379"/>
      <c r="R57" s="380"/>
      <c r="T57" s="116" t="str">
        <f t="shared" ca="1" si="5"/>
        <v/>
      </c>
      <c r="U57" s="169" t="str">
        <f t="shared" ca="1" si="6"/>
        <v/>
      </c>
      <c r="V57" s="170" t="str">
        <f ca="1">IF(AND($W57&gt;0,RegimeExecucao="Unitário"),$F57,"")</f>
        <v/>
      </c>
      <c r="W57" s="544">
        <f ca="1">IF($Y57&gt;0,CHOOSE(MATCH(RegimeExecucao,{"Unitário","Global"},0),IF($A57="S",$Y57/$X57,""),($Y57/$X57)*100),0)</f>
        <v>0</v>
      </c>
      <c r="X57" s="381" t="str">
        <f ca="1">IF($Y57&gt;0,CHOOSE(MATCH(RegimeExecucao,{"Unitário","Global"},0),IF($A57="S",ROUND($H57,ORÇAMENTO!$AF$10),""),ROUND($I57,ORÇAMENTO!$AF$11)),"")</f>
        <v/>
      </c>
      <c r="Y57" s="381">
        <f t="shared" ca="1" si="7"/>
        <v>0</v>
      </c>
      <c r="Z57" s="569"/>
      <c r="AB57" s="379"/>
      <c r="AC57" s="513"/>
      <c r="AD57" s="513"/>
      <c r="AE57" s="513"/>
      <c r="AF57" s="513"/>
      <c r="AG57" s="513"/>
      <c r="AH57" s="513"/>
      <c r="AI57" s="513"/>
      <c r="AJ57" s="513"/>
      <c r="AK57" s="513"/>
      <c r="AL57" s="513"/>
      <c r="AM57" s="380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ht="51" x14ac:dyDescent="0.2">
      <c r="A58" t="str">
        <f ca="1">ORÇAMENTO!C58</f>
        <v>S</v>
      </c>
      <c r="B58">
        <f ca="1">ORÇAMENTO!D58</f>
        <v>0</v>
      </c>
      <c r="C58" s="113" t="str">
        <f t="shared" ca="1" si="1"/>
        <v/>
      </c>
      <c r="D58" s="116" t="str">
        <f ca="1">ORÇAMENTO!O58</f>
        <v>-</v>
      </c>
      <c r="E58" s="169" t="str">
        <f t="shared" ca="1" si="2"/>
        <v>(abra o arquivo 'Referência 10-2024.xlsm)</v>
      </c>
      <c r="F58" s="170" t="str">
        <f ca="1">IF(RegimeExecucao="Global","",ORÇAMENTO.Unidade)</f>
        <v>-</v>
      </c>
      <c r="G58" s="121">
        <f ca="1">IF(RegimeExecucao="Global","",ORÇAMENTO!T58)</f>
        <v>118.44</v>
      </c>
      <c r="H58" s="121">
        <f ca="1">IF(RegimeExecucao="Global","",ORÇAMENTO!W58)</f>
        <v>0</v>
      </c>
      <c r="I58" s="124">
        <f ca="1">ORÇAMENTO!X58</f>
        <v>0</v>
      </c>
      <c r="J58" s="375">
        <f ca="1">IF($A58="S",IF(CAIXA.Modo,BM.AFAnterior,BM.MEDAnterior),IF(AND(RegimeExecucao="Global",$I58&gt;0,COUNTIF($AB$13:$AM$13,BM.medicao-1)&gt;0),M58/$I58*100,0))</f>
        <v>0</v>
      </c>
      <c r="K58" s="121">
        <f t="shared" ca="1" si="3"/>
        <v>0</v>
      </c>
      <c r="L58" s="376">
        <f ca="1">IF($A58="S",IF(CAIXA.Modo,BM.AFAcumulado,BM.MEDAcumulado),IF(AND(RegimeExecucao="Global",$I58&gt;0,COUNTIF($AB$13:$AM$13,BM.medicao)&gt;0),O58/$I58*100,0))</f>
        <v>0</v>
      </c>
      <c r="M58" s="377">
        <f ca="1">IF($A58="S",VTOTALBM,IF($A58=0,0,ROUND(SomaAgrupBM,15-13*ORÇAMENTO!$AF$11)))</f>
        <v>0</v>
      </c>
      <c r="N58" s="378">
        <f t="shared" ca="1" si="4"/>
        <v>0</v>
      </c>
      <c r="O58" s="124">
        <f ca="1">IF($A58="S",VTOTALBM,IF($A58=0,0,ROUND(SomaAgrupBM,15-13*ORÇAMENTO!$AF$11)))</f>
        <v>0</v>
      </c>
      <c r="Q58" s="379"/>
      <c r="R58" s="380"/>
      <c r="T58" s="116" t="str">
        <f t="shared" ca="1" si="5"/>
        <v/>
      </c>
      <c r="U58" s="169" t="str">
        <f t="shared" ca="1" si="6"/>
        <v/>
      </c>
      <c r="V58" s="170" t="str">
        <f ca="1">IF(AND($W58&gt;0,RegimeExecucao="Unitário"),$F58,"")</f>
        <v/>
      </c>
      <c r="W58" s="544">
        <f ca="1">IF($Y58&gt;0,CHOOSE(MATCH(RegimeExecucao,{"Unitário","Global"},0),IF($A58="S",$Y58/$X58,""),($Y58/$X58)*100),0)</f>
        <v>0</v>
      </c>
      <c r="X58" s="381" t="str">
        <f ca="1">IF($Y58&gt;0,CHOOSE(MATCH(RegimeExecucao,{"Unitário","Global"},0),IF($A58="S",ROUND($H58,ORÇAMENTO!$AF$10),""),ROUND($I58,ORÇAMENTO!$AF$11)),"")</f>
        <v/>
      </c>
      <c r="Y58" s="381">
        <f t="shared" ca="1" si="7"/>
        <v>0</v>
      </c>
      <c r="Z58" s="569"/>
      <c r="AB58" s="379"/>
      <c r="AC58" s="513"/>
      <c r="AD58" s="513"/>
      <c r="AE58" s="513"/>
      <c r="AF58" s="513"/>
      <c r="AG58" s="513"/>
      <c r="AH58" s="513"/>
      <c r="AI58" s="513"/>
      <c r="AJ58" s="513"/>
      <c r="AK58" s="513"/>
      <c r="AL58" s="513"/>
      <c r="AM58" s="380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ht="51" x14ac:dyDescent="0.2">
      <c r="A59" t="str">
        <f ca="1">ORÇAMENTO!C59</f>
        <v>S</v>
      </c>
      <c r="B59">
        <f ca="1">ORÇAMENTO!D59</f>
        <v>0</v>
      </c>
      <c r="C59" s="113" t="str">
        <f t="shared" ca="1" si="1"/>
        <v/>
      </c>
      <c r="D59" s="116" t="str">
        <f ca="1">ORÇAMENTO!O59</f>
        <v>-</v>
      </c>
      <c r="E59" s="169" t="str">
        <f t="shared" ca="1" si="2"/>
        <v>(abra o arquivo 'Referência 10-2024.xlsm)</v>
      </c>
      <c r="F59" s="170" t="str">
        <f ca="1">IF(RegimeExecucao="Global","",ORÇAMENTO.Unidade)</f>
        <v>-</v>
      </c>
      <c r="G59" s="121">
        <f ca="1">IF(RegimeExecucao="Global","",ORÇAMENTO!T59)</f>
        <v>118.44</v>
      </c>
      <c r="H59" s="121">
        <f ca="1">IF(RegimeExecucao="Global","",ORÇAMENTO!W59)</f>
        <v>0</v>
      </c>
      <c r="I59" s="124">
        <f ca="1">ORÇAMENTO!X59</f>
        <v>0</v>
      </c>
      <c r="J59" s="375">
        <f ca="1">IF($A59="S",IF(CAIXA.Modo,BM.AFAnterior,BM.MEDAnterior),IF(AND(RegimeExecucao="Global",$I59&gt;0,COUNTIF($AB$13:$AM$13,BM.medicao-1)&gt;0),M59/$I59*100,0))</f>
        <v>0</v>
      </c>
      <c r="K59" s="121">
        <f t="shared" ca="1" si="3"/>
        <v>0</v>
      </c>
      <c r="L59" s="376">
        <f ca="1">IF($A59="S",IF(CAIXA.Modo,BM.AFAcumulado,BM.MEDAcumulado),IF(AND(RegimeExecucao="Global",$I59&gt;0,COUNTIF($AB$13:$AM$13,BM.medicao)&gt;0),O59/$I59*100,0))</f>
        <v>0</v>
      </c>
      <c r="M59" s="377">
        <f ca="1">IF($A59="S",VTOTALBM,IF($A59=0,0,ROUND(SomaAgrupBM,15-13*ORÇAMENTO!$AF$11)))</f>
        <v>0</v>
      </c>
      <c r="N59" s="378">
        <f t="shared" ca="1" si="4"/>
        <v>0</v>
      </c>
      <c r="O59" s="124">
        <f ca="1">IF($A59="S",VTOTALBM,IF($A59=0,0,ROUND(SomaAgrupBM,15-13*ORÇAMENTO!$AF$11)))</f>
        <v>0</v>
      </c>
      <c r="Q59" s="379"/>
      <c r="R59" s="380"/>
      <c r="T59" s="116" t="str">
        <f t="shared" ca="1" si="5"/>
        <v/>
      </c>
      <c r="U59" s="169" t="str">
        <f t="shared" ca="1" si="6"/>
        <v/>
      </c>
      <c r="V59" s="170" t="str">
        <f ca="1">IF(AND($W59&gt;0,RegimeExecucao="Unitário"),$F59,"")</f>
        <v/>
      </c>
      <c r="W59" s="544">
        <f ca="1">IF($Y59&gt;0,CHOOSE(MATCH(RegimeExecucao,{"Unitário","Global"},0),IF($A59="S",$Y59/$X59,""),($Y59/$X59)*100),0)</f>
        <v>0</v>
      </c>
      <c r="X59" s="381" t="str">
        <f ca="1">IF($Y59&gt;0,CHOOSE(MATCH(RegimeExecucao,{"Unitário","Global"},0),IF($A59="S",ROUND($H59,ORÇAMENTO!$AF$10),""),ROUND($I59,ORÇAMENTO!$AF$11)),"")</f>
        <v/>
      </c>
      <c r="Y59" s="381">
        <f t="shared" ca="1" si="7"/>
        <v>0</v>
      </c>
      <c r="Z59" s="569"/>
      <c r="AB59" s="379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380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ht="25.5" x14ac:dyDescent="0.2">
      <c r="A60" t="str">
        <f ca="1">ORÇAMENTO!C60</f>
        <v>S</v>
      </c>
      <c r="B60">
        <f ca="1">ORÇAMENTO!D60</f>
        <v>0</v>
      </c>
      <c r="C60" s="113" t="str">
        <f t="shared" ca="1" si="1"/>
        <v/>
      </c>
      <c r="D60" s="116" t="str">
        <f ca="1">ORÇAMENTO!O60</f>
        <v>-</v>
      </c>
      <c r="E60" s="169" t="str">
        <f t="shared" ca="1" si="2"/>
        <v>(abra o arquivo 'Referência 10-2024.xlsm)</v>
      </c>
      <c r="F60" s="170" t="str">
        <f ca="1">IF(RegimeExecucao="Global","",ORÇAMENTO.Unidade)</f>
        <v>-</v>
      </c>
      <c r="G60" s="121">
        <f ca="1">IF(RegimeExecucao="Global","",ORÇAMENTO!T60)</f>
        <v>118.44</v>
      </c>
      <c r="H60" s="121">
        <f ca="1">IF(RegimeExecucao="Global","",ORÇAMENTO!W60)</f>
        <v>0</v>
      </c>
      <c r="I60" s="124">
        <f ca="1">ORÇAMENTO!X60</f>
        <v>0</v>
      </c>
      <c r="J60" s="375">
        <f ca="1">IF($A60="S",IF(CAIXA.Modo,BM.AFAnterior,BM.MEDAnterior),IF(AND(RegimeExecucao="Global",$I60&gt;0,COUNTIF($AB$13:$AM$13,BM.medicao-1)&gt;0),M60/$I60*100,0))</f>
        <v>0</v>
      </c>
      <c r="K60" s="121">
        <f t="shared" ca="1" si="3"/>
        <v>0</v>
      </c>
      <c r="L60" s="376">
        <f ca="1">IF($A60="S",IF(CAIXA.Modo,BM.AFAcumulado,BM.MEDAcumulado),IF(AND(RegimeExecucao="Global",$I60&gt;0,COUNTIF($AB$13:$AM$13,BM.medicao)&gt;0),O60/$I60*100,0))</f>
        <v>0</v>
      </c>
      <c r="M60" s="377">
        <f ca="1">IF($A60="S",VTOTALBM,IF($A60=0,0,ROUND(SomaAgrupBM,15-13*ORÇAMENTO!$AF$11)))</f>
        <v>0</v>
      </c>
      <c r="N60" s="378">
        <f t="shared" ca="1" si="4"/>
        <v>0</v>
      </c>
      <c r="O60" s="124">
        <f ca="1">IF($A60="S",VTOTALBM,IF($A60=0,0,ROUND(SomaAgrupBM,15-13*ORÇAMENTO!$AF$11)))</f>
        <v>0</v>
      </c>
      <c r="Q60" s="379"/>
      <c r="R60" s="380"/>
      <c r="T60" s="116" t="str">
        <f t="shared" ca="1" si="5"/>
        <v/>
      </c>
      <c r="U60" s="169" t="str">
        <f t="shared" ca="1" si="6"/>
        <v/>
      </c>
      <c r="V60" s="170" t="str">
        <f ca="1">IF(AND($W60&gt;0,RegimeExecucao="Unitário"),$F60,"")</f>
        <v/>
      </c>
      <c r="W60" s="544">
        <f ca="1">IF($Y60&gt;0,CHOOSE(MATCH(RegimeExecucao,{"Unitário","Global"},0),IF($A60="S",$Y60/$X60,""),($Y60/$X60)*100),0)</f>
        <v>0</v>
      </c>
      <c r="X60" s="381" t="str">
        <f ca="1">IF($Y60&gt;0,CHOOSE(MATCH(RegimeExecucao,{"Unitário","Global"},0),IF($A60="S",ROUND($H60,ORÇAMENTO!$AF$10),""),ROUND($I60,ORÇAMENTO!$AF$11)),"")</f>
        <v/>
      </c>
      <c r="Y60" s="381">
        <f t="shared" ca="1" si="7"/>
        <v>0</v>
      </c>
      <c r="Z60" s="569"/>
      <c r="AB60" s="379"/>
      <c r="AC60" s="513"/>
      <c r="AD60" s="513"/>
      <c r="AE60" s="513"/>
      <c r="AF60" s="513"/>
      <c r="AG60" s="513"/>
      <c r="AH60" s="513"/>
      <c r="AI60" s="513"/>
      <c r="AJ60" s="513"/>
      <c r="AK60" s="513"/>
      <c r="AL60" s="513"/>
      <c r="AM60" s="380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>
        <f ca="1">ORÇAMENTO!C61</f>
        <v>2</v>
      </c>
      <c r="B61">
        <f ca="1">ORÇAMENTO!D61</f>
        <v>5</v>
      </c>
      <c r="C61" s="113" t="str">
        <f t="shared" ca="1" si="1"/>
        <v>F</v>
      </c>
      <c r="D61" s="116" t="str">
        <f ca="1">ORÇAMENTO!O61</f>
        <v>1.8.</v>
      </c>
      <c r="E61" s="169" t="str">
        <f t="shared" si="2"/>
        <v>REVESTIMENTOS DE PAREDES INTERNAS</v>
      </c>
      <c r="F61" s="170" t="str">
        <f ca="1">IF(RegimeExecucao="Global","",ORÇAMENTO.Unidade)</f>
        <v>-</v>
      </c>
      <c r="G61" s="121">
        <f ca="1">IF(RegimeExecucao="Global","",ORÇAMENTO!T61)</f>
        <v>0</v>
      </c>
      <c r="H61" s="121">
        <f ca="1">IF(RegimeExecucao="Global","",ORÇAMENTO!W61)</f>
        <v>0</v>
      </c>
      <c r="I61" s="124">
        <f ca="1">ORÇAMENTO!X61</f>
        <v>0</v>
      </c>
      <c r="J61" s="375">
        <f ca="1">IF($A61="S",IF(CAIXA.Modo,BM.AFAnterior,BM.MEDAnterior),IF(AND(RegimeExecucao="Global",$I61&gt;0,COUNTIF($AB$13:$AM$13,BM.medicao-1)&gt;0),M61/$I61*100,0))</f>
        <v>0</v>
      </c>
      <c r="K61" s="121">
        <f t="shared" ca="1" si="3"/>
        <v>0</v>
      </c>
      <c r="L61" s="376">
        <f ca="1">IF($A61="S",IF(CAIXA.Modo,BM.AFAcumulado,BM.MEDAcumulado),IF(AND(RegimeExecucao="Global",$I61&gt;0,COUNTIF($AB$13:$AM$13,BM.medicao)&gt;0),O61/$I61*100,0))</f>
        <v>0</v>
      </c>
      <c r="M61" s="377">
        <f ca="1">IF($A61="S",VTOTALBM,IF($A61=0,0,ROUND(SomaAgrupBM,15-13*ORÇAMENTO!$AF$11)))</f>
        <v>0</v>
      </c>
      <c r="N61" s="378">
        <f t="shared" ca="1" si="4"/>
        <v>0</v>
      </c>
      <c r="O61" s="124">
        <f ca="1">IF($A61="S",VTOTALBM,IF($A61=0,0,ROUND(SomaAgrupBM,15-13*ORÇAMENTO!$AF$11)))</f>
        <v>0</v>
      </c>
      <c r="Q61" s="379"/>
      <c r="R61" s="380"/>
      <c r="T61" s="116" t="str">
        <f t="shared" ca="1" si="5"/>
        <v/>
      </c>
      <c r="U61" s="169" t="str">
        <f t="shared" ca="1" si="6"/>
        <v/>
      </c>
      <c r="V61" s="170" t="str">
        <f ca="1">IF(AND($W61&gt;0,RegimeExecucao="Unitário"),$F61,"")</f>
        <v/>
      </c>
      <c r="W61" s="544">
        <f ca="1">IF($Y61&gt;0,CHOOSE(MATCH(RegimeExecucao,{"Unitário","Global"},0),IF($A61="S",$Y61/$X61,""),($Y61/$X61)*100),0)</f>
        <v>0</v>
      </c>
      <c r="X61" s="381" t="str">
        <f ca="1">IF($Y61&gt;0,CHOOSE(MATCH(RegimeExecucao,{"Unitário","Global"},0),IF($A61="S",ROUND($H61,ORÇAMENTO!$AF$10),""),ROUND($I61,ORÇAMENTO!$AF$11)),"")</f>
        <v/>
      </c>
      <c r="Y61" s="381">
        <f t="shared" ca="1" si="7"/>
        <v>0</v>
      </c>
      <c r="Z61" s="569"/>
      <c r="AB61" s="379"/>
      <c r="AC61" s="513"/>
      <c r="AD61" s="513"/>
      <c r="AE61" s="513"/>
      <c r="AF61" s="513"/>
      <c r="AG61" s="513"/>
      <c r="AH61" s="513"/>
      <c r="AI61" s="513"/>
      <c r="AJ61" s="513"/>
      <c r="AK61" s="513"/>
      <c r="AL61" s="513"/>
      <c r="AM61" s="380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38.25" x14ac:dyDescent="0.2">
      <c r="A62" t="str">
        <f ca="1">ORÇAMENTO!C62</f>
        <v>S</v>
      </c>
      <c r="B62">
        <f ca="1">ORÇAMENTO!D62</f>
        <v>0</v>
      </c>
      <c r="C62" s="113" t="str">
        <f t="shared" ca="1" si="1"/>
        <v/>
      </c>
      <c r="D62" s="116" t="str">
        <f ca="1">ORÇAMENTO!O62</f>
        <v>-</v>
      </c>
      <c r="E62" s="169" t="str">
        <f t="shared" ca="1" si="2"/>
        <v>(abra o arquivo 'Referência 10-2024.xlsm)</v>
      </c>
      <c r="F62" s="170" t="str">
        <f ca="1">IF(RegimeExecucao="Global","",ORÇAMENTO.Unidade)</f>
        <v>-</v>
      </c>
      <c r="G62" s="121">
        <f ca="1">IF(RegimeExecucao="Global","",ORÇAMENTO!T62)</f>
        <v>17.100000000000001</v>
      </c>
      <c r="H62" s="121">
        <f ca="1">IF(RegimeExecucao="Global","",ORÇAMENTO!W62)</f>
        <v>0</v>
      </c>
      <c r="I62" s="124">
        <f ca="1">ORÇAMENTO!X62</f>
        <v>0</v>
      </c>
      <c r="J62" s="375">
        <f ca="1">IF($A62="S",IF(CAIXA.Modo,BM.AFAnterior,BM.MEDAnterior),IF(AND(RegimeExecucao="Global",$I62&gt;0,COUNTIF($AB$13:$AM$13,BM.medicao-1)&gt;0),M62/$I62*100,0))</f>
        <v>0</v>
      </c>
      <c r="K62" s="121">
        <f t="shared" ca="1" si="3"/>
        <v>0</v>
      </c>
      <c r="L62" s="376">
        <f ca="1">IF($A62="S",IF(CAIXA.Modo,BM.AFAcumulado,BM.MEDAcumulado),IF(AND(RegimeExecucao="Global",$I62&gt;0,COUNTIF($AB$13:$AM$13,BM.medicao)&gt;0),O62/$I62*100,0))</f>
        <v>0</v>
      </c>
      <c r="M62" s="377">
        <f ca="1">IF($A62="S",VTOTALBM,IF($A62=0,0,ROUND(SomaAgrupBM,15-13*ORÇAMENTO!$AF$11)))</f>
        <v>0</v>
      </c>
      <c r="N62" s="378">
        <f t="shared" ca="1" si="4"/>
        <v>0</v>
      </c>
      <c r="O62" s="124">
        <f ca="1">IF($A62="S",VTOTALBM,IF($A62=0,0,ROUND(SomaAgrupBM,15-13*ORÇAMENTO!$AF$11)))</f>
        <v>0</v>
      </c>
      <c r="Q62" s="379"/>
      <c r="R62" s="380"/>
      <c r="T62" s="116" t="str">
        <f t="shared" ca="1" si="5"/>
        <v/>
      </c>
      <c r="U62" s="169" t="str">
        <f t="shared" ca="1" si="6"/>
        <v/>
      </c>
      <c r="V62" s="170" t="str">
        <f ca="1">IF(AND($W62&gt;0,RegimeExecucao="Unitário"),$F62,"")</f>
        <v/>
      </c>
      <c r="W62" s="544">
        <f ca="1">IF($Y62&gt;0,CHOOSE(MATCH(RegimeExecucao,{"Unitário","Global"},0),IF($A62="S",$Y62/$X62,""),($Y62/$X62)*100),0)</f>
        <v>0</v>
      </c>
      <c r="X62" s="381" t="str">
        <f ca="1">IF($Y62&gt;0,CHOOSE(MATCH(RegimeExecucao,{"Unitário","Global"},0),IF($A62="S",ROUND($H62,ORÇAMENTO!$AF$10),""),ROUND($I62,ORÇAMENTO!$AF$11)),"")</f>
        <v/>
      </c>
      <c r="Y62" s="381">
        <f t="shared" ca="1" si="7"/>
        <v>0</v>
      </c>
      <c r="Z62" s="569"/>
      <c r="AB62" s="379"/>
      <c r="AC62" s="513"/>
      <c r="AD62" s="513"/>
      <c r="AE62" s="513"/>
      <c r="AF62" s="513"/>
      <c r="AG62" s="513"/>
      <c r="AH62" s="513"/>
      <c r="AI62" s="513"/>
      <c r="AJ62" s="513"/>
      <c r="AK62" s="513"/>
      <c r="AL62" s="513"/>
      <c r="AM62" s="380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51" x14ac:dyDescent="0.2">
      <c r="A63" t="str">
        <f ca="1">ORÇAMENTO!C63</f>
        <v>S</v>
      </c>
      <c r="B63">
        <f ca="1">ORÇAMENTO!D63</f>
        <v>0</v>
      </c>
      <c r="C63" s="113" t="str">
        <f t="shared" ca="1" si="1"/>
        <v/>
      </c>
      <c r="D63" s="116" t="str">
        <f ca="1">ORÇAMENTO!O63</f>
        <v>-</v>
      </c>
      <c r="E63" s="169" t="str">
        <f t="shared" ca="1" si="2"/>
        <v>(abra o arquivo 'Referência 10-2024.xlsm)</v>
      </c>
      <c r="F63" s="170" t="str">
        <f ca="1">IF(RegimeExecucao="Global","",ORÇAMENTO.Unidade)</f>
        <v>-</v>
      </c>
      <c r="G63" s="121">
        <f ca="1">IF(RegimeExecucao="Global","",ORÇAMENTO!T63)</f>
        <v>107.04</v>
      </c>
      <c r="H63" s="121">
        <f ca="1">IF(RegimeExecucao="Global","",ORÇAMENTO!W63)</f>
        <v>0</v>
      </c>
      <c r="I63" s="124">
        <f ca="1">ORÇAMENTO!X63</f>
        <v>0</v>
      </c>
      <c r="J63" s="375">
        <f ca="1">IF($A63="S",IF(CAIXA.Modo,BM.AFAnterior,BM.MEDAnterior),IF(AND(RegimeExecucao="Global",$I63&gt;0,COUNTIF($AB$13:$AM$13,BM.medicao-1)&gt;0),M63/$I63*100,0))</f>
        <v>0</v>
      </c>
      <c r="K63" s="121">
        <f t="shared" ca="1" si="3"/>
        <v>0</v>
      </c>
      <c r="L63" s="376">
        <f ca="1">IF($A63="S",IF(CAIXA.Modo,BM.AFAcumulado,BM.MEDAcumulado),IF(AND(RegimeExecucao="Global",$I63&gt;0,COUNTIF($AB$13:$AM$13,BM.medicao)&gt;0),O63/$I63*100,0))</f>
        <v>0</v>
      </c>
      <c r="M63" s="377">
        <f ca="1">IF($A63="S",VTOTALBM,IF($A63=0,0,ROUND(SomaAgrupBM,15-13*ORÇAMENTO!$AF$11)))</f>
        <v>0</v>
      </c>
      <c r="N63" s="378">
        <f t="shared" ca="1" si="4"/>
        <v>0</v>
      </c>
      <c r="O63" s="124">
        <f ca="1">IF($A63="S",VTOTALBM,IF($A63=0,0,ROUND(SomaAgrupBM,15-13*ORÇAMENTO!$AF$11)))</f>
        <v>0</v>
      </c>
      <c r="Q63" s="379"/>
      <c r="R63" s="380"/>
      <c r="T63" s="116" t="str">
        <f t="shared" ca="1" si="5"/>
        <v/>
      </c>
      <c r="U63" s="169" t="str">
        <f t="shared" ca="1" si="6"/>
        <v/>
      </c>
      <c r="V63" s="170" t="str">
        <f ca="1">IF(AND($W63&gt;0,RegimeExecucao="Unitário"),$F63,"")</f>
        <v/>
      </c>
      <c r="W63" s="544">
        <f ca="1">IF($Y63&gt;0,CHOOSE(MATCH(RegimeExecucao,{"Unitário","Global"},0),IF($A63="S",$Y63/$X63,""),($Y63/$X63)*100),0)</f>
        <v>0</v>
      </c>
      <c r="X63" s="381" t="str">
        <f ca="1">IF($Y63&gt;0,CHOOSE(MATCH(RegimeExecucao,{"Unitário","Global"},0),IF($A63="S",ROUND($H63,ORÇAMENTO!$AF$10),""),ROUND($I63,ORÇAMENTO!$AF$11)),"")</f>
        <v/>
      </c>
      <c r="Y63" s="381">
        <f t="shared" ca="1" si="7"/>
        <v>0</v>
      </c>
      <c r="Z63" s="569"/>
      <c r="AB63" s="379"/>
      <c r="AC63" s="513"/>
      <c r="AD63" s="513"/>
      <c r="AE63" s="513"/>
      <c r="AF63" s="513"/>
      <c r="AG63" s="513"/>
      <c r="AH63" s="513"/>
      <c r="AI63" s="513"/>
      <c r="AJ63" s="513"/>
      <c r="AK63" s="513"/>
      <c r="AL63" s="513"/>
      <c r="AM63" s="380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51" x14ac:dyDescent="0.2">
      <c r="A64" t="str">
        <f ca="1">ORÇAMENTO!C64</f>
        <v>S</v>
      </c>
      <c r="B64">
        <f ca="1">ORÇAMENTO!D64</f>
        <v>0</v>
      </c>
      <c r="C64" s="113" t="str">
        <f t="shared" ca="1" si="1"/>
        <v/>
      </c>
      <c r="D64" s="116" t="str">
        <f ca="1">ORÇAMENTO!O64</f>
        <v>-</v>
      </c>
      <c r="E64" s="169" t="str">
        <f t="shared" ca="1" si="2"/>
        <v>(abra o arquivo 'Referência 10-2024.xlsm)</v>
      </c>
      <c r="F64" s="170" t="str">
        <f ca="1">IF(RegimeExecucao="Global","",ORÇAMENTO.Unidade)</f>
        <v>-</v>
      </c>
      <c r="G64" s="121">
        <f ca="1">IF(RegimeExecucao="Global","",ORÇAMENTO!T64)</f>
        <v>107.04</v>
      </c>
      <c r="H64" s="121">
        <f ca="1">IF(RegimeExecucao="Global","",ORÇAMENTO!W64)</f>
        <v>0</v>
      </c>
      <c r="I64" s="124">
        <f ca="1">ORÇAMENTO!X64</f>
        <v>0</v>
      </c>
      <c r="J64" s="375">
        <f ca="1">IF($A64="S",IF(CAIXA.Modo,BM.AFAnterior,BM.MEDAnterior),IF(AND(RegimeExecucao="Global",$I64&gt;0,COUNTIF($AB$13:$AM$13,BM.medicao-1)&gt;0),M64/$I64*100,0))</f>
        <v>0</v>
      </c>
      <c r="K64" s="121">
        <f t="shared" ca="1" si="3"/>
        <v>0</v>
      </c>
      <c r="L64" s="376">
        <f ca="1">IF($A64="S",IF(CAIXA.Modo,BM.AFAcumulado,BM.MEDAcumulado),IF(AND(RegimeExecucao="Global",$I64&gt;0,COUNTIF($AB$13:$AM$13,BM.medicao)&gt;0),O64/$I64*100,0))</f>
        <v>0</v>
      </c>
      <c r="M64" s="377">
        <f ca="1">IF($A64="S",VTOTALBM,IF($A64=0,0,ROUND(SomaAgrupBM,15-13*ORÇAMENTO!$AF$11)))</f>
        <v>0</v>
      </c>
      <c r="N64" s="378">
        <f t="shared" ca="1" si="4"/>
        <v>0</v>
      </c>
      <c r="O64" s="124">
        <f ca="1">IF($A64="S",VTOTALBM,IF($A64=0,0,ROUND(SomaAgrupBM,15-13*ORÇAMENTO!$AF$11)))</f>
        <v>0</v>
      </c>
      <c r="Q64" s="379"/>
      <c r="R64" s="380"/>
      <c r="T64" s="116" t="str">
        <f t="shared" ca="1" si="5"/>
        <v/>
      </c>
      <c r="U64" s="169" t="str">
        <f t="shared" ca="1" si="6"/>
        <v/>
      </c>
      <c r="V64" s="170" t="str">
        <f ca="1">IF(AND($W64&gt;0,RegimeExecucao="Unitário"),$F64,"")</f>
        <v/>
      </c>
      <c r="W64" s="544">
        <f ca="1">IF($Y64&gt;0,CHOOSE(MATCH(RegimeExecucao,{"Unitário","Global"},0),IF($A64="S",$Y64/$X64,""),($Y64/$X64)*100),0)</f>
        <v>0</v>
      </c>
      <c r="X64" s="381" t="str">
        <f ca="1">IF($Y64&gt;0,CHOOSE(MATCH(RegimeExecucao,{"Unitário","Global"},0),IF($A64="S",ROUND($H64,ORÇAMENTO!$AF$10),""),ROUND($I64,ORÇAMENTO!$AF$11)),"")</f>
        <v/>
      </c>
      <c r="Y64" s="381">
        <f t="shared" ca="1" si="7"/>
        <v>0</v>
      </c>
      <c r="Z64" s="569"/>
      <c r="AB64" s="379"/>
      <c r="AC64" s="513"/>
      <c r="AD64" s="513"/>
      <c r="AE64" s="513"/>
      <c r="AF64" s="513"/>
      <c r="AG64" s="513"/>
      <c r="AH64" s="513"/>
      <c r="AI64" s="513"/>
      <c r="AJ64" s="513"/>
      <c r="AK64" s="513"/>
      <c r="AL64" s="513"/>
      <c r="AM64" s="380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25.5" x14ac:dyDescent="0.2">
      <c r="A65" t="str">
        <f ca="1">ORÇAMENTO!C65</f>
        <v>S</v>
      </c>
      <c r="B65">
        <f ca="1">ORÇAMENTO!D65</f>
        <v>0</v>
      </c>
      <c r="C65" s="113" t="str">
        <f t="shared" ca="1" si="1"/>
        <v/>
      </c>
      <c r="D65" s="116" t="str">
        <f ca="1">ORÇAMENTO!O65</f>
        <v>-</v>
      </c>
      <c r="E65" s="169" t="str">
        <f t="shared" ca="1" si="2"/>
        <v>(abra o arquivo 'Referência 10-2024.xlsm)</v>
      </c>
      <c r="F65" s="170" t="str">
        <f ca="1">IF(RegimeExecucao="Global","",ORÇAMENTO.Unidade)</f>
        <v>-</v>
      </c>
      <c r="G65" s="121">
        <f ca="1">IF(RegimeExecucao="Global","",ORÇAMENTO!T65)</f>
        <v>95.04</v>
      </c>
      <c r="H65" s="121">
        <f ca="1">IF(RegimeExecucao="Global","",ORÇAMENTO!W65)</f>
        <v>0</v>
      </c>
      <c r="I65" s="124">
        <f ca="1">ORÇAMENTO!X65</f>
        <v>0</v>
      </c>
      <c r="J65" s="375">
        <f ca="1">IF($A65="S",IF(CAIXA.Modo,BM.AFAnterior,BM.MEDAnterior),IF(AND(RegimeExecucao="Global",$I65&gt;0,COUNTIF($AB$13:$AM$13,BM.medicao-1)&gt;0),M65/$I65*100,0))</f>
        <v>0</v>
      </c>
      <c r="K65" s="121">
        <f t="shared" ca="1" si="3"/>
        <v>0</v>
      </c>
      <c r="L65" s="376">
        <f ca="1">IF($A65="S",IF(CAIXA.Modo,BM.AFAcumulado,BM.MEDAcumulado),IF(AND(RegimeExecucao="Global",$I65&gt;0,COUNTIF($AB$13:$AM$13,BM.medicao)&gt;0),O65/$I65*100,0))</f>
        <v>0</v>
      </c>
      <c r="M65" s="377">
        <f ca="1">IF($A65="S",VTOTALBM,IF($A65=0,0,ROUND(SomaAgrupBM,15-13*ORÇAMENTO!$AF$11)))</f>
        <v>0</v>
      </c>
      <c r="N65" s="378">
        <f t="shared" ca="1" si="4"/>
        <v>0</v>
      </c>
      <c r="O65" s="124">
        <f ca="1">IF($A65="S",VTOTALBM,IF($A65=0,0,ROUND(SomaAgrupBM,15-13*ORÇAMENTO!$AF$11)))</f>
        <v>0</v>
      </c>
      <c r="Q65" s="379"/>
      <c r="R65" s="380"/>
      <c r="T65" s="116" t="str">
        <f t="shared" ca="1" si="5"/>
        <v/>
      </c>
      <c r="U65" s="169" t="str">
        <f t="shared" ca="1" si="6"/>
        <v/>
      </c>
      <c r="V65" s="170" t="str">
        <f ca="1">IF(AND($W65&gt;0,RegimeExecucao="Unitário"),$F65,"")</f>
        <v/>
      </c>
      <c r="W65" s="544">
        <f ca="1">IF($Y65&gt;0,CHOOSE(MATCH(RegimeExecucao,{"Unitário","Global"},0),IF($A65="S",$Y65/$X65,""),($Y65/$X65)*100),0)</f>
        <v>0</v>
      </c>
      <c r="X65" s="381" t="str">
        <f ca="1">IF($Y65&gt;0,CHOOSE(MATCH(RegimeExecucao,{"Unitário","Global"},0),IF($A65="S",ROUND($H65,ORÇAMENTO!$AF$10),""),ROUND($I65,ORÇAMENTO!$AF$11)),"")</f>
        <v/>
      </c>
      <c r="Y65" s="381">
        <f t="shared" ca="1" si="7"/>
        <v>0</v>
      </c>
      <c r="Z65" s="569"/>
      <c r="AB65" s="379"/>
      <c r="AC65" s="513"/>
      <c r="AD65" s="513"/>
      <c r="AE65" s="513"/>
      <c r="AF65" s="513"/>
      <c r="AG65" s="513"/>
      <c r="AH65" s="513"/>
      <c r="AI65" s="513"/>
      <c r="AJ65" s="513"/>
      <c r="AK65" s="513"/>
      <c r="AL65" s="513"/>
      <c r="AM65" s="380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>
        <f ca="1">ORÇAMENTO!C66</f>
        <v>2</v>
      </c>
      <c r="B66">
        <f ca="1">ORÇAMENTO!D66</f>
        <v>2</v>
      </c>
      <c r="C66" s="113" t="str">
        <f t="shared" ca="1" si="1"/>
        <v>F</v>
      </c>
      <c r="D66" s="116" t="str">
        <f ca="1">ORÇAMENTO!O66</f>
        <v>1.9.</v>
      </c>
      <c r="E66" s="169" t="str">
        <f t="shared" si="2"/>
        <v>IMPERMEABILIZAÇÃO</v>
      </c>
      <c r="F66" s="170" t="str">
        <f ca="1">IF(RegimeExecucao="Global","",ORÇAMENTO.Unidade)</f>
        <v>-</v>
      </c>
      <c r="G66" s="121">
        <f ca="1">IF(RegimeExecucao="Global","",ORÇAMENTO!T66)</f>
        <v>0</v>
      </c>
      <c r="H66" s="121">
        <f ca="1">IF(RegimeExecucao="Global","",ORÇAMENTO!W66)</f>
        <v>0</v>
      </c>
      <c r="I66" s="124">
        <f ca="1">ORÇAMENTO!X66</f>
        <v>0</v>
      </c>
      <c r="J66" s="375">
        <f ca="1">IF($A66="S",IF(CAIXA.Modo,BM.AFAnterior,BM.MEDAnterior),IF(AND(RegimeExecucao="Global",$I66&gt;0,COUNTIF($AB$13:$AM$13,BM.medicao-1)&gt;0),M66/$I66*100,0))</f>
        <v>0</v>
      </c>
      <c r="K66" s="121">
        <f t="shared" ca="1" si="3"/>
        <v>0</v>
      </c>
      <c r="L66" s="376">
        <f ca="1">IF($A66="S",IF(CAIXA.Modo,BM.AFAcumulado,BM.MEDAcumulado),IF(AND(RegimeExecucao="Global",$I66&gt;0,COUNTIF($AB$13:$AM$13,BM.medicao)&gt;0),O66/$I66*100,0))</f>
        <v>0</v>
      </c>
      <c r="M66" s="377">
        <f ca="1">IF($A66="S",VTOTALBM,IF($A66=0,0,ROUND(SomaAgrupBM,15-13*ORÇAMENTO!$AF$11)))</f>
        <v>0</v>
      </c>
      <c r="N66" s="378">
        <f t="shared" ca="1" si="4"/>
        <v>0</v>
      </c>
      <c r="O66" s="124">
        <f ca="1">IF($A66="S",VTOTALBM,IF($A66=0,0,ROUND(SomaAgrupBM,15-13*ORÇAMENTO!$AF$11)))</f>
        <v>0</v>
      </c>
      <c r="Q66" s="379"/>
      <c r="R66" s="380"/>
      <c r="T66" s="116" t="str">
        <f t="shared" ca="1" si="5"/>
        <v/>
      </c>
      <c r="U66" s="169" t="str">
        <f t="shared" ca="1" si="6"/>
        <v/>
      </c>
      <c r="V66" s="170" t="str">
        <f ca="1">IF(AND($W66&gt;0,RegimeExecucao="Unitário"),$F66,"")</f>
        <v/>
      </c>
      <c r="W66" s="544">
        <f ca="1">IF($Y66&gt;0,CHOOSE(MATCH(RegimeExecucao,{"Unitário","Global"},0),IF($A66="S",$Y66/$X66,""),($Y66/$X66)*100),0)</f>
        <v>0</v>
      </c>
      <c r="X66" s="381" t="str">
        <f ca="1">IF($Y66&gt;0,CHOOSE(MATCH(RegimeExecucao,{"Unitário","Global"},0),IF($A66="S",ROUND($H66,ORÇAMENTO!$AF$10),""),ROUND($I66,ORÇAMENTO!$AF$11)),"")</f>
        <v/>
      </c>
      <c r="Y66" s="381">
        <f t="shared" ca="1" si="7"/>
        <v>0</v>
      </c>
      <c r="Z66" s="569"/>
      <c r="AB66" s="379"/>
      <c r="AC66" s="513"/>
      <c r="AD66" s="513"/>
      <c r="AE66" s="513"/>
      <c r="AF66" s="513"/>
      <c r="AG66" s="513"/>
      <c r="AH66" s="513"/>
      <c r="AI66" s="513"/>
      <c r="AJ66" s="513"/>
      <c r="AK66" s="513"/>
      <c r="AL66" s="513"/>
      <c r="AM66" s="380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25.5" x14ac:dyDescent="0.2">
      <c r="A67" t="str">
        <f ca="1">ORÇAMENTO!C67</f>
        <v>S</v>
      </c>
      <c r="B67">
        <f ca="1">ORÇAMENTO!D67</f>
        <v>0</v>
      </c>
      <c r="C67" s="113" t="str">
        <f t="shared" ca="1" si="1"/>
        <v/>
      </c>
      <c r="D67" s="116" t="str">
        <f ca="1">ORÇAMENTO!O67</f>
        <v>-</v>
      </c>
      <c r="E67" s="169" t="str">
        <f t="shared" ca="1" si="2"/>
        <v>(abra o arquivo 'Referência 10-2024.xlsm)</v>
      </c>
      <c r="F67" s="170" t="str">
        <f ca="1">IF(RegimeExecucao="Global","",ORÇAMENTO.Unidade)</f>
        <v>-</v>
      </c>
      <c r="G67" s="121">
        <f ca="1">IF(RegimeExecucao="Global","",ORÇAMENTO!T67)</f>
        <v>13</v>
      </c>
      <c r="H67" s="121">
        <f ca="1">IF(RegimeExecucao="Global","",ORÇAMENTO!W67)</f>
        <v>0</v>
      </c>
      <c r="I67" s="124">
        <f ca="1">ORÇAMENTO!X67</f>
        <v>0</v>
      </c>
      <c r="J67" s="375">
        <f ca="1">IF($A67="S",IF(CAIXA.Modo,BM.AFAnterior,BM.MEDAnterior),IF(AND(RegimeExecucao="Global",$I67&gt;0,COUNTIF($AB$13:$AM$13,BM.medicao-1)&gt;0),M67/$I67*100,0))</f>
        <v>0</v>
      </c>
      <c r="K67" s="121">
        <f t="shared" ca="1" si="3"/>
        <v>0</v>
      </c>
      <c r="L67" s="376">
        <f ca="1">IF($A67="S",IF(CAIXA.Modo,BM.AFAcumulado,BM.MEDAcumulado),IF(AND(RegimeExecucao="Global",$I67&gt;0,COUNTIF($AB$13:$AM$13,BM.medicao)&gt;0),O67/$I67*100,0))</f>
        <v>0</v>
      </c>
      <c r="M67" s="377">
        <f ca="1">IF($A67="S",VTOTALBM,IF($A67=0,0,ROUND(SomaAgrupBM,15-13*ORÇAMENTO!$AF$11)))</f>
        <v>0</v>
      </c>
      <c r="N67" s="378">
        <f t="shared" ca="1" si="4"/>
        <v>0</v>
      </c>
      <c r="O67" s="124">
        <f ca="1">IF($A67="S",VTOTALBM,IF($A67=0,0,ROUND(SomaAgrupBM,15-13*ORÇAMENTO!$AF$11)))</f>
        <v>0</v>
      </c>
      <c r="Q67" s="379"/>
      <c r="R67" s="380"/>
      <c r="T67" s="116" t="str">
        <f t="shared" ca="1" si="5"/>
        <v/>
      </c>
      <c r="U67" s="169" t="str">
        <f t="shared" ca="1" si="6"/>
        <v/>
      </c>
      <c r="V67" s="170" t="str">
        <f ca="1">IF(AND($W67&gt;0,RegimeExecucao="Unitário"),$F67,"")</f>
        <v/>
      </c>
      <c r="W67" s="544">
        <f ca="1">IF($Y67&gt;0,CHOOSE(MATCH(RegimeExecucao,{"Unitário","Global"},0),IF($A67="S",$Y67/$X67,""),($Y67/$X67)*100),0)</f>
        <v>0</v>
      </c>
      <c r="X67" s="381" t="str">
        <f ca="1">IF($Y67&gt;0,CHOOSE(MATCH(RegimeExecucao,{"Unitário","Global"},0),IF($A67="S",ROUND($H67,ORÇAMENTO!$AF$10),""),ROUND($I67,ORÇAMENTO!$AF$11)),"")</f>
        <v/>
      </c>
      <c r="Y67" s="381">
        <f t="shared" ca="1" si="7"/>
        <v>0</v>
      </c>
      <c r="Z67" s="569"/>
      <c r="AB67" s="379"/>
      <c r="AC67" s="513"/>
      <c r="AD67" s="513"/>
      <c r="AE67" s="513"/>
      <c r="AF67" s="513"/>
      <c r="AG67" s="513"/>
      <c r="AH67" s="513"/>
      <c r="AI67" s="513"/>
      <c r="AJ67" s="513"/>
      <c r="AK67" s="513"/>
      <c r="AL67" s="513"/>
      <c r="AM67" s="380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>
        <f ca="1">ORÇAMENTO!C68</f>
        <v>2</v>
      </c>
      <c r="B68">
        <f ca="1">ORÇAMENTO!D68</f>
        <v>4</v>
      </c>
      <c r="C68" s="113" t="str">
        <f t="shared" ca="1" si="1"/>
        <v>F</v>
      </c>
      <c r="D68" s="116" t="str">
        <f ca="1">ORÇAMENTO!O68</f>
        <v>1.10.</v>
      </c>
      <c r="E68" s="169" t="str">
        <f t="shared" si="2"/>
        <v>REVESTIMENTO DE PISO</v>
      </c>
      <c r="F68" s="170" t="str">
        <f ca="1">IF(RegimeExecucao="Global","",ORÇAMENTO.Unidade)</f>
        <v>-</v>
      </c>
      <c r="G68" s="121">
        <f ca="1">IF(RegimeExecucao="Global","",ORÇAMENTO!T68)</f>
        <v>0</v>
      </c>
      <c r="H68" s="121">
        <f ca="1">IF(RegimeExecucao="Global","",ORÇAMENTO!W68)</f>
        <v>0</v>
      </c>
      <c r="I68" s="124">
        <f ca="1">ORÇAMENTO!X68</f>
        <v>0</v>
      </c>
      <c r="J68" s="375">
        <f ca="1">IF($A68="S",IF(CAIXA.Modo,BM.AFAnterior,BM.MEDAnterior),IF(AND(RegimeExecucao="Global",$I68&gt;0,COUNTIF($AB$13:$AM$13,BM.medicao-1)&gt;0),M68/$I68*100,0))</f>
        <v>0</v>
      </c>
      <c r="K68" s="121">
        <f t="shared" ca="1" si="3"/>
        <v>0</v>
      </c>
      <c r="L68" s="376">
        <f ca="1">IF($A68="S",IF(CAIXA.Modo,BM.AFAcumulado,BM.MEDAcumulado),IF(AND(RegimeExecucao="Global",$I68&gt;0,COUNTIF($AB$13:$AM$13,BM.medicao)&gt;0),O68/$I68*100,0))</f>
        <v>0</v>
      </c>
      <c r="M68" s="377">
        <f ca="1">IF($A68="S",VTOTALBM,IF($A68=0,0,ROUND(SomaAgrupBM,15-13*ORÇAMENTO!$AF$11)))</f>
        <v>0</v>
      </c>
      <c r="N68" s="378">
        <f t="shared" ca="1" si="4"/>
        <v>0</v>
      </c>
      <c r="O68" s="124">
        <f ca="1">IF($A68="S",VTOTALBM,IF($A68=0,0,ROUND(SomaAgrupBM,15-13*ORÇAMENTO!$AF$11)))</f>
        <v>0</v>
      </c>
      <c r="Q68" s="379"/>
      <c r="R68" s="380"/>
      <c r="T68" s="116" t="str">
        <f t="shared" ca="1" si="5"/>
        <v/>
      </c>
      <c r="U68" s="169" t="str">
        <f t="shared" ca="1" si="6"/>
        <v/>
      </c>
      <c r="V68" s="170" t="str">
        <f ca="1">IF(AND($W68&gt;0,RegimeExecucao="Unitário"),$F68,"")</f>
        <v/>
      </c>
      <c r="W68" s="544">
        <f ca="1">IF($Y68&gt;0,CHOOSE(MATCH(RegimeExecucao,{"Unitário","Global"},0),IF($A68="S",$Y68/$X68,""),($Y68/$X68)*100),0)</f>
        <v>0</v>
      </c>
      <c r="X68" s="381" t="str">
        <f ca="1">IF($Y68&gt;0,CHOOSE(MATCH(RegimeExecucao,{"Unitário","Global"},0),IF($A68="S",ROUND($H68,ORÇAMENTO!$AF$10),""),ROUND($I68,ORÇAMENTO!$AF$11)),"")</f>
        <v/>
      </c>
      <c r="Y68" s="381">
        <f t="shared" ca="1" si="7"/>
        <v>0</v>
      </c>
      <c r="Z68" s="569"/>
      <c r="AB68" s="379"/>
      <c r="AC68" s="513"/>
      <c r="AD68" s="513"/>
      <c r="AE68" s="513"/>
      <c r="AF68" s="513"/>
      <c r="AG68" s="513"/>
      <c r="AH68" s="513"/>
      <c r="AI68" s="513"/>
      <c r="AJ68" s="513"/>
      <c r="AK68" s="513"/>
      <c r="AL68" s="513"/>
      <c r="AM68" s="380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51" x14ac:dyDescent="0.2">
      <c r="A69" t="str">
        <f ca="1">ORÇAMENTO!C69</f>
        <v>S</v>
      </c>
      <c r="B69">
        <f ca="1">ORÇAMENTO!D69</f>
        <v>0</v>
      </c>
      <c r="C69" s="113" t="str">
        <f t="shared" ca="1" si="1"/>
        <v/>
      </c>
      <c r="D69" s="116" t="str">
        <f ca="1">ORÇAMENTO!O69</f>
        <v>-</v>
      </c>
      <c r="E69" s="169" t="str">
        <f t="shared" ca="1" si="2"/>
        <v>(abra o arquivo 'Referência 10-2024.xlsm)</v>
      </c>
      <c r="F69" s="170" t="str">
        <f ca="1">IF(RegimeExecucao="Global","",ORÇAMENTO.Unidade)</f>
        <v>-</v>
      </c>
      <c r="G69" s="121">
        <f ca="1">IF(RegimeExecucao="Global","",ORÇAMENTO!T69)</f>
        <v>25.32</v>
      </c>
      <c r="H69" s="121">
        <f ca="1">IF(RegimeExecucao="Global","",ORÇAMENTO!W69)</f>
        <v>0</v>
      </c>
      <c r="I69" s="124">
        <f ca="1">ORÇAMENTO!X69</f>
        <v>0</v>
      </c>
      <c r="J69" s="375">
        <f ca="1">IF($A69="S",IF(CAIXA.Modo,BM.AFAnterior,BM.MEDAnterior),IF(AND(RegimeExecucao="Global",$I69&gt;0,COUNTIF($AB$13:$AM$13,BM.medicao-1)&gt;0),M69/$I69*100,0))</f>
        <v>0</v>
      </c>
      <c r="K69" s="121">
        <f t="shared" ca="1" si="3"/>
        <v>0</v>
      </c>
      <c r="L69" s="376">
        <f ca="1">IF($A69="S",IF(CAIXA.Modo,BM.AFAcumulado,BM.MEDAcumulado),IF(AND(RegimeExecucao="Global",$I69&gt;0,COUNTIF($AB$13:$AM$13,BM.medicao)&gt;0),O69/$I69*100,0))</f>
        <v>0</v>
      </c>
      <c r="M69" s="377">
        <f ca="1">IF($A69="S",VTOTALBM,IF($A69=0,0,ROUND(SomaAgrupBM,15-13*ORÇAMENTO!$AF$11)))</f>
        <v>0</v>
      </c>
      <c r="N69" s="378">
        <f t="shared" ca="1" si="4"/>
        <v>0</v>
      </c>
      <c r="O69" s="124">
        <f ca="1">IF($A69="S",VTOTALBM,IF($A69=0,0,ROUND(SomaAgrupBM,15-13*ORÇAMENTO!$AF$11)))</f>
        <v>0</v>
      </c>
      <c r="Q69" s="379"/>
      <c r="R69" s="380"/>
      <c r="T69" s="116" t="str">
        <f t="shared" ca="1" si="5"/>
        <v/>
      </c>
      <c r="U69" s="169" t="str">
        <f t="shared" ca="1" si="6"/>
        <v/>
      </c>
      <c r="V69" s="170" t="str">
        <f ca="1">IF(AND($W69&gt;0,RegimeExecucao="Unitário"),$F69,"")</f>
        <v/>
      </c>
      <c r="W69" s="544">
        <f ca="1">IF($Y69&gt;0,CHOOSE(MATCH(RegimeExecucao,{"Unitário","Global"},0),IF($A69="S",$Y69/$X69,""),($Y69/$X69)*100),0)</f>
        <v>0</v>
      </c>
      <c r="X69" s="381" t="str">
        <f ca="1">IF($Y69&gt;0,CHOOSE(MATCH(RegimeExecucao,{"Unitário","Global"},0),IF($A69="S",ROUND($H69,ORÇAMENTO!$AF$10),""),ROUND($I69,ORÇAMENTO!$AF$11)),"")</f>
        <v/>
      </c>
      <c r="Y69" s="381">
        <f t="shared" ca="1" si="7"/>
        <v>0</v>
      </c>
      <c r="Z69" s="569"/>
      <c r="AB69" s="379"/>
      <c r="AC69" s="513"/>
      <c r="AD69" s="513"/>
      <c r="AE69" s="513"/>
      <c r="AF69" s="513"/>
      <c r="AG69" s="513"/>
      <c r="AH69" s="513"/>
      <c r="AI69" s="513"/>
      <c r="AJ69" s="513"/>
      <c r="AK69" s="513"/>
      <c r="AL69" s="513"/>
      <c r="AM69" s="380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ht="38.25" x14ac:dyDescent="0.2">
      <c r="A70" t="str">
        <f ca="1">ORÇAMENTO!C70</f>
        <v>S</v>
      </c>
      <c r="B70">
        <f ca="1">ORÇAMENTO!D70</f>
        <v>0</v>
      </c>
      <c r="C70" s="113" t="str">
        <f ca="1">IF(OR($I70&gt;0,$A70=1,$A70=2,$A70=3,$A70=4),"F","")</f>
        <v/>
      </c>
      <c r="D70" s="116" t="str">
        <f ca="1">ORÇAMENTO!O70</f>
        <v>-</v>
      </c>
      <c r="E70" s="169" t="str">
        <f ca="1">ORÇAMENTO.Descricao</f>
        <v>(abra o arquivo 'Referência 10-2024.xlsm)</v>
      </c>
      <c r="F70" s="170" t="str">
        <f ca="1">IF(RegimeExecucao="Global","",ORÇAMENTO.Unidade)</f>
        <v>-</v>
      </c>
      <c r="G70" s="121">
        <f ca="1">IF(RegimeExecucao="Global","",ORÇAMENTO!T70)</f>
        <v>25.32</v>
      </c>
      <c r="H70" s="121">
        <f ca="1">IF(RegimeExecucao="Global","",ORÇAMENTO!W70)</f>
        <v>0</v>
      </c>
      <c r="I70" s="124">
        <f ca="1">ORÇAMENTO!X70</f>
        <v>0</v>
      </c>
      <c r="J70" s="375">
        <f ca="1">IF($A70="S",IF(CAIXA.Modo,BM.AFAnterior,BM.MEDAnterior),IF(AND(RegimeExecucao="Global",$I70&gt;0,COUNTIF($AB$13:$AM$13,BM.medicao-1)&gt;0),M70/$I70*100,0))</f>
        <v>0</v>
      </c>
      <c r="K70" s="121">
        <f ca="1">L70-J70</f>
        <v>0</v>
      </c>
      <c r="L70" s="376">
        <f ca="1">IF($A70="S",IF(CAIXA.Modo,BM.AFAcumulado,BM.MEDAcumulado),IF(AND(RegimeExecucao="Global",$I70&gt;0,COUNTIF($AB$13:$AM$13,BM.medicao)&gt;0),O70/$I70*100,0))</f>
        <v>0</v>
      </c>
      <c r="M70" s="377">
        <f ca="1">IF($A70="S",VTOTALBM,IF($A70=0,0,ROUND(SomaAgrupBM,15-13*ORÇAMENTO!$AF$11)))</f>
        <v>0</v>
      </c>
      <c r="N70" s="378">
        <f ca="1">O70-M70</f>
        <v>0</v>
      </c>
      <c r="O70" s="124">
        <f ca="1">IF($A70="S",VTOTALBM,IF($A70=0,0,ROUND(SomaAgrupBM,15-13*ORÇAMENTO!$AF$11)))</f>
        <v>0</v>
      </c>
      <c r="Q70" s="379"/>
      <c r="R70" s="380"/>
      <c r="T70" s="116" t="str">
        <f ca="1">IF($W70&gt;0,$D70,"")</f>
        <v/>
      </c>
      <c r="U70" s="169" t="str">
        <f ca="1">IF($W70&gt;0,$E70,"")</f>
        <v/>
      </c>
      <c r="V70" s="170" t="str">
        <f ca="1">IF(AND($W70&gt;0,RegimeExecucao="Unitário"),$F70,"")</f>
        <v/>
      </c>
      <c r="W70" s="544">
        <f ca="1">IF($Y70&gt;0,CHOOSE(MATCH(RegimeExecucao,{"Unitário","Global"},0),IF($A70="S",$Y70/$X70,""),($Y70/$X70)*100),0)</f>
        <v>0</v>
      </c>
      <c r="X70" s="381" t="str">
        <f ca="1">IF($Y70&gt;0,CHOOSE(MATCH(RegimeExecucao,{"Unitário","Global"},0),IF($A70="S",ROUND($H70,ORÇAMENTO!$AF$10),""),ROUND($I70,ORÇAMENTO!$AF$11)),"")</f>
        <v/>
      </c>
      <c r="Y70" s="381">
        <f ca="1">AO70-O70</f>
        <v>0</v>
      </c>
      <c r="Z70" s="569"/>
      <c r="AB70" s="379"/>
      <c r="AC70" s="513"/>
      <c r="AD70" s="513"/>
      <c r="AE70" s="513"/>
      <c r="AF70" s="513"/>
      <c r="AG70" s="513"/>
      <c r="AH70" s="513"/>
      <c r="AI70" s="513"/>
      <c r="AJ70" s="513"/>
      <c r="AK70" s="513"/>
      <c r="AL70" s="513"/>
      <c r="AM70" s="380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25.5" x14ac:dyDescent="0.2">
      <c r="A71" t="str">
        <f ca="1">ORÇAMENTO!C71</f>
        <v>S</v>
      </c>
      <c r="B71">
        <f ca="1">ORÇAMENTO!D71</f>
        <v>0</v>
      </c>
      <c r="C71" s="113" t="str">
        <f t="shared" ca="1" si="1"/>
        <v/>
      </c>
      <c r="D71" s="116" t="str">
        <f ca="1">ORÇAMENTO!O71</f>
        <v>-</v>
      </c>
      <c r="E71" s="169" t="str">
        <f t="shared" ca="1" si="2"/>
        <v>(abra o arquivo 'Referência 10-2024.xlsm)</v>
      </c>
      <c r="F71" s="170" t="str">
        <f ca="1">IF(RegimeExecucao="Global","",ORÇAMENTO.Unidade)</f>
        <v>-</v>
      </c>
      <c r="G71" s="121">
        <f ca="1">IF(RegimeExecucao="Global","",ORÇAMENTO!T71)</f>
        <v>20</v>
      </c>
      <c r="H71" s="121">
        <f ca="1">IF(RegimeExecucao="Global","",ORÇAMENTO!W71)</f>
        <v>0</v>
      </c>
      <c r="I71" s="124">
        <f ca="1">ORÇAMENTO!X71</f>
        <v>0</v>
      </c>
      <c r="J71" s="375">
        <f ca="1">IF($A71="S",IF(CAIXA.Modo,BM.AFAnterior,BM.MEDAnterior),IF(AND(RegimeExecucao="Global",$I71&gt;0,COUNTIF($AB$13:$AM$13,BM.medicao-1)&gt;0),M71/$I71*100,0))</f>
        <v>0</v>
      </c>
      <c r="K71" s="121">
        <f t="shared" ca="1" si="3"/>
        <v>0</v>
      </c>
      <c r="L71" s="376">
        <f ca="1">IF($A71="S",IF(CAIXA.Modo,BM.AFAcumulado,BM.MEDAcumulado),IF(AND(RegimeExecucao="Global",$I71&gt;0,COUNTIF($AB$13:$AM$13,BM.medicao)&gt;0),O71/$I71*100,0))</f>
        <v>0</v>
      </c>
      <c r="M71" s="377">
        <f ca="1">IF($A71="S",VTOTALBM,IF($A71=0,0,ROUND(SomaAgrupBM,15-13*ORÇAMENTO!$AF$11)))</f>
        <v>0</v>
      </c>
      <c r="N71" s="378">
        <f t="shared" ca="1" si="4"/>
        <v>0</v>
      </c>
      <c r="O71" s="124">
        <f ca="1">IF($A71="S",VTOTALBM,IF($A71=0,0,ROUND(SomaAgrupBM,15-13*ORÇAMENTO!$AF$11)))</f>
        <v>0</v>
      </c>
      <c r="Q71" s="379"/>
      <c r="R71" s="380"/>
      <c r="T71" s="116" t="str">
        <f t="shared" ca="1" si="5"/>
        <v/>
      </c>
      <c r="U71" s="169" t="str">
        <f t="shared" ca="1" si="6"/>
        <v/>
      </c>
      <c r="V71" s="170" t="str">
        <f ca="1">IF(AND($W71&gt;0,RegimeExecucao="Unitário"),$F71,"")</f>
        <v/>
      </c>
      <c r="W71" s="544">
        <f ca="1">IF($Y71&gt;0,CHOOSE(MATCH(RegimeExecucao,{"Unitário","Global"},0),IF($A71="S",$Y71/$X71,""),($Y71/$X71)*100),0)</f>
        <v>0</v>
      </c>
      <c r="X71" s="381" t="str">
        <f ca="1">IF($Y71&gt;0,CHOOSE(MATCH(RegimeExecucao,{"Unitário","Global"},0),IF($A71="S",ROUND($H71,ORÇAMENTO!$AF$10),""),ROUND($I71,ORÇAMENTO!$AF$11)),"")</f>
        <v/>
      </c>
      <c r="Y71" s="381">
        <f t="shared" ca="1" si="7"/>
        <v>0</v>
      </c>
      <c r="Z71" s="569"/>
      <c r="AB71" s="379"/>
      <c r="AC71" s="513"/>
      <c r="AD71" s="513"/>
      <c r="AE71" s="513"/>
      <c r="AF71" s="513"/>
      <c r="AG71" s="513"/>
      <c r="AH71" s="513"/>
      <c r="AI71" s="513"/>
      <c r="AJ71" s="513"/>
      <c r="AK71" s="513"/>
      <c r="AL71" s="513"/>
      <c r="AM71" s="380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>
        <f ca="1">ORÇAMENTO!C72</f>
        <v>2</v>
      </c>
      <c r="B72">
        <f ca="1">ORÇAMENTO!D72</f>
        <v>7</v>
      </c>
      <c r="C72" s="113" t="str">
        <f t="shared" ca="1" si="1"/>
        <v>F</v>
      </c>
      <c r="D72" s="116" t="str">
        <f ca="1">ORÇAMENTO!O72</f>
        <v>1.11.</v>
      </c>
      <c r="E72" s="169" t="str">
        <f t="shared" si="2"/>
        <v>ESQUADRIAS</v>
      </c>
      <c r="F72" s="170" t="str">
        <f ca="1">IF(RegimeExecucao="Global","",ORÇAMENTO.Unidade)</f>
        <v>-</v>
      </c>
      <c r="G72" s="121">
        <f ca="1">IF(RegimeExecucao="Global","",ORÇAMENTO!T72)</f>
        <v>0</v>
      </c>
      <c r="H72" s="121">
        <f ca="1">IF(RegimeExecucao="Global","",ORÇAMENTO!W72)</f>
        <v>0</v>
      </c>
      <c r="I72" s="124">
        <f ca="1">ORÇAMENTO!X72</f>
        <v>0</v>
      </c>
      <c r="J72" s="375">
        <f ca="1">IF($A72="S",IF(CAIXA.Modo,BM.AFAnterior,BM.MEDAnterior),IF(AND(RegimeExecucao="Global",$I72&gt;0,COUNTIF($AB$13:$AM$13,BM.medicao-1)&gt;0),M72/$I72*100,0))</f>
        <v>0</v>
      </c>
      <c r="K72" s="121">
        <f t="shared" ca="1" si="3"/>
        <v>0</v>
      </c>
      <c r="L72" s="376">
        <f ca="1">IF($A72="S",IF(CAIXA.Modo,BM.AFAcumulado,BM.MEDAcumulado),IF(AND(RegimeExecucao="Global",$I72&gt;0,COUNTIF($AB$13:$AM$13,BM.medicao)&gt;0),O72/$I72*100,0))</f>
        <v>0</v>
      </c>
      <c r="M72" s="377">
        <f ca="1">IF($A72="S",VTOTALBM,IF($A72=0,0,ROUND(SomaAgrupBM,15-13*ORÇAMENTO!$AF$11)))</f>
        <v>0</v>
      </c>
      <c r="N72" s="378">
        <f t="shared" ca="1" si="4"/>
        <v>0</v>
      </c>
      <c r="O72" s="124">
        <f ca="1">IF($A72="S",VTOTALBM,IF($A72=0,0,ROUND(SomaAgrupBM,15-13*ORÇAMENTO!$AF$11)))</f>
        <v>0</v>
      </c>
      <c r="Q72" s="379"/>
      <c r="R72" s="380"/>
      <c r="T72" s="116" t="str">
        <f t="shared" ca="1" si="5"/>
        <v/>
      </c>
      <c r="U72" s="169" t="str">
        <f t="shared" ca="1" si="6"/>
        <v/>
      </c>
      <c r="V72" s="170" t="str">
        <f ca="1">IF(AND($W72&gt;0,RegimeExecucao="Unitário"),$F72,"")</f>
        <v/>
      </c>
      <c r="W72" s="544">
        <f ca="1">IF($Y72&gt;0,CHOOSE(MATCH(RegimeExecucao,{"Unitário","Global"},0),IF($A72="S",$Y72/$X72,""),($Y72/$X72)*100),0)</f>
        <v>0</v>
      </c>
      <c r="X72" s="381" t="str">
        <f ca="1">IF($Y72&gt;0,CHOOSE(MATCH(RegimeExecucao,{"Unitário","Global"},0),IF($A72="S",ROUND($H72,ORÇAMENTO!$AF$10),""),ROUND($I72,ORÇAMENTO!$AF$11)),"")</f>
        <v/>
      </c>
      <c r="Y72" s="381">
        <f t="shared" ca="1" si="7"/>
        <v>0</v>
      </c>
      <c r="Z72" s="569"/>
      <c r="AB72" s="379"/>
      <c r="AC72" s="513"/>
      <c r="AD72" s="513"/>
      <c r="AE72" s="513"/>
      <c r="AF72" s="513"/>
      <c r="AG72" s="513"/>
      <c r="AH72" s="513"/>
      <c r="AI72" s="513"/>
      <c r="AJ72" s="513"/>
      <c r="AK72" s="513"/>
      <c r="AL72" s="513"/>
      <c r="AM72" s="380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51" x14ac:dyDescent="0.2">
      <c r="A73" t="str">
        <f ca="1">ORÇAMENTO!C73</f>
        <v>S</v>
      </c>
      <c r="B73">
        <f ca="1">ORÇAMENTO!D73</f>
        <v>0</v>
      </c>
      <c r="C73" s="113" t="str">
        <f t="shared" ca="1" si="1"/>
        <v/>
      </c>
      <c r="D73" s="116" t="str">
        <f ca="1">ORÇAMENTO!O73</f>
        <v>-</v>
      </c>
      <c r="E73" s="169" t="str">
        <f t="shared" ca="1" si="2"/>
        <v>(abra o arquivo 'Referência 10-2024.xlsm)</v>
      </c>
      <c r="F73" s="170" t="str">
        <f ca="1">IF(RegimeExecucao="Global","",ORÇAMENTO.Unidade)</f>
        <v>-</v>
      </c>
      <c r="G73" s="121">
        <f ca="1">IF(RegimeExecucao="Global","",ORÇAMENTO!T73)</f>
        <v>1</v>
      </c>
      <c r="H73" s="121">
        <f ca="1">IF(RegimeExecucao="Global","",ORÇAMENTO!W73)</f>
        <v>0</v>
      </c>
      <c r="I73" s="124">
        <f ca="1">ORÇAMENTO!X73</f>
        <v>0</v>
      </c>
      <c r="J73" s="375">
        <f ca="1">IF($A73="S",IF(CAIXA.Modo,BM.AFAnterior,BM.MEDAnterior),IF(AND(RegimeExecucao="Global",$I73&gt;0,COUNTIF($AB$13:$AM$13,BM.medicao-1)&gt;0),M73/$I73*100,0))</f>
        <v>0</v>
      </c>
      <c r="K73" s="121">
        <f t="shared" ca="1" si="3"/>
        <v>0</v>
      </c>
      <c r="L73" s="376">
        <f ca="1">IF($A73="S",IF(CAIXA.Modo,BM.AFAcumulado,BM.MEDAcumulado),IF(AND(RegimeExecucao="Global",$I73&gt;0,COUNTIF($AB$13:$AM$13,BM.medicao)&gt;0),O73/$I73*100,0))</f>
        <v>0</v>
      </c>
      <c r="M73" s="377">
        <f ca="1">IF($A73="S",VTOTALBM,IF($A73=0,0,ROUND(SomaAgrupBM,15-13*ORÇAMENTO!$AF$11)))</f>
        <v>0</v>
      </c>
      <c r="N73" s="378">
        <f t="shared" ca="1" si="4"/>
        <v>0</v>
      </c>
      <c r="O73" s="124">
        <f ca="1">IF($A73="S",VTOTALBM,IF($A73=0,0,ROUND(SomaAgrupBM,15-13*ORÇAMENTO!$AF$11)))</f>
        <v>0</v>
      </c>
      <c r="Q73" s="379"/>
      <c r="R73" s="380"/>
      <c r="T73" s="116" t="str">
        <f t="shared" ca="1" si="5"/>
        <v/>
      </c>
      <c r="U73" s="169" t="str">
        <f t="shared" ca="1" si="6"/>
        <v/>
      </c>
      <c r="V73" s="170" t="str">
        <f ca="1">IF(AND($W73&gt;0,RegimeExecucao="Unitário"),$F73,"")</f>
        <v/>
      </c>
      <c r="W73" s="544">
        <f ca="1">IF($Y73&gt;0,CHOOSE(MATCH(RegimeExecucao,{"Unitário","Global"},0),IF($A73="S",$Y73/$X73,""),($Y73/$X73)*100),0)</f>
        <v>0</v>
      </c>
      <c r="X73" s="381" t="str">
        <f ca="1">IF($Y73&gt;0,CHOOSE(MATCH(RegimeExecucao,{"Unitário","Global"},0),IF($A73="S",ROUND($H73,ORÇAMENTO!$AF$10),""),ROUND($I73,ORÇAMENTO!$AF$11)),"")</f>
        <v/>
      </c>
      <c r="Y73" s="381">
        <f t="shared" ca="1" si="7"/>
        <v>0</v>
      </c>
      <c r="Z73" s="569"/>
      <c r="AB73" s="379"/>
      <c r="AC73" s="513"/>
      <c r="AD73" s="513"/>
      <c r="AE73" s="513"/>
      <c r="AF73" s="513"/>
      <c r="AG73" s="513"/>
      <c r="AH73" s="513"/>
      <c r="AI73" s="513"/>
      <c r="AJ73" s="513"/>
      <c r="AK73" s="513"/>
      <c r="AL73" s="513"/>
      <c r="AM73" s="380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ht="51" x14ac:dyDescent="0.2">
      <c r="A74" t="str">
        <f ca="1">ORÇAMENTO!C74</f>
        <v>S</v>
      </c>
      <c r="B74">
        <f ca="1">ORÇAMENTO!D74</f>
        <v>0</v>
      </c>
      <c r="C74" s="113" t="str">
        <f t="shared" ca="1" si="1"/>
        <v/>
      </c>
      <c r="D74" s="116" t="str">
        <f ca="1">ORÇAMENTO!O74</f>
        <v>-</v>
      </c>
      <c r="E74" s="169" t="str">
        <f t="shared" ca="1" si="2"/>
        <v>(abra o arquivo 'Referência 10-2024.xlsm)</v>
      </c>
      <c r="F74" s="170" t="str">
        <f ca="1">IF(RegimeExecucao="Global","",ORÇAMENTO.Unidade)</f>
        <v>-</v>
      </c>
      <c r="G74" s="121">
        <f ca="1">IF(RegimeExecucao="Global","",ORÇAMENTO!T74)</f>
        <v>2</v>
      </c>
      <c r="H74" s="121">
        <f ca="1">IF(RegimeExecucao="Global","",ORÇAMENTO!W74)</f>
        <v>0</v>
      </c>
      <c r="I74" s="124">
        <f ca="1">ORÇAMENTO!X74</f>
        <v>0</v>
      </c>
      <c r="J74" s="375">
        <f ca="1">IF($A74="S",IF(CAIXA.Modo,BM.AFAnterior,BM.MEDAnterior),IF(AND(RegimeExecucao="Global",$I74&gt;0,COUNTIF($AB$13:$AM$13,BM.medicao-1)&gt;0),M74/$I74*100,0))</f>
        <v>0</v>
      </c>
      <c r="K74" s="121">
        <f t="shared" ca="1" si="3"/>
        <v>0</v>
      </c>
      <c r="L74" s="376">
        <f ca="1">IF($A74="S",IF(CAIXA.Modo,BM.AFAcumulado,BM.MEDAcumulado),IF(AND(RegimeExecucao="Global",$I74&gt;0,COUNTIF($AB$13:$AM$13,BM.medicao)&gt;0),O74/$I74*100,0))</f>
        <v>0</v>
      </c>
      <c r="M74" s="377">
        <f ca="1">IF($A74="S",VTOTALBM,IF($A74=0,0,ROUND(SomaAgrupBM,15-13*ORÇAMENTO!$AF$11)))</f>
        <v>0</v>
      </c>
      <c r="N74" s="378">
        <f t="shared" ca="1" si="4"/>
        <v>0</v>
      </c>
      <c r="O74" s="124">
        <f ca="1">IF($A74="S",VTOTALBM,IF($A74=0,0,ROUND(SomaAgrupBM,15-13*ORÇAMENTO!$AF$11)))</f>
        <v>0</v>
      </c>
      <c r="Q74" s="379"/>
      <c r="R74" s="380"/>
      <c r="T74" s="116" t="str">
        <f t="shared" ca="1" si="5"/>
        <v/>
      </c>
      <c r="U74" s="169" t="str">
        <f t="shared" ca="1" si="6"/>
        <v/>
      </c>
      <c r="V74" s="170" t="str">
        <f ca="1">IF(AND($W74&gt;0,RegimeExecucao="Unitário"),$F74,"")</f>
        <v/>
      </c>
      <c r="W74" s="544">
        <f ca="1">IF($Y74&gt;0,CHOOSE(MATCH(RegimeExecucao,{"Unitário","Global"},0),IF($A74="S",$Y74/$X74,""),($Y74/$X74)*100),0)</f>
        <v>0</v>
      </c>
      <c r="X74" s="381" t="str">
        <f ca="1">IF($Y74&gt;0,CHOOSE(MATCH(RegimeExecucao,{"Unitário","Global"},0),IF($A74="S",ROUND($H74,ORÇAMENTO!$AF$10),""),ROUND($I74,ORÇAMENTO!$AF$11)),"")</f>
        <v/>
      </c>
      <c r="Y74" s="381">
        <f t="shared" ca="1" si="7"/>
        <v>0</v>
      </c>
      <c r="Z74" s="569"/>
      <c r="AB74" s="379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380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51" x14ac:dyDescent="0.2">
      <c r="A75" t="str">
        <f ca="1">ORÇAMENTO!C75</f>
        <v>S</v>
      </c>
      <c r="B75">
        <f ca="1">ORÇAMENTO!D75</f>
        <v>0</v>
      </c>
      <c r="C75" s="113" t="str">
        <f ca="1">IF(OR($I75&gt;0,$A75=1,$A75=2,$A75=3,$A75=4),"F","")</f>
        <v/>
      </c>
      <c r="D75" s="116" t="str">
        <f ca="1">ORÇAMENTO!O75</f>
        <v>-</v>
      </c>
      <c r="E75" s="169" t="str">
        <f ca="1">ORÇAMENTO.Descricao</f>
        <v>(abra o arquivo 'Referência 10-2024.xlsm)</v>
      </c>
      <c r="F75" s="170" t="str">
        <f ca="1">IF(RegimeExecucao="Global","",ORÇAMENTO.Unidade)</f>
        <v>-</v>
      </c>
      <c r="G75" s="121">
        <f ca="1">IF(RegimeExecucao="Global","",ORÇAMENTO!T75)</f>
        <v>4</v>
      </c>
      <c r="H75" s="121">
        <f ca="1">IF(RegimeExecucao="Global","",ORÇAMENTO!W75)</f>
        <v>0</v>
      </c>
      <c r="I75" s="124">
        <f ca="1">ORÇAMENTO!X75</f>
        <v>0</v>
      </c>
      <c r="J75" s="375">
        <f ca="1">IF($A75="S",IF(CAIXA.Modo,BM.AFAnterior,BM.MEDAnterior),IF(AND(RegimeExecucao="Global",$I75&gt;0,COUNTIF($AB$13:$AM$13,BM.medicao-1)&gt;0),M75/$I75*100,0))</f>
        <v>0</v>
      </c>
      <c r="K75" s="121">
        <f ca="1">L75-J75</f>
        <v>0</v>
      </c>
      <c r="L75" s="376">
        <f ca="1">IF($A75="S",IF(CAIXA.Modo,BM.AFAcumulado,BM.MEDAcumulado),IF(AND(RegimeExecucao="Global",$I75&gt;0,COUNTIF($AB$13:$AM$13,BM.medicao)&gt;0),O75/$I75*100,0))</f>
        <v>0</v>
      </c>
      <c r="M75" s="377">
        <f ca="1">IF($A75="S",VTOTALBM,IF($A75=0,0,ROUND(SomaAgrupBM,15-13*ORÇAMENTO!$AF$11)))</f>
        <v>0</v>
      </c>
      <c r="N75" s="378">
        <f ca="1">O75-M75</f>
        <v>0</v>
      </c>
      <c r="O75" s="124">
        <f ca="1">IF($A75="S",VTOTALBM,IF($A75=0,0,ROUND(SomaAgrupBM,15-13*ORÇAMENTO!$AF$11)))</f>
        <v>0</v>
      </c>
      <c r="Q75" s="379"/>
      <c r="R75" s="380"/>
      <c r="T75" s="116" t="str">
        <f ca="1">IF($W75&gt;0,$D75,"")</f>
        <v/>
      </c>
      <c r="U75" s="169" t="str">
        <f ca="1">IF($W75&gt;0,$E75,"")</f>
        <v/>
      </c>
      <c r="V75" s="170" t="str">
        <f ca="1">IF(AND($W75&gt;0,RegimeExecucao="Unitário"),$F75,"")</f>
        <v/>
      </c>
      <c r="W75" s="544">
        <f ca="1">IF($Y75&gt;0,CHOOSE(MATCH(RegimeExecucao,{"Unitário","Global"},0),IF($A75="S",$Y75/$X75,""),($Y75/$X75)*100),0)</f>
        <v>0</v>
      </c>
      <c r="X75" s="381" t="str">
        <f ca="1">IF($Y75&gt;0,CHOOSE(MATCH(RegimeExecucao,{"Unitário","Global"},0),IF($A75="S",ROUND($H75,ORÇAMENTO!$AF$10),""),ROUND($I75,ORÇAMENTO!$AF$11)),"")</f>
        <v/>
      </c>
      <c r="Y75" s="381">
        <f ca="1">AO75-O75</f>
        <v>0</v>
      </c>
      <c r="Z75" s="569"/>
      <c r="AB75" s="379"/>
      <c r="AC75" s="513"/>
      <c r="AD75" s="513"/>
      <c r="AE75" s="513"/>
      <c r="AF75" s="513"/>
      <c r="AG75" s="513"/>
      <c r="AH75" s="513"/>
      <c r="AI75" s="513"/>
      <c r="AJ75" s="513"/>
      <c r="AK75" s="513"/>
      <c r="AL75" s="513"/>
      <c r="AM75" s="380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51" x14ac:dyDescent="0.2">
      <c r="A76" t="str">
        <f ca="1">ORÇAMENTO!C76</f>
        <v>S</v>
      </c>
      <c r="B76">
        <f ca="1">ORÇAMENTO!D76</f>
        <v>0</v>
      </c>
      <c r="C76" s="113" t="str">
        <f t="shared" ca="1" si="1"/>
        <v/>
      </c>
      <c r="D76" s="116" t="str">
        <f ca="1">ORÇAMENTO!O76</f>
        <v>-</v>
      </c>
      <c r="E76" s="169" t="str">
        <f t="shared" ca="1" si="2"/>
        <v>(abra o arquivo 'Referência 10-2024.xlsm)</v>
      </c>
      <c r="F76" s="170" t="str">
        <f ca="1">IF(RegimeExecucao="Global","",ORÇAMENTO.Unidade)</f>
        <v>-</v>
      </c>
      <c r="G76" s="121">
        <f ca="1">IF(RegimeExecucao="Global","",ORÇAMENTO!T76)</f>
        <v>3.49</v>
      </c>
      <c r="H76" s="121">
        <f ca="1">IF(RegimeExecucao="Global","",ORÇAMENTO!W76)</f>
        <v>0</v>
      </c>
      <c r="I76" s="124">
        <f ca="1">ORÇAMENTO!X76</f>
        <v>0</v>
      </c>
      <c r="J76" s="375">
        <f ca="1">IF($A76="S",IF(CAIXA.Modo,BM.AFAnterior,BM.MEDAnterior),IF(AND(RegimeExecucao="Global",$I76&gt;0,COUNTIF($AB$13:$AM$13,BM.medicao-1)&gt;0),M76/$I76*100,0))</f>
        <v>0</v>
      </c>
      <c r="K76" s="121">
        <f t="shared" ca="1" si="3"/>
        <v>0</v>
      </c>
      <c r="L76" s="376">
        <f ca="1">IF($A76="S",IF(CAIXA.Modo,BM.AFAcumulado,BM.MEDAcumulado),IF(AND(RegimeExecucao="Global",$I76&gt;0,COUNTIF($AB$13:$AM$13,BM.medicao)&gt;0),O76/$I76*100,0))</f>
        <v>0</v>
      </c>
      <c r="M76" s="377">
        <f ca="1">IF($A76="S",VTOTALBM,IF($A76=0,0,ROUND(SomaAgrupBM,15-13*ORÇAMENTO!$AF$11)))</f>
        <v>0</v>
      </c>
      <c r="N76" s="378">
        <f t="shared" ca="1" si="4"/>
        <v>0</v>
      </c>
      <c r="O76" s="124">
        <f ca="1">IF($A76="S",VTOTALBM,IF($A76=0,0,ROUND(SomaAgrupBM,15-13*ORÇAMENTO!$AF$11)))</f>
        <v>0</v>
      </c>
      <c r="Q76" s="379"/>
      <c r="R76" s="380"/>
      <c r="T76" s="116" t="str">
        <f t="shared" ca="1" si="5"/>
        <v/>
      </c>
      <c r="U76" s="169" t="str">
        <f t="shared" ca="1" si="6"/>
        <v/>
      </c>
      <c r="V76" s="170" t="str">
        <f ca="1">IF(AND($W76&gt;0,RegimeExecucao="Unitário"),$F76,"")</f>
        <v/>
      </c>
      <c r="W76" s="544">
        <f ca="1">IF($Y76&gt;0,CHOOSE(MATCH(RegimeExecucao,{"Unitário","Global"},0),IF($A76="S",$Y76/$X76,""),($Y76/$X76)*100),0)</f>
        <v>0</v>
      </c>
      <c r="X76" s="381" t="str">
        <f ca="1">IF($Y76&gt;0,CHOOSE(MATCH(RegimeExecucao,{"Unitário","Global"},0),IF($A76="S",ROUND($H76,ORÇAMENTO!$AF$10),""),ROUND($I76,ORÇAMENTO!$AF$11)),"")</f>
        <v/>
      </c>
      <c r="Y76" s="381">
        <f t="shared" ca="1" si="7"/>
        <v>0</v>
      </c>
      <c r="Z76" s="569"/>
      <c r="AB76" s="379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380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38.25" x14ac:dyDescent="0.2">
      <c r="A77" t="str">
        <f ca="1">ORÇAMENTO!C77</f>
        <v>S</v>
      </c>
      <c r="B77">
        <f ca="1">ORÇAMENTO!D77</f>
        <v>0</v>
      </c>
      <c r="C77" s="113" t="str">
        <f t="shared" ca="1" si="1"/>
        <v/>
      </c>
      <c r="D77" s="116" t="str">
        <f ca="1">ORÇAMENTO!O77</f>
        <v>-</v>
      </c>
      <c r="E77" s="169" t="str">
        <f t="shared" ca="1" si="2"/>
        <v>(abra o arquivo 'Referência 10-2024.xlsm)</v>
      </c>
      <c r="F77" s="170" t="str">
        <f ca="1">IF(RegimeExecucao="Global","",ORÇAMENTO.Unidade)</f>
        <v>-</v>
      </c>
      <c r="G77" s="121">
        <f ca="1">IF(RegimeExecucao="Global","",ORÇAMENTO!T77)</f>
        <v>0.36</v>
      </c>
      <c r="H77" s="121">
        <f ca="1">IF(RegimeExecucao="Global","",ORÇAMENTO!W77)</f>
        <v>0</v>
      </c>
      <c r="I77" s="124">
        <f ca="1">ORÇAMENTO!X77</f>
        <v>0</v>
      </c>
      <c r="J77" s="375">
        <f ca="1">IF($A77="S",IF(CAIXA.Modo,BM.AFAnterior,BM.MEDAnterior),IF(AND(RegimeExecucao="Global",$I77&gt;0,COUNTIF($AB$13:$AM$13,BM.medicao-1)&gt;0),M77/$I77*100,0))</f>
        <v>0</v>
      </c>
      <c r="K77" s="121">
        <f t="shared" ca="1" si="3"/>
        <v>0</v>
      </c>
      <c r="L77" s="376">
        <f ca="1">IF($A77="S",IF(CAIXA.Modo,BM.AFAcumulado,BM.MEDAcumulado),IF(AND(RegimeExecucao="Global",$I77&gt;0,COUNTIF($AB$13:$AM$13,BM.medicao)&gt;0),O77/$I77*100,0))</f>
        <v>0</v>
      </c>
      <c r="M77" s="377">
        <f ca="1">IF($A77="S",VTOTALBM,IF($A77=0,0,ROUND(SomaAgrupBM,15-13*ORÇAMENTO!$AF$11)))</f>
        <v>0</v>
      </c>
      <c r="N77" s="378">
        <f t="shared" ca="1" si="4"/>
        <v>0</v>
      </c>
      <c r="O77" s="124">
        <f ca="1">IF($A77="S",VTOTALBM,IF($A77=0,0,ROUND(SomaAgrupBM,15-13*ORÇAMENTO!$AF$11)))</f>
        <v>0</v>
      </c>
      <c r="Q77" s="379"/>
      <c r="R77" s="380"/>
      <c r="T77" s="116" t="str">
        <f t="shared" ca="1" si="5"/>
        <v/>
      </c>
      <c r="U77" s="169" t="str">
        <f t="shared" ca="1" si="6"/>
        <v/>
      </c>
      <c r="V77" s="170" t="str">
        <f ca="1">IF(AND($W77&gt;0,RegimeExecucao="Unitário"),$F77,"")</f>
        <v/>
      </c>
      <c r="W77" s="544">
        <f ca="1">IF($Y77&gt;0,CHOOSE(MATCH(RegimeExecucao,{"Unitário","Global"},0),IF($A77="S",$Y77/$X77,""),($Y77/$X77)*100),0)</f>
        <v>0</v>
      </c>
      <c r="X77" s="381" t="str">
        <f ca="1">IF($Y77&gt;0,CHOOSE(MATCH(RegimeExecucao,{"Unitário","Global"},0),IF($A77="S",ROUND($H77,ORÇAMENTO!$AF$10),""),ROUND($I77,ORÇAMENTO!$AF$11)),"")</f>
        <v/>
      </c>
      <c r="Y77" s="381">
        <f t="shared" ca="1" si="7"/>
        <v>0</v>
      </c>
      <c r="Z77" s="569"/>
      <c r="AB77" s="379"/>
      <c r="AC77" s="513"/>
      <c r="AD77" s="513"/>
      <c r="AE77" s="513"/>
      <c r="AF77" s="513"/>
      <c r="AG77" s="513"/>
      <c r="AH77" s="513"/>
      <c r="AI77" s="513"/>
      <c r="AJ77" s="513"/>
      <c r="AK77" s="513"/>
      <c r="AL77" s="513"/>
      <c r="AM77" s="380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38.25" x14ac:dyDescent="0.2">
      <c r="A78" t="str">
        <f ca="1">ORÇAMENTO!C78</f>
        <v>S</v>
      </c>
      <c r="B78">
        <f ca="1">ORÇAMENTO!D78</f>
        <v>0</v>
      </c>
      <c r="C78" s="113" t="str">
        <f t="shared" ca="1" si="1"/>
        <v/>
      </c>
      <c r="D78" s="116" t="str">
        <f ca="1">ORÇAMENTO!O78</f>
        <v>-</v>
      </c>
      <c r="E78" s="169" t="str">
        <f t="shared" ca="1" si="2"/>
        <v>(abra o arquivo 'Referência 10-2024.xlsm)</v>
      </c>
      <c r="F78" s="170" t="str">
        <f ca="1">IF(RegimeExecucao="Global","",ORÇAMENTO.Unidade)</f>
        <v>-</v>
      </c>
      <c r="G78" s="121">
        <f ca="1">IF(RegimeExecucao="Global","",ORÇAMENTO!T78)</f>
        <v>1.05</v>
      </c>
      <c r="H78" s="121">
        <f ca="1">IF(RegimeExecucao="Global","",ORÇAMENTO!W78)</f>
        <v>0</v>
      </c>
      <c r="I78" s="124">
        <f ca="1">ORÇAMENTO!X78</f>
        <v>0</v>
      </c>
      <c r="J78" s="375">
        <f ca="1">IF($A78="S",IF(CAIXA.Modo,BM.AFAnterior,BM.MEDAnterior),IF(AND(RegimeExecucao="Global",$I78&gt;0,COUNTIF($AB$13:$AM$13,BM.medicao-1)&gt;0),M78/$I78*100,0))</f>
        <v>0</v>
      </c>
      <c r="K78" s="121">
        <f t="shared" ca="1" si="3"/>
        <v>0</v>
      </c>
      <c r="L78" s="376">
        <f ca="1">IF($A78="S",IF(CAIXA.Modo,BM.AFAcumulado,BM.MEDAcumulado),IF(AND(RegimeExecucao="Global",$I78&gt;0,COUNTIF($AB$13:$AM$13,BM.medicao)&gt;0),O78/$I78*100,0))</f>
        <v>0</v>
      </c>
      <c r="M78" s="377">
        <f ca="1">IF($A78="S",VTOTALBM,IF($A78=0,0,ROUND(SomaAgrupBM,15-13*ORÇAMENTO!$AF$11)))</f>
        <v>0</v>
      </c>
      <c r="N78" s="378">
        <f t="shared" ca="1" si="4"/>
        <v>0</v>
      </c>
      <c r="O78" s="124">
        <f ca="1">IF($A78="S",VTOTALBM,IF($A78=0,0,ROUND(SomaAgrupBM,15-13*ORÇAMENTO!$AF$11)))</f>
        <v>0</v>
      </c>
      <c r="Q78" s="379"/>
      <c r="R78" s="380"/>
      <c r="T78" s="116" t="str">
        <f t="shared" ca="1" si="5"/>
        <v/>
      </c>
      <c r="U78" s="169" t="str">
        <f t="shared" ca="1" si="6"/>
        <v/>
      </c>
      <c r="V78" s="170" t="str">
        <f ca="1">IF(AND($W78&gt;0,RegimeExecucao="Unitário"),$F78,"")</f>
        <v/>
      </c>
      <c r="W78" s="544">
        <f ca="1">IF($Y78&gt;0,CHOOSE(MATCH(RegimeExecucao,{"Unitário","Global"},0),IF($A78="S",$Y78/$X78,""),($Y78/$X78)*100),0)</f>
        <v>0</v>
      </c>
      <c r="X78" s="381" t="str">
        <f ca="1">IF($Y78&gt;0,CHOOSE(MATCH(RegimeExecucao,{"Unitário","Global"},0),IF($A78="S",ROUND($H78,ORÇAMENTO!$AF$10),""),ROUND($I78,ORÇAMENTO!$AF$11)),"")</f>
        <v/>
      </c>
      <c r="Y78" s="381">
        <f t="shared" ca="1" si="7"/>
        <v>0</v>
      </c>
      <c r="Z78" s="569"/>
      <c r="AB78" s="379"/>
      <c r="AC78" s="513"/>
      <c r="AD78" s="513"/>
      <c r="AE78" s="513"/>
      <c r="AF78" s="513"/>
      <c r="AG78" s="513"/>
      <c r="AH78" s="513"/>
      <c r="AI78" s="513"/>
      <c r="AJ78" s="513"/>
      <c r="AK78" s="513"/>
      <c r="AL78" s="513"/>
      <c r="AM78" s="380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>
        <f ca="1">ORÇAMENTO!C79</f>
        <v>2</v>
      </c>
      <c r="B79">
        <f ca="1">ORÇAMENTO!D79</f>
        <v>12</v>
      </c>
      <c r="C79" s="113" t="str">
        <f t="shared" ca="1" si="1"/>
        <v>F</v>
      </c>
      <c r="D79" s="116" t="str">
        <f ca="1">ORÇAMENTO!O79</f>
        <v>1.12.</v>
      </c>
      <c r="E79" s="169" t="str">
        <f t="shared" si="2"/>
        <v>LOUÇAS, METAIS E ACESSÓRIOS</v>
      </c>
      <c r="F79" s="170" t="str">
        <f ca="1">IF(RegimeExecucao="Global","",ORÇAMENTO.Unidade)</f>
        <v>-</v>
      </c>
      <c r="G79" s="121">
        <f ca="1">IF(RegimeExecucao="Global","",ORÇAMENTO!T79)</f>
        <v>0</v>
      </c>
      <c r="H79" s="121">
        <f ca="1">IF(RegimeExecucao="Global","",ORÇAMENTO!W79)</f>
        <v>0</v>
      </c>
      <c r="I79" s="124">
        <f ca="1">ORÇAMENTO!X79</f>
        <v>0</v>
      </c>
      <c r="J79" s="375">
        <f ca="1">IF($A79="S",IF(CAIXA.Modo,BM.AFAnterior,BM.MEDAnterior),IF(AND(RegimeExecucao="Global",$I79&gt;0,COUNTIF($AB$13:$AM$13,BM.medicao-1)&gt;0),M79/$I79*100,0))</f>
        <v>0</v>
      </c>
      <c r="K79" s="121">
        <f t="shared" ca="1" si="3"/>
        <v>0</v>
      </c>
      <c r="L79" s="376">
        <f ca="1">IF($A79="S",IF(CAIXA.Modo,BM.AFAcumulado,BM.MEDAcumulado),IF(AND(RegimeExecucao="Global",$I79&gt;0,COUNTIF($AB$13:$AM$13,BM.medicao)&gt;0),O79/$I79*100,0))</f>
        <v>0</v>
      </c>
      <c r="M79" s="377">
        <f ca="1">IF($A79="S",VTOTALBM,IF($A79=0,0,ROUND(SomaAgrupBM,15-13*ORÇAMENTO!$AF$11)))</f>
        <v>0</v>
      </c>
      <c r="N79" s="378">
        <f t="shared" ca="1" si="4"/>
        <v>0</v>
      </c>
      <c r="O79" s="124">
        <f ca="1">IF($A79="S",VTOTALBM,IF($A79=0,0,ROUND(SomaAgrupBM,15-13*ORÇAMENTO!$AF$11)))</f>
        <v>0</v>
      </c>
      <c r="Q79" s="379"/>
      <c r="R79" s="380"/>
      <c r="T79" s="116" t="str">
        <f t="shared" ca="1" si="5"/>
        <v/>
      </c>
      <c r="U79" s="169" t="str">
        <f t="shared" ca="1" si="6"/>
        <v/>
      </c>
      <c r="V79" s="170" t="str">
        <f ca="1">IF(AND($W79&gt;0,RegimeExecucao="Unitário"),$F79,"")</f>
        <v/>
      </c>
      <c r="W79" s="544">
        <f ca="1">IF($Y79&gt;0,CHOOSE(MATCH(RegimeExecucao,{"Unitário","Global"},0),IF($A79="S",$Y79/$X79,""),($Y79/$X79)*100),0)</f>
        <v>0</v>
      </c>
      <c r="X79" s="381" t="str">
        <f ca="1">IF($Y79&gt;0,CHOOSE(MATCH(RegimeExecucao,{"Unitário","Global"},0),IF($A79="S",ROUND($H79,ORÇAMENTO!$AF$10),""),ROUND($I79,ORÇAMENTO!$AF$11)),"")</f>
        <v/>
      </c>
      <c r="Y79" s="381">
        <f t="shared" ca="1" si="7"/>
        <v>0</v>
      </c>
      <c r="Z79" s="569"/>
      <c r="AB79" s="379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380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25.5" x14ac:dyDescent="0.2">
      <c r="A80" t="str">
        <f ca="1">ORÇAMENTO!C80</f>
        <v>S</v>
      </c>
      <c r="B80">
        <f ca="1">ORÇAMENTO!D80</f>
        <v>0</v>
      </c>
      <c r="C80" s="113" t="str">
        <f t="shared" ca="1" si="1"/>
        <v/>
      </c>
      <c r="D80" s="116" t="str">
        <f ca="1">ORÇAMENTO!O80</f>
        <v>-</v>
      </c>
      <c r="E80" s="169" t="str">
        <f t="shared" ca="1" si="2"/>
        <v>(abra o arquivo 'Referência 10-2024.xlsm)</v>
      </c>
      <c r="F80" s="170" t="str">
        <f ca="1">IF(RegimeExecucao="Global","",ORÇAMENTO.Unidade)</f>
        <v>-</v>
      </c>
      <c r="G80" s="121">
        <f ca="1">IF(RegimeExecucao="Global","",ORÇAMENTO!T80)</f>
        <v>4</v>
      </c>
      <c r="H80" s="121">
        <f ca="1">IF(RegimeExecucao="Global","",ORÇAMENTO!W80)</f>
        <v>0</v>
      </c>
      <c r="I80" s="124">
        <f ca="1">ORÇAMENTO!X80</f>
        <v>0</v>
      </c>
      <c r="J80" s="375">
        <f ca="1">IF($A80="S",IF(CAIXA.Modo,BM.AFAnterior,BM.MEDAnterior),IF(AND(RegimeExecucao="Global",$I80&gt;0,COUNTIF($AB$13:$AM$13,BM.medicao-1)&gt;0),M80/$I80*100,0))</f>
        <v>0</v>
      </c>
      <c r="K80" s="121">
        <f t="shared" ca="1" si="3"/>
        <v>0</v>
      </c>
      <c r="L80" s="376">
        <f ca="1">IF($A80="S",IF(CAIXA.Modo,BM.AFAcumulado,BM.MEDAcumulado),IF(AND(RegimeExecucao="Global",$I80&gt;0,COUNTIF($AB$13:$AM$13,BM.medicao)&gt;0),O80/$I80*100,0))</f>
        <v>0</v>
      </c>
      <c r="M80" s="377">
        <f ca="1">IF($A80="S",VTOTALBM,IF($A80=0,0,ROUND(SomaAgrupBM,15-13*ORÇAMENTO!$AF$11)))</f>
        <v>0</v>
      </c>
      <c r="N80" s="378">
        <f t="shared" ca="1" si="4"/>
        <v>0</v>
      </c>
      <c r="O80" s="124">
        <f ca="1">IF($A80="S",VTOTALBM,IF($A80=0,0,ROUND(SomaAgrupBM,15-13*ORÇAMENTO!$AF$11)))</f>
        <v>0</v>
      </c>
      <c r="Q80" s="379"/>
      <c r="R80" s="380"/>
      <c r="T80" s="116" t="str">
        <f t="shared" ca="1" si="5"/>
        <v/>
      </c>
      <c r="U80" s="169" t="str">
        <f t="shared" ca="1" si="6"/>
        <v/>
      </c>
      <c r="V80" s="170" t="str">
        <f ca="1">IF(AND($W80&gt;0,RegimeExecucao="Unitário"),$F80,"")</f>
        <v/>
      </c>
      <c r="W80" s="544">
        <f ca="1">IF($Y80&gt;0,CHOOSE(MATCH(RegimeExecucao,{"Unitário","Global"},0),IF($A80="S",$Y80/$X80,""),($Y80/$X80)*100),0)</f>
        <v>0</v>
      </c>
      <c r="X80" s="381" t="str">
        <f ca="1">IF($Y80&gt;0,CHOOSE(MATCH(RegimeExecucao,{"Unitário","Global"},0),IF($A80="S",ROUND($H80,ORÇAMENTO!$AF$10),""),ROUND($I80,ORÇAMENTO!$AF$11)),"")</f>
        <v/>
      </c>
      <c r="Y80" s="381">
        <f t="shared" ca="1" si="7"/>
        <v>0</v>
      </c>
      <c r="Z80" s="569"/>
      <c r="AB80" s="379"/>
      <c r="AC80" s="513"/>
      <c r="AD80" s="513"/>
      <c r="AE80" s="513"/>
      <c r="AF80" s="513"/>
      <c r="AG80" s="513"/>
      <c r="AH80" s="513"/>
      <c r="AI80" s="513"/>
      <c r="AJ80" s="513"/>
      <c r="AK80" s="513"/>
      <c r="AL80" s="513"/>
      <c r="AM80" s="380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ht="38.25" x14ac:dyDescent="0.2">
      <c r="A81" t="str">
        <f ca="1">ORÇAMENTO!C81</f>
        <v>S</v>
      </c>
      <c r="B81">
        <f ca="1">ORÇAMENTO!D81</f>
        <v>0</v>
      </c>
      <c r="C81" s="113" t="str">
        <f t="shared" ca="1" si="1"/>
        <v/>
      </c>
      <c r="D81" s="116" t="str">
        <f ca="1">ORÇAMENTO!O81</f>
        <v>-</v>
      </c>
      <c r="E81" s="169" t="str">
        <f t="shared" ca="1" si="2"/>
        <v>(abra o arquivo 'Referência 10-2024.xlsm)</v>
      </c>
      <c r="F81" s="170" t="str">
        <f ca="1">IF(RegimeExecucao="Global","",ORÇAMENTO.Unidade)</f>
        <v>-</v>
      </c>
      <c r="G81" s="121">
        <f ca="1">IF(RegimeExecucao="Global","",ORÇAMENTO!T81)</f>
        <v>3</v>
      </c>
      <c r="H81" s="121">
        <f ca="1">IF(RegimeExecucao="Global","",ORÇAMENTO!W81)</f>
        <v>0</v>
      </c>
      <c r="I81" s="124">
        <f ca="1">ORÇAMENTO!X81</f>
        <v>0</v>
      </c>
      <c r="J81" s="375">
        <f ca="1">IF($A81="S",IF(CAIXA.Modo,BM.AFAnterior,BM.MEDAnterior),IF(AND(RegimeExecucao="Global",$I81&gt;0,COUNTIF($AB$13:$AM$13,BM.medicao-1)&gt;0),M81/$I81*100,0))</f>
        <v>0</v>
      </c>
      <c r="K81" s="121">
        <f t="shared" ca="1" si="3"/>
        <v>0</v>
      </c>
      <c r="L81" s="376">
        <f ca="1">IF($A81="S",IF(CAIXA.Modo,BM.AFAcumulado,BM.MEDAcumulado),IF(AND(RegimeExecucao="Global",$I81&gt;0,COUNTIF($AB$13:$AM$13,BM.medicao)&gt;0),O81/$I81*100,0))</f>
        <v>0</v>
      </c>
      <c r="M81" s="377">
        <f ca="1">IF($A81="S",VTOTALBM,IF($A81=0,0,ROUND(SomaAgrupBM,15-13*ORÇAMENTO!$AF$11)))</f>
        <v>0</v>
      </c>
      <c r="N81" s="378">
        <f t="shared" ca="1" si="4"/>
        <v>0</v>
      </c>
      <c r="O81" s="124">
        <f ca="1">IF($A81="S",VTOTALBM,IF($A81=0,0,ROUND(SomaAgrupBM,15-13*ORÇAMENTO!$AF$11)))</f>
        <v>0</v>
      </c>
      <c r="Q81" s="379"/>
      <c r="R81" s="380"/>
      <c r="T81" s="116" t="str">
        <f t="shared" ca="1" si="5"/>
        <v/>
      </c>
      <c r="U81" s="169" t="str">
        <f t="shared" ca="1" si="6"/>
        <v/>
      </c>
      <c r="V81" s="170" t="str">
        <f ca="1">IF(AND($W81&gt;0,RegimeExecucao="Unitário"),$F81,"")</f>
        <v/>
      </c>
      <c r="W81" s="544">
        <f ca="1">IF($Y81&gt;0,CHOOSE(MATCH(RegimeExecucao,{"Unitário","Global"},0),IF($A81="S",$Y81/$X81,""),($Y81/$X81)*100),0)</f>
        <v>0</v>
      </c>
      <c r="X81" s="381" t="str">
        <f ca="1">IF($Y81&gt;0,CHOOSE(MATCH(RegimeExecucao,{"Unitário","Global"},0),IF($A81="S",ROUND($H81,ORÇAMENTO!$AF$10),""),ROUND($I81,ORÇAMENTO!$AF$11)),"")</f>
        <v/>
      </c>
      <c r="Y81" s="381">
        <f t="shared" ca="1" si="7"/>
        <v>0</v>
      </c>
      <c r="Z81" s="569"/>
      <c r="AB81" s="379"/>
      <c r="AC81" s="513"/>
      <c r="AD81" s="513"/>
      <c r="AE81" s="513"/>
      <c r="AF81" s="513"/>
      <c r="AG81" s="513"/>
      <c r="AH81" s="513"/>
      <c r="AI81" s="513"/>
      <c r="AJ81" s="513"/>
      <c r="AK81" s="513"/>
      <c r="AL81" s="513"/>
      <c r="AM81" s="380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25.5" x14ac:dyDescent="0.2">
      <c r="A82" t="str">
        <f ca="1">ORÇAMENTO!C82</f>
        <v>S</v>
      </c>
      <c r="B82">
        <f ca="1">ORÇAMENTO!D82</f>
        <v>0</v>
      </c>
      <c r="C82" s="113" t="str">
        <f t="shared" ca="1" si="1"/>
        <v/>
      </c>
      <c r="D82" s="116" t="str">
        <f ca="1">ORÇAMENTO!O82</f>
        <v>-</v>
      </c>
      <c r="E82" s="169" t="str">
        <f t="shared" ca="1" si="2"/>
        <v>(abra o arquivo 'Referência 10-2024.xlsm)</v>
      </c>
      <c r="F82" s="170" t="str">
        <f ca="1">IF(RegimeExecucao="Global","",ORÇAMENTO.Unidade)</f>
        <v>-</v>
      </c>
      <c r="G82" s="121">
        <f ca="1">IF(RegimeExecucao="Global","",ORÇAMENTO!T82)</f>
        <v>4</v>
      </c>
      <c r="H82" s="121">
        <f ca="1">IF(RegimeExecucao="Global","",ORÇAMENTO!W82)</f>
        <v>0</v>
      </c>
      <c r="I82" s="124">
        <f ca="1">ORÇAMENTO!X82</f>
        <v>0</v>
      </c>
      <c r="J82" s="375">
        <f ca="1">IF($A82="S",IF(CAIXA.Modo,BM.AFAnterior,BM.MEDAnterior),IF(AND(RegimeExecucao="Global",$I82&gt;0,COUNTIF($AB$13:$AM$13,BM.medicao-1)&gt;0),M82/$I82*100,0))</f>
        <v>0</v>
      </c>
      <c r="K82" s="121">
        <f t="shared" ca="1" si="3"/>
        <v>0</v>
      </c>
      <c r="L82" s="376">
        <f ca="1">IF($A82="S",IF(CAIXA.Modo,BM.AFAcumulado,BM.MEDAcumulado),IF(AND(RegimeExecucao="Global",$I82&gt;0,COUNTIF($AB$13:$AM$13,BM.medicao)&gt;0),O82/$I82*100,0))</f>
        <v>0</v>
      </c>
      <c r="M82" s="377">
        <f ca="1">IF($A82="S",VTOTALBM,IF($A82=0,0,ROUND(SomaAgrupBM,15-13*ORÇAMENTO!$AF$11)))</f>
        <v>0</v>
      </c>
      <c r="N82" s="378">
        <f t="shared" ca="1" si="4"/>
        <v>0</v>
      </c>
      <c r="O82" s="124">
        <f ca="1">IF($A82="S",VTOTALBM,IF($A82=0,0,ROUND(SomaAgrupBM,15-13*ORÇAMENTO!$AF$11)))</f>
        <v>0</v>
      </c>
      <c r="Q82" s="379"/>
      <c r="R82" s="380"/>
      <c r="T82" s="116" t="str">
        <f t="shared" ca="1" si="5"/>
        <v/>
      </c>
      <c r="U82" s="169" t="str">
        <f t="shared" ca="1" si="6"/>
        <v/>
      </c>
      <c r="V82" s="170" t="str">
        <f ca="1">IF(AND($W82&gt;0,RegimeExecucao="Unitário"),$F82,"")</f>
        <v/>
      </c>
      <c r="W82" s="544">
        <f ca="1">IF($Y82&gt;0,CHOOSE(MATCH(RegimeExecucao,{"Unitário","Global"},0),IF($A82="S",$Y82/$X82,""),($Y82/$X82)*100),0)</f>
        <v>0</v>
      </c>
      <c r="X82" s="381" t="str">
        <f ca="1">IF($Y82&gt;0,CHOOSE(MATCH(RegimeExecucao,{"Unitário","Global"},0),IF($A82="S",ROUND($H82,ORÇAMENTO!$AF$10),""),ROUND($I82,ORÇAMENTO!$AF$11)),"")</f>
        <v/>
      </c>
      <c r="Y82" s="381">
        <f t="shared" ca="1" si="7"/>
        <v>0</v>
      </c>
      <c r="Z82" s="569"/>
      <c r="AB82" s="379"/>
      <c r="AC82" s="513"/>
      <c r="AD82" s="513"/>
      <c r="AE82" s="513"/>
      <c r="AF82" s="513"/>
      <c r="AG82" s="513"/>
      <c r="AH82" s="513"/>
      <c r="AI82" s="513"/>
      <c r="AJ82" s="513"/>
      <c r="AK82" s="513"/>
      <c r="AL82" s="513"/>
      <c r="AM82" s="380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63.75" x14ac:dyDescent="0.2">
      <c r="A83" t="str">
        <f ca="1">ORÇAMENTO!C83</f>
        <v>S</v>
      </c>
      <c r="B83">
        <f ca="1">ORÇAMENTO!D83</f>
        <v>0</v>
      </c>
      <c r="C83" s="113" t="str">
        <f t="shared" ca="1" si="1"/>
        <v/>
      </c>
      <c r="D83" s="116" t="str">
        <f ca="1">ORÇAMENTO!O83</f>
        <v>-</v>
      </c>
      <c r="E83" s="169" t="str">
        <f t="shared" ca="1" si="2"/>
        <v>(abra o arquivo 'Referência 10-2024.xlsm)</v>
      </c>
      <c r="F83" s="170" t="str">
        <f ca="1">IF(RegimeExecucao="Global","",ORÇAMENTO.Unidade)</f>
        <v>-</v>
      </c>
      <c r="G83" s="121">
        <f ca="1">IF(RegimeExecucao="Global","",ORÇAMENTO!T83)</f>
        <v>1</v>
      </c>
      <c r="H83" s="121">
        <f ca="1">IF(RegimeExecucao="Global","",ORÇAMENTO!W83)</f>
        <v>0</v>
      </c>
      <c r="I83" s="124">
        <f ca="1">ORÇAMENTO!X83</f>
        <v>0</v>
      </c>
      <c r="J83" s="375">
        <f ca="1">IF($A83="S",IF(CAIXA.Modo,BM.AFAnterior,BM.MEDAnterior),IF(AND(RegimeExecucao="Global",$I83&gt;0,COUNTIF($AB$13:$AM$13,BM.medicao-1)&gt;0),M83/$I83*100,0))</f>
        <v>0</v>
      </c>
      <c r="K83" s="121">
        <f t="shared" ca="1" si="3"/>
        <v>0</v>
      </c>
      <c r="L83" s="376">
        <f ca="1">IF($A83="S",IF(CAIXA.Modo,BM.AFAcumulado,BM.MEDAcumulado),IF(AND(RegimeExecucao="Global",$I83&gt;0,COUNTIF($AB$13:$AM$13,BM.medicao)&gt;0),O83/$I83*100,0))</f>
        <v>0</v>
      </c>
      <c r="M83" s="377">
        <f ca="1">IF($A83="S",VTOTALBM,IF($A83=0,0,ROUND(SomaAgrupBM,15-13*ORÇAMENTO!$AF$11)))</f>
        <v>0</v>
      </c>
      <c r="N83" s="378">
        <f t="shared" ca="1" si="4"/>
        <v>0</v>
      </c>
      <c r="O83" s="124">
        <f ca="1">IF($A83="S",VTOTALBM,IF($A83=0,0,ROUND(SomaAgrupBM,15-13*ORÇAMENTO!$AF$11)))</f>
        <v>0</v>
      </c>
      <c r="Q83" s="379"/>
      <c r="R83" s="380"/>
      <c r="T83" s="116" t="str">
        <f t="shared" ca="1" si="5"/>
        <v/>
      </c>
      <c r="U83" s="169" t="str">
        <f t="shared" ca="1" si="6"/>
        <v/>
      </c>
      <c r="V83" s="170" t="str">
        <f ca="1">IF(AND($W83&gt;0,RegimeExecucao="Unitário"),$F83,"")</f>
        <v/>
      </c>
      <c r="W83" s="544">
        <f ca="1">IF($Y83&gt;0,CHOOSE(MATCH(RegimeExecucao,{"Unitário","Global"},0),IF($A83="S",$Y83/$X83,""),($Y83/$X83)*100),0)</f>
        <v>0</v>
      </c>
      <c r="X83" s="381" t="str">
        <f ca="1">IF($Y83&gt;0,CHOOSE(MATCH(RegimeExecucao,{"Unitário","Global"},0),IF($A83="S",ROUND($H83,ORÇAMENTO!$AF$10),""),ROUND($I83,ORÇAMENTO!$AF$11)),"")</f>
        <v/>
      </c>
      <c r="Y83" s="381">
        <f t="shared" ca="1" si="7"/>
        <v>0</v>
      </c>
      <c r="Z83" s="569"/>
      <c r="AB83" s="379"/>
      <c r="AC83" s="513"/>
      <c r="AD83" s="513"/>
      <c r="AE83" s="513"/>
      <c r="AF83" s="513"/>
      <c r="AG83" s="513"/>
      <c r="AH83" s="513"/>
      <c r="AI83" s="513"/>
      <c r="AJ83" s="513"/>
      <c r="AK83" s="513"/>
      <c r="AL83" s="513"/>
      <c r="AM83" s="380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25.5" x14ac:dyDescent="0.2">
      <c r="A84" t="str">
        <f ca="1">ORÇAMENTO!C84</f>
        <v>S</v>
      </c>
      <c r="B84">
        <f ca="1">ORÇAMENTO!D84</f>
        <v>0</v>
      </c>
      <c r="C84" s="113" t="str">
        <f t="shared" ca="1" si="1"/>
        <v/>
      </c>
      <c r="D84" s="116" t="str">
        <f ca="1">ORÇAMENTO!O84</f>
        <v>-</v>
      </c>
      <c r="E84" s="169" t="str">
        <f t="shared" ca="1" si="2"/>
        <v>(abra o arquivo 'Referência 10-2024.xlsm)</v>
      </c>
      <c r="F84" s="170" t="str">
        <f ca="1">IF(RegimeExecucao="Global","",ORÇAMENTO.Unidade)</f>
        <v>-</v>
      </c>
      <c r="G84" s="121">
        <f ca="1">IF(RegimeExecucao="Global","",ORÇAMENTO!T84)</f>
        <v>3</v>
      </c>
      <c r="H84" s="121">
        <f ca="1">IF(RegimeExecucao="Global","",ORÇAMENTO!W84)</f>
        <v>0</v>
      </c>
      <c r="I84" s="124">
        <f ca="1">ORÇAMENTO!X84</f>
        <v>0</v>
      </c>
      <c r="J84" s="375">
        <f ca="1">IF($A84="S",IF(CAIXA.Modo,BM.AFAnterior,BM.MEDAnterior),IF(AND(RegimeExecucao="Global",$I84&gt;0,COUNTIF($AB$13:$AM$13,BM.medicao-1)&gt;0),M84/$I84*100,0))</f>
        <v>0</v>
      </c>
      <c r="K84" s="121">
        <f t="shared" ca="1" si="3"/>
        <v>0</v>
      </c>
      <c r="L84" s="376">
        <f ca="1">IF($A84="S",IF(CAIXA.Modo,BM.AFAcumulado,BM.MEDAcumulado),IF(AND(RegimeExecucao="Global",$I84&gt;0,COUNTIF($AB$13:$AM$13,BM.medicao)&gt;0),O84/$I84*100,0))</f>
        <v>0</v>
      </c>
      <c r="M84" s="377">
        <f ca="1">IF($A84="S",VTOTALBM,IF($A84=0,0,ROUND(SomaAgrupBM,15-13*ORÇAMENTO!$AF$11)))</f>
        <v>0</v>
      </c>
      <c r="N84" s="378">
        <f t="shared" ca="1" si="4"/>
        <v>0</v>
      </c>
      <c r="O84" s="124">
        <f ca="1">IF($A84="S",VTOTALBM,IF($A84=0,0,ROUND(SomaAgrupBM,15-13*ORÇAMENTO!$AF$11)))</f>
        <v>0</v>
      </c>
      <c r="Q84" s="379"/>
      <c r="R84" s="380"/>
      <c r="T84" s="116" t="str">
        <f t="shared" ca="1" si="5"/>
        <v/>
      </c>
      <c r="U84" s="169" t="str">
        <f t="shared" ca="1" si="6"/>
        <v/>
      </c>
      <c r="V84" s="170" t="str">
        <f ca="1">IF(AND($W84&gt;0,RegimeExecucao="Unitário"),$F84,"")</f>
        <v/>
      </c>
      <c r="W84" s="544">
        <f ca="1">IF($Y84&gt;0,CHOOSE(MATCH(RegimeExecucao,{"Unitário","Global"},0),IF($A84="S",$Y84/$X84,""),($Y84/$X84)*100),0)</f>
        <v>0</v>
      </c>
      <c r="X84" s="381" t="str">
        <f ca="1">IF($Y84&gt;0,CHOOSE(MATCH(RegimeExecucao,{"Unitário","Global"},0),IF($A84="S",ROUND($H84,ORÇAMENTO!$AF$10),""),ROUND($I84,ORÇAMENTO!$AF$11)),"")</f>
        <v/>
      </c>
      <c r="Y84" s="381">
        <f t="shared" ca="1" si="7"/>
        <v>0</v>
      </c>
      <c r="Z84" s="569"/>
      <c r="AB84" s="379"/>
      <c r="AC84" s="513"/>
      <c r="AD84" s="513"/>
      <c r="AE84" s="513"/>
      <c r="AF84" s="513"/>
      <c r="AG84" s="513"/>
      <c r="AH84" s="513"/>
      <c r="AI84" s="513"/>
      <c r="AJ84" s="513"/>
      <c r="AK84" s="513"/>
      <c r="AL84" s="513"/>
      <c r="AM84" s="380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ht="25.5" x14ac:dyDescent="0.2">
      <c r="A85" t="str">
        <f ca="1">ORÇAMENTO!C85</f>
        <v>S</v>
      </c>
      <c r="B85">
        <f ca="1">ORÇAMENTO!D85</f>
        <v>0</v>
      </c>
      <c r="C85" s="113" t="str">
        <f t="shared" ca="1" si="1"/>
        <v/>
      </c>
      <c r="D85" s="116" t="str">
        <f ca="1">ORÇAMENTO!O85</f>
        <v>-</v>
      </c>
      <c r="E85" s="169" t="str">
        <f t="shared" ca="1" si="2"/>
        <v>(abra o arquivo 'Referência 10-2024.xlsm)</v>
      </c>
      <c r="F85" s="170" t="str">
        <f ca="1">IF(RegimeExecucao="Global","",ORÇAMENTO.Unidade)</f>
        <v>-</v>
      </c>
      <c r="G85" s="121">
        <f ca="1">IF(RegimeExecucao="Global","",ORÇAMENTO!T85)</f>
        <v>5</v>
      </c>
      <c r="H85" s="121">
        <f ca="1">IF(RegimeExecucao="Global","",ORÇAMENTO!W85)</f>
        <v>0</v>
      </c>
      <c r="I85" s="124">
        <f ca="1">ORÇAMENTO!X85</f>
        <v>0</v>
      </c>
      <c r="J85" s="375">
        <f ca="1">IF($A85="S",IF(CAIXA.Modo,BM.AFAnterior,BM.MEDAnterior),IF(AND(RegimeExecucao="Global",$I85&gt;0,COUNTIF($AB$13:$AM$13,BM.medicao-1)&gt;0),M85/$I85*100,0))</f>
        <v>0</v>
      </c>
      <c r="K85" s="121">
        <f t="shared" ca="1" si="3"/>
        <v>0</v>
      </c>
      <c r="L85" s="376">
        <f ca="1">IF($A85="S",IF(CAIXA.Modo,BM.AFAcumulado,BM.MEDAcumulado),IF(AND(RegimeExecucao="Global",$I85&gt;0,COUNTIF($AB$13:$AM$13,BM.medicao)&gt;0),O85/$I85*100,0))</f>
        <v>0</v>
      </c>
      <c r="M85" s="377">
        <f ca="1">IF($A85="S",VTOTALBM,IF($A85=0,0,ROUND(SomaAgrupBM,15-13*ORÇAMENTO!$AF$11)))</f>
        <v>0</v>
      </c>
      <c r="N85" s="378">
        <f t="shared" ca="1" si="4"/>
        <v>0</v>
      </c>
      <c r="O85" s="124">
        <f ca="1">IF($A85="S",VTOTALBM,IF($A85=0,0,ROUND(SomaAgrupBM,15-13*ORÇAMENTO!$AF$11)))</f>
        <v>0</v>
      </c>
      <c r="Q85" s="379"/>
      <c r="R85" s="380"/>
      <c r="T85" s="116" t="str">
        <f t="shared" ca="1" si="5"/>
        <v/>
      </c>
      <c r="U85" s="169" t="str">
        <f t="shared" ca="1" si="6"/>
        <v/>
      </c>
      <c r="V85" s="170" t="str">
        <f ca="1">IF(AND($W85&gt;0,RegimeExecucao="Unitário"),$F85,"")</f>
        <v/>
      </c>
      <c r="W85" s="544">
        <f ca="1">IF($Y85&gt;0,CHOOSE(MATCH(RegimeExecucao,{"Unitário","Global"},0),IF($A85="S",$Y85/$X85,""),($Y85/$X85)*100),0)</f>
        <v>0</v>
      </c>
      <c r="X85" s="381" t="str">
        <f ca="1">IF($Y85&gt;0,CHOOSE(MATCH(RegimeExecucao,{"Unitário","Global"},0),IF($A85="S",ROUND($H85,ORÇAMENTO!$AF$10),""),ROUND($I85,ORÇAMENTO!$AF$11)),"")</f>
        <v/>
      </c>
      <c r="Y85" s="381">
        <f t="shared" ca="1" si="7"/>
        <v>0</v>
      </c>
      <c r="Z85" s="569"/>
      <c r="AB85" s="379"/>
      <c r="AC85" s="513"/>
      <c r="AD85" s="513"/>
      <c r="AE85" s="513"/>
      <c r="AF85" s="513"/>
      <c r="AG85" s="513"/>
      <c r="AH85" s="513"/>
      <c r="AI85" s="513"/>
      <c r="AJ85" s="513"/>
      <c r="AK85" s="513"/>
      <c r="AL85" s="513"/>
      <c r="AM85" s="380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ht="38.25" x14ac:dyDescent="0.2">
      <c r="A86" t="str">
        <f ca="1">ORÇAMENTO!C86</f>
        <v>S</v>
      </c>
      <c r="B86">
        <f ca="1">ORÇAMENTO!D86</f>
        <v>0</v>
      </c>
      <c r="C86" s="113" t="str">
        <f t="shared" ca="1" si="1"/>
        <v/>
      </c>
      <c r="D86" s="116" t="str">
        <f ca="1">ORÇAMENTO!O86</f>
        <v>-</v>
      </c>
      <c r="E86" s="169" t="str">
        <f t="shared" ca="1" si="2"/>
        <v>(abra o arquivo 'Referência 10-2024.xlsm)</v>
      </c>
      <c r="F86" s="170" t="str">
        <f ca="1">IF(RegimeExecucao="Global","",ORÇAMENTO.Unidade)</f>
        <v>-</v>
      </c>
      <c r="G86" s="121">
        <f ca="1">IF(RegimeExecucao="Global","",ORÇAMENTO!T86)</f>
        <v>3</v>
      </c>
      <c r="H86" s="121">
        <f ca="1">IF(RegimeExecucao="Global","",ORÇAMENTO!W86)</f>
        <v>0</v>
      </c>
      <c r="I86" s="124">
        <f ca="1">ORÇAMENTO!X86</f>
        <v>0</v>
      </c>
      <c r="J86" s="375">
        <f ca="1">IF($A86="S",IF(CAIXA.Modo,BM.AFAnterior,BM.MEDAnterior),IF(AND(RegimeExecucao="Global",$I86&gt;0,COUNTIF($AB$13:$AM$13,BM.medicao-1)&gt;0),M86/$I86*100,0))</f>
        <v>0</v>
      </c>
      <c r="K86" s="121">
        <f t="shared" ca="1" si="3"/>
        <v>0</v>
      </c>
      <c r="L86" s="376">
        <f ca="1">IF($A86="S",IF(CAIXA.Modo,BM.AFAcumulado,BM.MEDAcumulado),IF(AND(RegimeExecucao="Global",$I86&gt;0,COUNTIF($AB$13:$AM$13,BM.medicao)&gt;0),O86/$I86*100,0))</f>
        <v>0</v>
      </c>
      <c r="M86" s="377">
        <f ca="1">IF($A86="S",VTOTALBM,IF($A86=0,0,ROUND(SomaAgrupBM,15-13*ORÇAMENTO!$AF$11)))</f>
        <v>0</v>
      </c>
      <c r="N86" s="378">
        <f t="shared" ca="1" si="4"/>
        <v>0</v>
      </c>
      <c r="O86" s="124">
        <f ca="1">IF($A86="S",VTOTALBM,IF($A86=0,0,ROUND(SomaAgrupBM,15-13*ORÇAMENTO!$AF$11)))</f>
        <v>0</v>
      </c>
      <c r="Q86" s="379"/>
      <c r="R86" s="380"/>
      <c r="T86" s="116" t="str">
        <f t="shared" ca="1" si="5"/>
        <v/>
      </c>
      <c r="U86" s="169" t="str">
        <f t="shared" ca="1" si="6"/>
        <v/>
      </c>
      <c r="V86" s="170" t="str">
        <f ca="1">IF(AND($W86&gt;0,RegimeExecucao="Unitário"),$F86,"")</f>
        <v/>
      </c>
      <c r="W86" s="544">
        <f ca="1">IF($Y86&gt;0,CHOOSE(MATCH(RegimeExecucao,{"Unitário","Global"},0),IF($A86="S",$Y86/$X86,""),($Y86/$X86)*100),0)</f>
        <v>0</v>
      </c>
      <c r="X86" s="381" t="str">
        <f ca="1">IF($Y86&gt;0,CHOOSE(MATCH(RegimeExecucao,{"Unitário","Global"},0),IF($A86="S",ROUND($H86,ORÇAMENTO!$AF$10),""),ROUND($I86,ORÇAMENTO!$AF$11)),"")</f>
        <v/>
      </c>
      <c r="Y86" s="381">
        <f t="shared" ca="1" si="7"/>
        <v>0</v>
      </c>
      <c r="Z86" s="569"/>
      <c r="AB86" s="379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380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ht="25.5" x14ac:dyDescent="0.2">
      <c r="A87" t="str">
        <f ca="1">ORÇAMENTO!C87</f>
        <v>S</v>
      </c>
      <c r="B87">
        <f ca="1">ORÇAMENTO!D87</f>
        <v>0</v>
      </c>
      <c r="C87" s="113" t="str">
        <f t="shared" ca="1" si="1"/>
        <v/>
      </c>
      <c r="D87" s="116" t="str">
        <f ca="1">ORÇAMENTO!O87</f>
        <v>-</v>
      </c>
      <c r="E87" s="169" t="str">
        <f t="shared" ca="1" si="2"/>
        <v>(abra o arquivo 'Referência 10-2024.xlsm)</v>
      </c>
      <c r="F87" s="170" t="str">
        <f ca="1">IF(RegimeExecucao="Global","",ORÇAMENTO.Unidade)</f>
        <v>-</v>
      </c>
      <c r="G87" s="121">
        <f ca="1">IF(RegimeExecucao="Global","",ORÇAMENTO!T87)</f>
        <v>3</v>
      </c>
      <c r="H87" s="121">
        <f ca="1">IF(RegimeExecucao="Global","",ORÇAMENTO!W87)</f>
        <v>0</v>
      </c>
      <c r="I87" s="124">
        <f ca="1">ORÇAMENTO!X87</f>
        <v>0</v>
      </c>
      <c r="J87" s="375">
        <f ca="1">IF($A87="S",IF(CAIXA.Modo,BM.AFAnterior,BM.MEDAnterior),IF(AND(RegimeExecucao="Global",$I87&gt;0,COUNTIF($AB$13:$AM$13,BM.medicao-1)&gt;0),M87/$I87*100,0))</f>
        <v>0</v>
      </c>
      <c r="K87" s="121">
        <f t="shared" ca="1" si="3"/>
        <v>0</v>
      </c>
      <c r="L87" s="376">
        <f ca="1">IF($A87="S",IF(CAIXA.Modo,BM.AFAcumulado,BM.MEDAcumulado),IF(AND(RegimeExecucao="Global",$I87&gt;0,COUNTIF($AB$13:$AM$13,BM.medicao)&gt;0),O87/$I87*100,0))</f>
        <v>0</v>
      </c>
      <c r="M87" s="377">
        <f ca="1">IF($A87="S",VTOTALBM,IF($A87=0,0,ROUND(SomaAgrupBM,15-13*ORÇAMENTO!$AF$11)))</f>
        <v>0</v>
      </c>
      <c r="N87" s="378">
        <f t="shared" ca="1" si="4"/>
        <v>0</v>
      </c>
      <c r="O87" s="124">
        <f ca="1">IF($A87="S",VTOTALBM,IF($A87=0,0,ROUND(SomaAgrupBM,15-13*ORÇAMENTO!$AF$11)))</f>
        <v>0</v>
      </c>
      <c r="Q87" s="379"/>
      <c r="R87" s="380"/>
      <c r="T87" s="116" t="str">
        <f t="shared" ca="1" si="5"/>
        <v/>
      </c>
      <c r="U87" s="169" t="str">
        <f t="shared" ca="1" si="6"/>
        <v/>
      </c>
      <c r="V87" s="170" t="str">
        <f ca="1">IF(AND($W87&gt;0,RegimeExecucao="Unitário"),$F87,"")</f>
        <v/>
      </c>
      <c r="W87" s="544">
        <f ca="1">IF($Y87&gt;0,CHOOSE(MATCH(RegimeExecucao,{"Unitário","Global"},0),IF($A87="S",$Y87/$X87,""),($Y87/$X87)*100),0)</f>
        <v>0</v>
      </c>
      <c r="X87" s="381" t="str">
        <f ca="1">IF($Y87&gt;0,CHOOSE(MATCH(RegimeExecucao,{"Unitário","Global"},0),IF($A87="S",ROUND($H87,ORÇAMENTO!$AF$10),""),ROUND($I87,ORÇAMENTO!$AF$11)),"")</f>
        <v/>
      </c>
      <c r="Y87" s="381">
        <f t="shared" ca="1" si="7"/>
        <v>0</v>
      </c>
      <c r="Z87" s="569"/>
      <c r="AB87" s="379"/>
      <c r="AC87" s="513"/>
      <c r="AD87" s="513"/>
      <c r="AE87" s="513"/>
      <c r="AF87" s="513"/>
      <c r="AG87" s="513"/>
      <c r="AH87" s="513"/>
      <c r="AI87" s="513"/>
      <c r="AJ87" s="513"/>
      <c r="AK87" s="513"/>
      <c r="AL87" s="513"/>
      <c r="AM87" s="380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ht="25.5" x14ac:dyDescent="0.2">
      <c r="A88" t="str">
        <f ca="1">ORÇAMENTO!C88</f>
        <v>S</v>
      </c>
      <c r="B88">
        <f ca="1">ORÇAMENTO!D88</f>
        <v>0</v>
      </c>
      <c r="C88" s="113" t="str">
        <f t="shared" ca="1" si="1"/>
        <v/>
      </c>
      <c r="D88" s="116" t="str">
        <f ca="1">ORÇAMENTO!O88</f>
        <v>-</v>
      </c>
      <c r="E88" s="169" t="str">
        <f t="shared" ca="1" si="2"/>
        <v>(abra o arquivo 'Referência 10-2024.xlsm)</v>
      </c>
      <c r="F88" s="170" t="str">
        <f ca="1">IF(RegimeExecucao="Global","",ORÇAMENTO.Unidade)</f>
        <v>-</v>
      </c>
      <c r="G88" s="121">
        <f ca="1">IF(RegimeExecucao="Global","",ORÇAMENTO!T88)</f>
        <v>3</v>
      </c>
      <c r="H88" s="121">
        <f ca="1">IF(RegimeExecucao="Global","",ORÇAMENTO!W88)</f>
        <v>0</v>
      </c>
      <c r="I88" s="124">
        <f ca="1">ORÇAMENTO!X88</f>
        <v>0</v>
      </c>
      <c r="J88" s="375">
        <f ca="1">IF($A88="S",IF(CAIXA.Modo,BM.AFAnterior,BM.MEDAnterior),IF(AND(RegimeExecucao="Global",$I88&gt;0,COUNTIF($AB$13:$AM$13,BM.medicao-1)&gt;0),M88/$I88*100,0))</f>
        <v>0</v>
      </c>
      <c r="K88" s="121">
        <f t="shared" ca="1" si="3"/>
        <v>0</v>
      </c>
      <c r="L88" s="376">
        <f ca="1">IF($A88="S",IF(CAIXA.Modo,BM.AFAcumulado,BM.MEDAcumulado),IF(AND(RegimeExecucao="Global",$I88&gt;0,COUNTIF($AB$13:$AM$13,BM.medicao)&gt;0),O88/$I88*100,0))</f>
        <v>0</v>
      </c>
      <c r="M88" s="377">
        <f ca="1">IF($A88="S",VTOTALBM,IF($A88=0,0,ROUND(SomaAgrupBM,15-13*ORÇAMENTO!$AF$11)))</f>
        <v>0</v>
      </c>
      <c r="N88" s="378">
        <f t="shared" ca="1" si="4"/>
        <v>0</v>
      </c>
      <c r="O88" s="124">
        <f ca="1">IF($A88="S",VTOTALBM,IF($A88=0,0,ROUND(SomaAgrupBM,15-13*ORÇAMENTO!$AF$11)))</f>
        <v>0</v>
      </c>
      <c r="Q88" s="379"/>
      <c r="R88" s="380"/>
      <c r="T88" s="116" t="str">
        <f t="shared" ca="1" si="5"/>
        <v/>
      </c>
      <c r="U88" s="169" t="str">
        <f t="shared" ca="1" si="6"/>
        <v/>
      </c>
      <c r="V88" s="170" t="str">
        <f ca="1">IF(AND($W88&gt;0,RegimeExecucao="Unitário"),$F88,"")</f>
        <v/>
      </c>
      <c r="W88" s="544">
        <f ca="1">IF($Y88&gt;0,CHOOSE(MATCH(RegimeExecucao,{"Unitário","Global"},0),IF($A88="S",$Y88/$X88,""),($Y88/$X88)*100),0)</f>
        <v>0</v>
      </c>
      <c r="X88" s="381" t="str">
        <f ca="1">IF($Y88&gt;0,CHOOSE(MATCH(RegimeExecucao,{"Unitário","Global"},0),IF($A88="S",ROUND($H88,ORÇAMENTO!$AF$10),""),ROUND($I88,ORÇAMENTO!$AF$11)),"")</f>
        <v/>
      </c>
      <c r="Y88" s="381">
        <f t="shared" ca="1" si="7"/>
        <v>0</v>
      </c>
      <c r="Z88" s="569"/>
      <c r="AB88" s="379"/>
      <c r="AC88" s="513"/>
      <c r="AD88" s="513"/>
      <c r="AE88" s="513"/>
      <c r="AF88" s="513"/>
      <c r="AG88" s="513"/>
      <c r="AH88" s="513"/>
      <c r="AI88" s="513"/>
      <c r="AJ88" s="513"/>
      <c r="AK88" s="513"/>
      <c r="AL88" s="513"/>
      <c r="AM88" s="380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ht="25.5" x14ac:dyDescent="0.2">
      <c r="A89" t="str">
        <f ca="1">ORÇAMENTO!C89</f>
        <v>S</v>
      </c>
      <c r="B89">
        <f ca="1">ORÇAMENTO!D89</f>
        <v>0</v>
      </c>
      <c r="C89" s="113" t="str">
        <f t="shared" ca="1" si="1"/>
        <v/>
      </c>
      <c r="D89" s="116" t="str">
        <f ca="1">ORÇAMENTO!O89</f>
        <v>-</v>
      </c>
      <c r="E89" s="169" t="str">
        <f t="shared" ca="1" si="2"/>
        <v>(abra o arquivo 'Referência 10-2024.xlsm)</v>
      </c>
      <c r="F89" s="170" t="str">
        <f ca="1">IF(RegimeExecucao="Global","",ORÇAMENTO.Unidade)</f>
        <v>-</v>
      </c>
      <c r="G89" s="121">
        <f ca="1">IF(RegimeExecucao="Global","",ORÇAMENTO!T89)</f>
        <v>3</v>
      </c>
      <c r="H89" s="121">
        <f ca="1">IF(RegimeExecucao="Global","",ORÇAMENTO!W89)</f>
        <v>0</v>
      </c>
      <c r="I89" s="124">
        <f ca="1">ORÇAMENTO!X89</f>
        <v>0</v>
      </c>
      <c r="J89" s="375">
        <f ca="1">IF($A89="S",IF(CAIXA.Modo,BM.AFAnterior,BM.MEDAnterior),IF(AND(RegimeExecucao="Global",$I89&gt;0,COUNTIF($AB$13:$AM$13,BM.medicao-1)&gt;0),M89/$I89*100,0))</f>
        <v>0</v>
      </c>
      <c r="K89" s="121">
        <f t="shared" ca="1" si="3"/>
        <v>0</v>
      </c>
      <c r="L89" s="376">
        <f ca="1">IF($A89="S",IF(CAIXA.Modo,BM.AFAcumulado,BM.MEDAcumulado),IF(AND(RegimeExecucao="Global",$I89&gt;0,COUNTIF($AB$13:$AM$13,BM.medicao)&gt;0),O89/$I89*100,0))</f>
        <v>0</v>
      </c>
      <c r="M89" s="377">
        <f ca="1">IF($A89="S",VTOTALBM,IF($A89=0,0,ROUND(SomaAgrupBM,15-13*ORÇAMENTO!$AF$11)))</f>
        <v>0</v>
      </c>
      <c r="N89" s="378">
        <f t="shared" ca="1" si="4"/>
        <v>0</v>
      </c>
      <c r="O89" s="124">
        <f ca="1">IF($A89="S",VTOTALBM,IF($A89=0,0,ROUND(SomaAgrupBM,15-13*ORÇAMENTO!$AF$11)))</f>
        <v>0</v>
      </c>
      <c r="Q89" s="379"/>
      <c r="R89" s="380"/>
      <c r="T89" s="116" t="str">
        <f t="shared" ca="1" si="5"/>
        <v/>
      </c>
      <c r="U89" s="169" t="str">
        <f t="shared" ca="1" si="6"/>
        <v/>
      </c>
      <c r="V89" s="170" t="str">
        <f ca="1">IF(AND($W89&gt;0,RegimeExecucao="Unitário"),$F89,"")</f>
        <v/>
      </c>
      <c r="W89" s="544">
        <f ca="1">IF($Y89&gt;0,CHOOSE(MATCH(RegimeExecucao,{"Unitário","Global"},0),IF($A89="S",$Y89/$X89,""),($Y89/$X89)*100),0)</f>
        <v>0</v>
      </c>
      <c r="X89" s="381" t="str">
        <f ca="1">IF($Y89&gt;0,CHOOSE(MATCH(RegimeExecucao,{"Unitário","Global"},0),IF($A89="S",ROUND($H89,ORÇAMENTO!$AF$10),""),ROUND($I89,ORÇAMENTO!$AF$11)),"")</f>
        <v/>
      </c>
      <c r="Y89" s="381">
        <f t="shared" ca="1" si="7"/>
        <v>0</v>
      </c>
      <c r="Z89" s="569"/>
      <c r="AB89" s="379"/>
      <c r="AC89" s="513"/>
      <c r="AD89" s="513"/>
      <c r="AE89" s="513"/>
      <c r="AF89" s="513"/>
      <c r="AG89" s="513"/>
      <c r="AH89" s="513"/>
      <c r="AI89" s="513"/>
      <c r="AJ89" s="513"/>
      <c r="AK89" s="513"/>
      <c r="AL89" s="513"/>
      <c r="AM89" s="380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13" t="str">
        <f t="shared" ca="1" si="1"/>
        <v/>
      </c>
      <c r="D90" s="116" t="str">
        <f ca="1">ORÇAMENTO!O90</f>
        <v>-</v>
      </c>
      <c r="E90" s="169" t="str">
        <f t="shared" ca="1" si="2"/>
        <v>(abra o arquivo 'Referência 10-2024.xlsm)</v>
      </c>
      <c r="F90" s="170" t="str">
        <f ca="1">IF(RegimeExecucao="Global","",ORÇAMENTO.Unidade)</f>
        <v>-</v>
      </c>
      <c r="G90" s="121">
        <f ca="1">IF(RegimeExecucao="Global","",ORÇAMENTO!T90)</f>
        <v>6</v>
      </c>
      <c r="H90" s="121">
        <f ca="1">IF(RegimeExecucao="Global","",ORÇAMENTO!W90)</f>
        <v>0</v>
      </c>
      <c r="I90" s="124">
        <f ca="1">ORÇAMENTO!X90</f>
        <v>0</v>
      </c>
      <c r="J90" s="375">
        <f ca="1">IF($A90="S",IF(CAIXA.Modo,BM.AFAnterior,BM.MEDAnterior),IF(AND(RegimeExecucao="Global",$I90&gt;0,COUNTIF($AB$13:$AM$13,BM.medicao-1)&gt;0),M90/$I90*100,0))</f>
        <v>0</v>
      </c>
      <c r="K90" s="121">
        <f t="shared" ca="1" si="3"/>
        <v>0</v>
      </c>
      <c r="L90" s="376">
        <f ca="1">IF($A90="S",IF(CAIXA.Modo,BM.AFAcumulado,BM.MEDAcumulado),IF(AND(RegimeExecucao="Global",$I90&gt;0,COUNTIF($AB$13:$AM$13,BM.medicao)&gt;0),O90/$I90*100,0))</f>
        <v>0</v>
      </c>
      <c r="M90" s="377">
        <f ca="1">IF($A90="S",VTOTALBM,IF($A90=0,0,ROUND(SomaAgrupBM,15-13*ORÇAMENTO!$AF$11)))</f>
        <v>0</v>
      </c>
      <c r="N90" s="378">
        <f t="shared" ca="1" si="4"/>
        <v>0</v>
      </c>
      <c r="O90" s="124">
        <f ca="1">IF($A90="S",VTOTALBM,IF($A90=0,0,ROUND(SomaAgrupBM,15-13*ORÇAMENTO!$AF$11)))</f>
        <v>0</v>
      </c>
      <c r="Q90" s="379"/>
      <c r="R90" s="380"/>
      <c r="T90" s="116" t="str">
        <f t="shared" ca="1" si="5"/>
        <v/>
      </c>
      <c r="U90" s="169" t="str">
        <f t="shared" ca="1" si="6"/>
        <v/>
      </c>
      <c r="V90" s="170" t="str">
        <f ca="1">IF(AND($W90&gt;0,RegimeExecucao="Unitário"),$F90,"")</f>
        <v/>
      </c>
      <c r="W90" s="544">
        <f ca="1">IF($Y90&gt;0,CHOOSE(MATCH(RegimeExecucao,{"Unitário","Global"},0),IF($A90="S",$Y90/$X90,""),($Y90/$X90)*100),0)</f>
        <v>0</v>
      </c>
      <c r="X90" s="381" t="str">
        <f ca="1">IF($Y90&gt;0,CHOOSE(MATCH(RegimeExecucao,{"Unitário","Global"},0),IF($A90="S",ROUND($H90,ORÇAMENTO!$AF$10),""),ROUND($I90,ORÇAMENTO!$AF$11)),"")</f>
        <v/>
      </c>
      <c r="Y90" s="381">
        <f t="shared" ca="1" si="7"/>
        <v>0</v>
      </c>
      <c r="Z90" s="569"/>
      <c r="AB90" s="379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380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>
        <f ca="1">ORÇAMENTO!C91</f>
        <v>2</v>
      </c>
      <c r="B91">
        <f ca="1">ORÇAMENTO!D91</f>
        <v>12</v>
      </c>
      <c r="C91" s="113" t="str">
        <f t="shared" ca="1" si="1"/>
        <v>F</v>
      </c>
      <c r="D91" s="116" t="str">
        <f ca="1">ORÇAMENTO!O91</f>
        <v>1.13.</v>
      </c>
      <c r="E91" s="169" t="str">
        <f t="shared" si="2"/>
        <v>INSTALAÇÕES HIDROSSANITÁRIAS</v>
      </c>
      <c r="F91" s="170" t="str">
        <f ca="1">IF(RegimeExecucao="Global","",ORÇAMENTO.Unidade)</f>
        <v>-</v>
      </c>
      <c r="G91" s="121">
        <f ca="1">IF(RegimeExecucao="Global","",ORÇAMENTO!T91)</f>
        <v>0</v>
      </c>
      <c r="H91" s="121">
        <f ca="1">IF(RegimeExecucao="Global","",ORÇAMENTO!W91)</f>
        <v>0</v>
      </c>
      <c r="I91" s="124">
        <f ca="1">ORÇAMENTO!X91</f>
        <v>0</v>
      </c>
      <c r="J91" s="375">
        <f ca="1">IF($A91="S",IF(CAIXA.Modo,BM.AFAnterior,BM.MEDAnterior),IF(AND(RegimeExecucao="Global",$I91&gt;0,COUNTIF($AB$13:$AM$13,BM.medicao-1)&gt;0),M91/$I91*100,0))</f>
        <v>0</v>
      </c>
      <c r="K91" s="121">
        <f t="shared" ca="1" si="3"/>
        <v>0</v>
      </c>
      <c r="L91" s="376">
        <f ca="1">IF($A91="S",IF(CAIXA.Modo,BM.AFAcumulado,BM.MEDAcumulado),IF(AND(RegimeExecucao="Global",$I91&gt;0,COUNTIF($AB$13:$AM$13,BM.medicao)&gt;0),O91/$I91*100,0))</f>
        <v>0</v>
      </c>
      <c r="M91" s="377">
        <f ca="1">IF($A91="S",VTOTALBM,IF($A91=0,0,ROUND(SomaAgrupBM,15-13*ORÇAMENTO!$AF$11)))</f>
        <v>0</v>
      </c>
      <c r="N91" s="378">
        <f t="shared" ca="1" si="4"/>
        <v>0</v>
      </c>
      <c r="O91" s="124">
        <f ca="1">IF($A91="S",VTOTALBM,IF($A91=0,0,ROUND(SomaAgrupBM,15-13*ORÇAMENTO!$AF$11)))</f>
        <v>0</v>
      </c>
      <c r="Q91" s="379"/>
      <c r="R91" s="380"/>
      <c r="T91" s="116" t="str">
        <f t="shared" ca="1" si="5"/>
        <v/>
      </c>
      <c r="U91" s="169" t="str">
        <f t="shared" ca="1" si="6"/>
        <v/>
      </c>
      <c r="V91" s="170" t="str">
        <f ca="1">IF(AND($W91&gt;0,RegimeExecucao="Unitário"),$F91,"")</f>
        <v/>
      </c>
      <c r="W91" s="544">
        <f ca="1">IF($Y91&gt;0,CHOOSE(MATCH(RegimeExecucao,{"Unitário","Global"},0),IF($A91="S",$Y91/$X91,""),($Y91/$X91)*100),0)</f>
        <v>0</v>
      </c>
      <c r="X91" s="381" t="str">
        <f ca="1">IF($Y91&gt;0,CHOOSE(MATCH(RegimeExecucao,{"Unitário","Global"},0),IF($A91="S",ROUND($H91,ORÇAMENTO!$AF$10),""),ROUND($I91,ORÇAMENTO!$AF$11)),"")</f>
        <v/>
      </c>
      <c r="Y91" s="381">
        <f t="shared" ca="1" si="7"/>
        <v>0</v>
      </c>
      <c r="Z91" s="569"/>
      <c r="AB91" s="379"/>
      <c r="AC91" s="513"/>
      <c r="AD91" s="513"/>
      <c r="AE91" s="513"/>
      <c r="AF91" s="513"/>
      <c r="AG91" s="513"/>
      <c r="AH91" s="513"/>
      <c r="AI91" s="513"/>
      <c r="AJ91" s="513"/>
      <c r="AK91" s="513"/>
      <c r="AL91" s="513"/>
      <c r="AM91" s="380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ht="25.5" x14ac:dyDescent="0.2">
      <c r="A92" t="str">
        <f ca="1">ORÇAMENTO!C92</f>
        <v>S</v>
      </c>
      <c r="B92">
        <f ca="1">ORÇAMENTO!D92</f>
        <v>0</v>
      </c>
      <c r="C92" s="113" t="str">
        <f t="shared" ref="C92:C108" ca="1" si="15">IF(OR($I92&gt;0,$A92=1,$A92=2,$A92=3,$A92=4),"F","")</f>
        <v/>
      </c>
      <c r="D92" s="116" t="str">
        <f ca="1">ORÇAMENTO!O92</f>
        <v>-</v>
      </c>
      <c r="E92" s="169" t="str">
        <f t="shared" ref="E92:E119" ca="1" si="16">ORÇAMENTO.Descricao</f>
        <v>(abra o arquivo 'Referência 10-2024.xlsm)</v>
      </c>
      <c r="F92" s="170" t="str">
        <f ca="1">IF(RegimeExecucao="Global","",ORÇAMENTO.Unidade)</f>
        <v>-</v>
      </c>
      <c r="G92" s="121">
        <f ca="1">IF(RegimeExecucao="Global","",ORÇAMENTO!T92)</f>
        <v>1</v>
      </c>
      <c r="H92" s="121">
        <f ca="1">IF(RegimeExecucao="Global","",ORÇAMENTO!W92)</f>
        <v>0</v>
      </c>
      <c r="I92" s="124">
        <f ca="1">ORÇAMENTO!X92</f>
        <v>0</v>
      </c>
      <c r="J92" s="375">
        <f ca="1">IF($A92="S",IF(CAIXA.Modo,BM.AFAnterior,BM.MEDAnterior),IF(AND(RegimeExecucao="Global",$I92&gt;0,COUNTIF($AB$13:$AM$13,BM.medicao-1)&gt;0),M92/$I92*100,0))</f>
        <v>0</v>
      </c>
      <c r="K92" s="121">
        <f t="shared" ref="K92:K108" ca="1" si="17">L92-J92</f>
        <v>0</v>
      </c>
      <c r="L92" s="376">
        <f ca="1">IF($A92="S",IF(CAIXA.Modo,BM.AFAcumulado,BM.MEDAcumulado),IF(AND(RegimeExecucao="Global",$I92&gt;0,COUNTIF($AB$13:$AM$13,BM.medicao)&gt;0),O92/$I92*100,0))</f>
        <v>0</v>
      </c>
      <c r="M92" s="377">
        <f ca="1">IF($A92="S",VTOTALBM,IF($A92=0,0,ROUND(SomaAgrupBM,15-13*ORÇAMENTO!$AF$11)))</f>
        <v>0</v>
      </c>
      <c r="N92" s="378">
        <f t="shared" ref="N92:N108" ca="1" si="18">O92-M92</f>
        <v>0</v>
      </c>
      <c r="O92" s="124">
        <f ca="1">IF($A92="S",VTOTALBM,IF($A92=0,0,ROUND(SomaAgrupBM,15-13*ORÇAMENTO!$AF$11)))</f>
        <v>0</v>
      </c>
      <c r="Q92" s="379"/>
      <c r="R92" s="380"/>
      <c r="T92" s="116" t="str">
        <f t="shared" ref="T92:T108" ca="1" si="19">IF($W92&gt;0,$D92,"")</f>
        <v/>
      </c>
      <c r="U92" s="169" t="str">
        <f t="shared" ref="U92:U108" ca="1" si="20">IF($W92&gt;0,$E92,"")</f>
        <v/>
      </c>
      <c r="V92" s="170" t="str">
        <f ca="1">IF(AND($W92&gt;0,RegimeExecucao="Unitário"),$F92,"")</f>
        <v/>
      </c>
      <c r="W92" s="544">
        <f ca="1">IF($Y92&gt;0,CHOOSE(MATCH(RegimeExecucao,{"Unitário","Global"},0),IF($A92="S",$Y92/$X92,""),($Y92/$X92)*100),0)</f>
        <v>0</v>
      </c>
      <c r="X92" s="381" t="str">
        <f ca="1">IF($Y92&gt;0,CHOOSE(MATCH(RegimeExecucao,{"Unitário","Global"},0),IF($A92="S",ROUND($H92,ORÇAMENTO!$AF$10),""),ROUND($I92,ORÇAMENTO!$AF$11)),"")</f>
        <v/>
      </c>
      <c r="Y92" s="381">
        <f t="shared" ref="Y92:Y108" ca="1" si="21">AO92-O92</f>
        <v>0</v>
      </c>
      <c r="Z92" s="569"/>
      <c r="AB92" s="379"/>
      <c r="AC92" s="513"/>
      <c r="AD92" s="513"/>
      <c r="AE92" s="513"/>
      <c r="AF92" s="513"/>
      <c r="AG92" s="513"/>
      <c r="AH92" s="513"/>
      <c r="AI92" s="513"/>
      <c r="AJ92" s="513"/>
      <c r="AK92" s="513"/>
      <c r="AL92" s="513"/>
      <c r="AM92" s="380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ht="38.25" x14ac:dyDescent="0.2">
      <c r="A93" t="str">
        <f ca="1">ORÇAMENTO!C93</f>
        <v>S</v>
      </c>
      <c r="B93">
        <f ca="1">ORÇAMENTO!D93</f>
        <v>0</v>
      </c>
      <c r="C93" s="113" t="str">
        <f t="shared" ca="1" si="15"/>
        <v/>
      </c>
      <c r="D93" s="116" t="str">
        <f ca="1">ORÇAMENTO!O93</f>
        <v>-</v>
      </c>
      <c r="E93" s="169" t="str">
        <f t="shared" ca="1" si="16"/>
        <v>(abra o arquivo 'Referência 10-2024.xlsm)</v>
      </c>
      <c r="F93" s="170" t="str">
        <f ca="1">IF(RegimeExecucao="Global","",ORÇAMENTO.Unidade)</f>
        <v>-</v>
      </c>
      <c r="G93" s="121">
        <f ca="1">IF(RegimeExecucao="Global","",ORÇAMENTO!T93)</f>
        <v>5</v>
      </c>
      <c r="H93" s="121">
        <f ca="1">IF(RegimeExecucao="Global","",ORÇAMENTO!W93)</f>
        <v>0</v>
      </c>
      <c r="I93" s="124">
        <f ca="1">ORÇAMENTO!X93</f>
        <v>0</v>
      </c>
      <c r="J93" s="375">
        <f ca="1">IF($A93="S",IF(CAIXA.Modo,BM.AFAnterior,BM.MEDAnterior),IF(AND(RegimeExecucao="Global",$I93&gt;0,COUNTIF($AB$13:$AM$13,BM.medicao-1)&gt;0),M93/$I93*100,0))</f>
        <v>0</v>
      </c>
      <c r="K93" s="121">
        <f t="shared" ca="1" si="17"/>
        <v>0</v>
      </c>
      <c r="L93" s="376">
        <f ca="1">IF($A93="S",IF(CAIXA.Modo,BM.AFAcumulado,BM.MEDAcumulado),IF(AND(RegimeExecucao="Global",$I93&gt;0,COUNTIF($AB$13:$AM$13,BM.medicao)&gt;0),O93/$I93*100,0))</f>
        <v>0</v>
      </c>
      <c r="M93" s="377">
        <f ca="1">IF($A93="S",VTOTALBM,IF($A93=0,0,ROUND(SomaAgrupBM,15-13*ORÇAMENTO!$AF$11)))</f>
        <v>0</v>
      </c>
      <c r="N93" s="378">
        <f t="shared" ca="1" si="18"/>
        <v>0</v>
      </c>
      <c r="O93" s="124">
        <f ca="1">IF($A93="S",VTOTALBM,IF($A93=0,0,ROUND(SomaAgrupBM,15-13*ORÇAMENTO!$AF$11)))</f>
        <v>0</v>
      </c>
      <c r="Q93" s="379"/>
      <c r="R93" s="380"/>
      <c r="T93" s="116" t="str">
        <f t="shared" ca="1" si="19"/>
        <v/>
      </c>
      <c r="U93" s="169" t="str">
        <f t="shared" ca="1" si="20"/>
        <v/>
      </c>
      <c r="V93" s="170" t="str">
        <f ca="1">IF(AND($W93&gt;0,RegimeExecucao="Unitário"),$F93,"")</f>
        <v/>
      </c>
      <c r="W93" s="544">
        <f ca="1">IF($Y93&gt;0,CHOOSE(MATCH(RegimeExecucao,{"Unitário","Global"},0),IF($A93="S",$Y93/$X93,""),($Y93/$X93)*100),0)</f>
        <v>0</v>
      </c>
      <c r="X93" s="381" t="str">
        <f ca="1">IF($Y93&gt;0,CHOOSE(MATCH(RegimeExecucao,{"Unitário","Global"},0),IF($A93="S",ROUND($H93,ORÇAMENTO!$AF$10),""),ROUND($I93,ORÇAMENTO!$AF$11)),"")</f>
        <v/>
      </c>
      <c r="Y93" s="381">
        <f t="shared" ca="1" si="21"/>
        <v>0</v>
      </c>
      <c r="Z93" s="569"/>
      <c r="AB93" s="379"/>
      <c r="AC93" s="513"/>
      <c r="AD93" s="513"/>
      <c r="AE93" s="513"/>
      <c r="AF93" s="513"/>
      <c r="AG93" s="513"/>
      <c r="AH93" s="513"/>
      <c r="AI93" s="513"/>
      <c r="AJ93" s="513"/>
      <c r="AK93" s="513"/>
      <c r="AL93" s="513"/>
      <c r="AM93" s="380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ht="38.25" x14ac:dyDescent="0.2">
      <c r="A94" t="str">
        <f ca="1">ORÇAMENTO!C94</f>
        <v>S</v>
      </c>
      <c r="B94">
        <f ca="1">ORÇAMENTO!D94</f>
        <v>0</v>
      </c>
      <c r="C94" s="113" t="str">
        <f t="shared" ca="1" si="15"/>
        <v/>
      </c>
      <c r="D94" s="116" t="str">
        <f ca="1">ORÇAMENTO!O94</f>
        <v>-</v>
      </c>
      <c r="E94" s="169" t="str">
        <f t="shared" ca="1" si="16"/>
        <v>(abra o arquivo 'Referência 10-2024.xlsm)</v>
      </c>
      <c r="F94" s="170" t="str">
        <f ca="1">IF(RegimeExecucao="Global","",ORÇAMENTO.Unidade)</f>
        <v>-</v>
      </c>
      <c r="G94" s="121">
        <f ca="1">IF(RegimeExecucao="Global","",ORÇAMENTO!T94)</f>
        <v>15.25</v>
      </c>
      <c r="H94" s="121">
        <f ca="1">IF(RegimeExecucao="Global","",ORÇAMENTO!W94)</f>
        <v>0</v>
      </c>
      <c r="I94" s="124">
        <f ca="1">ORÇAMENTO!X94</f>
        <v>0</v>
      </c>
      <c r="J94" s="375">
        <f ca="1">IF($A94="S",IF(CAIXA.Modo,BM.AFAnterior,BM.MEDAnterior),IF(AND(RegimeExecucao="Global",$I94&gt;0,COUNTIF($AB$13:$AM$13,BM.medicao-1)&gt;0),M94/$I94*100,0))</f>
        <v>0</v>
      </c>
      <c r="K94" s="121">
        <f t="shared" ca="1" si="17"/>
        <v>0</v>
      </c>
      <c r="L94" s="376">
        <f ca="1">IF($A94="S",IF(CAIXA.Modo,BM.AFAcumulado,BM.MEDAcumulado),IF(AND(RegimeExecucao="Global",$I94&gt;0,COUNTIF($AB$13:$AM$13,BM.medicao)&gt;0),O94/$I94*100,0))</f>
        <v>0</v>
      </c>
      <c r="M94" s="377">
        <f ca="1">IF($A94="S",VTOTALBM,IF($A94=0,0,ROUND(SomaAgrupBM,15-13*ORÇAMENTO!$AF$11)))</f>
        <v>0</v>
      </c>
      <c r="N94" s="378">
        <f t="shared" ca="1" si="18"/>
        <v>0</v>
      </c>
      <c r="O94" s="124">
        <f ca="1">IF($A94="S",VTOTALBM,IF($A94=0,0,ROUND(SomaAgrupBM,15-13*ORÇAMENTO!$AF$11)))</f>
        <v>0</v>
      </c>
      <c r="Q94" s="379"/>
      <c r="R94" s="380"/>
      <c r="T94" s="116" t="str">
        <f t="shared" ca="1" si="19"/>
        <v/>
      </c>
      <c r="U94" s="169" t="str">
        <f t="shared" ca="1" si="20"/>
        <v/>
      </c>
      <c r="V94" s="170" t="str">
        <f ca="1">IF(AND($W94&gt;0,RegimeExecucao="Unitário"),$F94,"")</f>
        <v/>
      </c>
      <c r="W94" s="544">
        <f ca="1">IF($Y94&gt;0,CHOOSE(MATCH(RegimeExecucao,{"Unitário","Global"},0),IF($A94="S",$Y94/$X94,""),($Y94/$X94)*100),0)</f>
        <v>0</v>
      </c>
      <c r="X94" s="381" t="str">
        <f ca="1">IF($Y94&gt;0,CHOOSE(MATCH(RegimeExecucao,{"Unitário","Global"},0),IF($A94="S",ROUND($H94,ORÇAMENTO!$AF$10),""),ROUND($I94,ORÇAMENTO!$AF$11)),"")</f>
        <v/>
      </c>
      <c r="Y94" s="381">
        <f t="shared" ca="1" si="21"/>
        <v>0</v>
      </c>
      <c r="Z94" s="569"/>
      <c r="AB94" s="379"/>
      <c r="AC94" s="513"/>
      <c r="AD94" s="513"/>
      <c r="AE94" s="513"/>
      <c r="AF94" s="513"/>
      <c r="AG94" s="513"/>
      <c r="AH94" s="513"/>
      <c r="AI94" s="513"/>
      <c r="AJ94" s="513"/>
      <c r="AK94" s="513"/>
      <c r="AL94" s="513"/>
      <c r="AM94" s="380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ht="38.25" x14ac:dyDescent="0.2">
      <c r="A95" t="str">
        <f ca="1">ORÇAMENTO!C95</f>
        <v>S</v>
      </c>
      <c r="B95">
        <f ca="1">ORÇAMENTO!D95</f>
        <v>0</v>
      </c>
      <c r="C95" s="113" t="str">
        <f t="shared" ca="1" si="15"/>
        <v/>
      </c>
      <c r="D95" s="116" t="str">
        <f ca="1">ORÇAMENTO!O95</f>
        <v>-</v>
      </c>
      <c r="E95" s="169" t="str">
        <f t="shared" ca="1" si="16"/>
        <v>(abra o arquivo 'Referência 10-2024.xlsm)</v>
      </c>
      <c r="F95" s="170" t="str">
        <f ca="1">IF(RegimeExecucao="Global","",ORÇAMENTO.Unidade)</f>
        <v>-</v>
      </c>
      <c r="G95" s="121">
        <f ca="1">IF(RegimeExecucao="Global","",ORÇAMENTO!T95)</f>
        <v>4.5999999999999996</v>
      </c>
      <c r="H95" s="121">
        <f ca="1">IF(RegimeExecucao="Global","",ORÇAMENTO!W95)</f>
        <v>0</v>
      </c>
      <c r="I95" s="124">
        <f ca="1">ORÇAMENTO!X95</f>
        <v>0</v>
      </c>
      <c r="J95" s="375">
        <f ca="1">IF($A95="S",IF(CAIXA.Modo,BM.AFAnterior,BM.MEDAnterior),IF(AND(RegimeExecucao="Global",$I95&gt;0,COUNTIF($AB$13:$AM$13,BM.medicao-1)&gt;0),M95/$I95*100,0))</f>
        <v>0</v>
      </c>
      <c r="K95" s="121">
        <f t="shared" ca="1" si="17"/>
        <v>0</v>
      </c>
      <c r="L95" s="376">
        <f ca="1">IF($A95="S",IF(CAIXA.Modo,BM.AFAcumulado,BM.MEDAcumulado),IF(AND(RegimeExecucao="Global",$I95&gt;0,COUNTIF($AB$13:$AM$13,BM.medicao)&gt;0),O95/$I95*100,0))</f>
        <v>0</v>
      </c>
      <c r="M95" s="377">
        <f ca="1">IF($A95="S",VTOTALBM,IF($A95=0,0,ROUND(SomaAgrupBM,15-13*ORÇAMENTO!$AF$11)))</f>
        <v>0</v>
      </c>
      <c r="N95" s="378">
        <f t="shared" ca="1" si="18"/>
        <v>0</v>
      </c>
      <c r="O95" s="124">
        <f ca="1">IF($A95="S",VTOTALBM,IF($A95=0,0,ROUND(SomaAgrupBM,15-13*ORÇAMENTO!$AF$11)))</f>
        <v>0</v>
      </c>
      <c r="Q95" s="379"/>
      <c r="R95" s="380"/>
      <c r="T95" s="116" t="str">
        <f t="shared" ca="1" si="19"/>
        <v/>
      </c>
      <c r="U95" s="169" t="str">
        <f t="shared" ca="1" si="20"/>
        <v/>
      </c>
      <c r="V95" s="170" t="str">
        <f ca="1">IF(AND($W95&gt;0,RegimeExecucao="Unitário"),$F95,"")</f>
        <v/>
      </c>
      <c r="W95" s="544">
        <f ca="1">IF($Y95&gt;0,CHOOSE(MATCH(RegimeExecucao,{"Unitário","Global"},0),IF($A95="S",$Y95/$X95,""),($Y95/$X95)*100),0)</f>
        <v>0</v>
      </c>
      <c r="X95" s="381" t="str">
        <f ca="1">IF($Y95&gt;0,CHOOSE(MATCH(RegimeExecucao,{"Unitário","Global"},0),IF($A95="S",ROUND($H95,ORÇAMENTO!$AF$10),""),ROUND($I95,ORÇAMENTO!$AF$11)),"")</f>
        <v/>
      </c>
      <c r="Y95" s="381">
        <f t="shared" ca="1" si="21"/>
        <v>0</v>
      </c>
      <c r="Z95" s="569"/>
      <c r="AB95" s="379"/>
      <c r="AC95" s="513"/>
      <c r="AD95" s="513"/>
      <c r="AE95" s="513"/>
      <c r="AF95" s="513"/>
      <c r="AG95" s="513"/>
      <c r="AH95" s="513"/>
      <c r="AI95" s="513"/>
      <c r="AJ95" s="513"/>
      <c r="AK95" s="513"/>
      <c r="AL95" s="513"/>
      <c r="AM95" s="380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ht="38.25" x14ac:dyDescent="0.2">
      <c r="A96" t="str">
        <f ca="1">ORÇAMENTO!C96</f>
        <v>S</v>
      </c>
      <c r="B96">
        <f ca="1">ORÇAMENTO!D96</f>
        <v>0</v>
      </c>
      <c r="C96" s="113" t="str">
        <f t="shared" ca="1" si="15"/>
        <v/>
      </c>
      <c r="D96" s="116" t="str">
        <f ca="1">ORÇAMENTO!O96</f>
        <v>-</v>
      </c>
      <c r="E96" s="169" t="str">
        <f t="shared" ca="1" si="16"/>
        <v>(abra o arquivo 'Referência 10-2024.xlsm)</v>
      </c>
      <c r="F96" s="170" t="str">
        <f ca="1">IF(RegimeExecucao="Global","",ORÇAMENTO.Unidade)</f>
        <v>-</v>
      </c>
      <c r="G96" s="121">
        <f ca="1">IF(RegimeExecucao="Global","",ORÇAMENTO!T96)</f>
        <v>16.850000000000001</v>
      </c>
      <c r="H96" s="121">
        <f ca="1">IF(RegimeExecucao="Global","",ORÇAMENTO!W96)</f>
        <v>0</v>
      </c>
      <c r="I96" s="124">
        <f ca="1">ORÇAMENTO!X96</f>
        <v>0</v>
      </c>
      <c r="J96" s="375">
        <f ca="1">IF($A96="S",IF(CAIXA.Modo,BM.AFAnterior,BM.MEDAnterior),IF(AND(RegimeExecucao="Global",$I96&gt;0,COUNTIF($AB$13:$AM$13,BM.medicao-1)&gt;0),M96/$I96*100,0))</f>
        <v>0</v>
      </c>
      <c r="K96" s="121">
        <f t="shared" ca="1" si="17"/>
        <v>0</v>
      </c>
      <c r="L96" s="376">
        <f ca="1">IF($A96="S",IF(CAIXA.Modo,BM.AFAcumulado,BM.MEDAcumulado),IF(AND(RegimeExecucao="Global",$I96&gt;0,COUNTIF($AB$13:$AM$13,BM.medicao)&gt;0),O96/$I96*100,0))</f>
        <v>0</v>
      </c>
      <c r="M96" s="377">
        <f ca="1">IF($A96="S",VTOTALBM,IF($A96=0,0,ROUND(SomaAgrupBM,15-13*ORÇAMENTO!$AF$11)))</f>
        <v>0</v>
      </c>
      <c r="N96" s="378">
        <f t="shared" ca="1" si="18"/>
        <v>0</v>
      </c>
      <c r="O96" s="124">
        <f ca="1">IF($A96="S",VTOTALBM,IF($A96=0,0,ROUND(SomaAgrupBM,15-13*ORÇAMENTO!$AF$11)))</f>
        <v>0</v>
      </c>
      <c r="Q96" s="379"/>
      <c r="R96" s="380"/>
      <c r="T96" s="116" t="str">
        <f t="shared" ca="1" si="19"/>
        <v/>
      </c>
      <c r="U96" s="169" t="str">
        <f t="shared" ca="1" si="20"/>
        <v/>
      </c>
      <c r="V96" s="170" t="str">
        <f ca="1">IF(AND($W96&gt;0,RegimeExecucao="Unitário"),$F96,"")</f>
        <v/>
      </c>
      <c r="W96" s="544">
        <f ca="1">IF($Y96&gt;0,CHOOSE(MATCH(RegimeExecucao,{"Unitário","Global"},0),IF($A96="S",$Y96/$X96,""),($Y96/$X96)*100),0)</f>
        <v>0</v>
      </c>
      <c r="X96" s="381" t="str">
        <f ca="1">IF($Y96&gt;0,CHOOSE(MATCH(RegimeExecucao,{"Unitário","Global"},0),IF($A96="S",ROUND($H96,ORÇAMENTO!$AF$10),""),ROUND($I96,ORÇAMENTO!$AF$11)),"")</f>
        <v/>
      </c>
      <c r="Y96" s="381">
        <f t="shared" ca="1" si="21"/>
        <v>0</v>
      </c>
      <c r="Z96" s="569"/>
      <c r="AB96" s="379"/>
      <c r="AC96" s="513"/>
      <c r="AD96" s="513"/>
      <c r="AE96" s="513"/>
      <c r="AF96" s="513"/>
      <c r="AG96" s="513"/>
      <c r="AH96" s="513"/>
      <c r="AI96" s="513"/>
      <c r="AJ96" s="513"/>
      <c r="AK96" s="513"/>
      <c r="AL96" s="513"/>
      <c r="AM96" s="380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38.25" x14ac:dyDescent="0.2">
      <c r="A97" t="str">
        <f ca="1">ORÇAMENTO!C97</f>
        <v>S</v>
      </c>
      <c r="B97">
        <f ca="1">ORÇAMENTO!D97</f>
        <v>0</v>
      </c>
      <c r="C97" s="113" t="str">
        <f t="shared" ca="1" si="15"/>
        <v/>
      </c>
      <c r="D97" s="116" t="str">
        <f ca="1">ORÇAMENTO!O97</f>
        <v>-</v>
      </c>
      <c r="E97" s="169" t="str">
        <f t="shared" ca="1" si="16"/>
        <v>(abra o arquivo 'Referência 10-2024.xlsm)</v>
      </c>
      <c r="F97" s="170" t="str">
        <f ca="1">IF(RegimeExecucao="Global","",ORÇAMENTO.Unidade)</f>
        <v>-</v>
      </c>
      <c r="G97" s="121">
        <f ca="1">IF(RegimeExecucao="Global","",ORÇAMENTO!T97)</f>
        <v>15.2</v>
      </c>
      <c r="H97" s="121">
        <f ca="1">IF(RegimeExecucao="Global","",ORÇAMENTO!W97)</f>
        <v>0</v>
      </c>
      <c r="I97" s="124">
        <f ca="1">ORÇAMENTO!X97</f>
        <v>0</v>
      </c>
      <c r="J97" s="375">
        <f ca="1">IF($A97="S",IF(CAIXA.Modo,BM.AFAnterior,BM.MEDAnterior),IF(AND(RegimeExecucao="Global",$I97&gt;0,COUNTIF($AB$13:$AM$13,BM.medicao-1)&gt;0),M97/$I97*100,0))</f>
        <v>0</v>
      </c>
      <c r="K97" s="121">
        <f t="shared" ca="1" si="17"/>
        <v>0</v>
      </c>
      <c r="L97" s="376">
        <f ca="1">IF($A97="S",IF(CAIXA.Modo,BM.AFAcumulado,BM.MEDAcumulado),IF(AND(RegimeExecucao="Global",$I97&gt;0,COUNTIF($AB$13:$AM$13,BM.medicao)&gt;0),O97/$I97*100,0))</f>
        <v>0</v>
      </c>
      <c r="M97" s="377">
        <f ca="1">IF($A97="S",VTOTALBM,IF($A97=0,0,ROUND(SomaAgrupBM,15-13*ORÇAMENTO!$AF$11)))</f>
        <v>0</v>
      </c>
      <c r="N97" s="378">
        <f t="shared" ca="1" si="18"/>
        <v>0</v>
      </c>
      <c r="O97" s="124">
        <f ca="1">IF($A97="S",VTOTALBM,IF($A97=0,0,ROUND(SomaAgrupBM,15-13*ORÇAMENTO!$AF$11)))</f>
        <v>0</v>
      </c>
      <c r="Q97" s="379"/>
      <c r="R97" s="380"/>
      <c r="T97" s="116" t="str">
        <f t="shared" ca="1" si="19"/>
        <v/>
      </c>
      <c r="U97" s="169" t="str">
        <f t="shared" ca="1" si="20"/>
        <v/>
      </c>
      <c r="V97" s="170" t="str">
        <f ca="1">IF(AND($W97&gt;0,RegimeExecucao="Unitário"),$F97,"")</f>
        <v/>
      </c>
      <c r="W97" s="544">
        <f ca="1">IF($Y97&gt;0,CHOOSE(MATCH(RegimeExecucao,{"Unitário","Global"},0),IF($A97="S",$Y97/$X97,""),($Y97/$X97)*100),0)</f>
        <v>0</v>
      </c>
      <c r="X97" s="381" t="str">
        <f ca="1">IF($Y97&gt;0,CHOOSE(MATCH(RegimeExecucao,{"Unitário","Global"},0),IF($A97="S",ROUND($H97,ORÇAMENTO!$AF$10),""),ROUND($I97,ORÇAMENTO!$AF$11)),"")</f>
        <v/>
      </c>
      <c r="Y97" s="381">
        <f t="shared" ca="1" si="21"/>
        <v>0</v>
      </c>
      <c r="Z97" s="569"/>
      <c r="AB97" s="379"/>
      <c r="AC97" s="513"/>
      <c r="AD97" s="513"/>
      <c r="AE97" s="513"/>
      <c r="AF97" s="513"/>
      <c r="AG97" s="513"/>
      <c r="AH97" s="513"/>
      <c r="AI97" s="513"/>
      <c r="AJ97" s="513"/>
      <c r="AK97" s="513"/>
      <c r="AL97" s="513"/>
      <c r="AM97" s="380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25.5" x14ac:dyDescent="0.2">
      <c r="A98" t="str">
        <f ca="1">ORÇAMENTO!C98</f>
        <v>S</v>
      </c>
      <c r="B98">
        <f ca="1">ORÇAMENTO!D98</f>
        <v>0</v>
      </c>
      <c r="C98" s="113" t="str">
        <f t="shared" ca="1" si="15"/>
        <v/>
      </c>
      <c r="D98" s="116" t="str">
        <f ca="1">ORÇAMENTO!O98</f>
        <v>-</v>
      </c>
      <c r="E98" s="169" t="str">
        <f t="shared" ca="1" si="16"/>
        <v>(abra o arquivo 'Referência 10-2024.xlsm)</v>
      </c>
      <c r="F98" s="170" t="str">
        <f ca="1">IF(RegimeExecucao="Global","",ORÇAMENTO.Unidade)</f>
        <v>-</v>
      </c>
      <c r="G98" s="121">
        <f ca="1">IF(RegimeExecucao="Global","",ORÇAMENTO!T98)</f>
        <v>12.41</v>
      </c>
      <c r="H98" s="121">
        <f ca="1">IF(RegimeExecucao="Global","",ORÇAMENTO!W98)</f>
        <v>0</v>
      </c>
      <c r="I98" s="124">
        <f ca="1">ORÇAMENTO!X98</f>
        <v>0</v>
      </c>
      <c r="J98" s="375">
        <f ca="1">IF($A98="S",IF(CAIXA.Modo,BM.AFAnterior,BM.MEDAnterior),IF(AND(RegimeExecucao="Global",$I98&gt;0,COUNTIF($AB$13:$AM$13,BM.medicao-1)&gt;0),M98/$I98*100,0))</f>
        <v>0</v>
      </c>
      <c r="K98" s="121">
        <f t="shared" ca="1" si="17"/>
        <v>0</v>
      </c>
      <c r="L98" s="376">
        <f ca="1">IF($A98="S",IF(CAIXA.Modo,BM.AFAcumulado,BM.MEDAcumulado),IF(AND(RegimeExecucao="Global",$I98&gt;0,COUNTIF($AB$13:$AM$13,BM.medicao)&gt;0),O98/$I98*100,0))</f>
        <v>0</v>
      </c>
      <c r="M98" s="377">
        <f ca="1">IF($A98="S",VTOTALBM,IF($A98=0,0,ROUND(SomaAgrupBM,15-13*ORÇAMENTO!$AF$11)))</f>
        <v>0</v>
      </c>
      <c r="N98" s="378">
        <f t="shared" ca="1" si="18"/>
        <v>0</v>
      </c>
      <c r="O98" s="124">
        <f ca="1">IF($A98="S",VTOTALBM,IF($A98=0,0,ROUND(SomaAgrupBM,15-13*ORÇAMENTO!$AF$11)))</f>
        <v>0</v>
      </c>
      <c r="Q98" s="379"/>
      <c r="R98" s="380"/>
      <c r="T98" s="116" t="str">
        <f t="shared" ca="1" si="19"/>
        <v/>
      </c>
      <c r="U98" s="169" t="str">
        <f t="shared" ca="1" si="20"/>
        <v/>
      </c>
      <c r="V98" s="170" t="str">
        <f ca="1">IF(AND($W98&gt;0,RegimeExecucao="Unitário"),$F98,"")</f>
        <v/>
      </c>
      <c r="W98" s="544">
        <f ca="1">IF($Y98&gt;0,CHOOSE(MATCH(RegimeExecucao,{"Unitário","Global"},0),IF($A98="S",$Y98/$X98,""),($Y98/$X98)*100),0)</f>
        <v>0</v>
      </c>
      <c r="X98" s="381" t="str">
        <f ca="1">IF($Y98&gt;0,CHOOSE(MATCH(RegimeExecucao,{"Unitário","Global"},0),IF($A98="S",ROUND($H98,ORÇAMENTO!$AF$10),""),ROUND($I98,ORÇAMENTO!$AF$11)),"")</f>
        <v/>
      </c>
      <c r="Y98" s="381">
        <f t="shared" ca="1" si="21"/>
        <v>0</v>
      </c>
      <c r="Z98" s="569"/>
      <c r="AB98" s="379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380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25.5" x14ac:dyDescent="0.2">
      <c r="A99" t="str">
        <f ca="1">ORÇAMENTO!C99</f>
        <v>S</v>
      </c>
      <c r="B99">
        <f ca="1">ORÇAMENTO!D99</f>
        <v>0</v>
      </c>
      <c r="C99" s="113" t="str">
        <f t="shared" ca="1" si="15"/>
        <v/>
      </c>
      <c r="D99" s="116" t="str">
        <f ca="1">ORÇAMENTO!O99</f>
        <v>-</v>
      </c>
      <c r="E99" s="169" t="str">
        <f t="shared" ca="1" si="16"/>
        <v>(abra o arquivo 'Referência 10-2024.xlsm)</v>
      </c>
      <c r="F99" s="170" t="str">
        <f ca="1">IF(RegimeExecucao="Global","",ORÇAMENTO.Unidade)</f>
        <v>-</v>
      </c>
      <c r="G99" s="121">
        <f ca="1">IF(RegimeExecucao="Global","",ORÇAMENTO!T99)</f>
        <v>36.14</v>
      </c>
      <c r="H99" s="121">
        <f ca="1">IF(RegimeExecucao="Global","",ORÇAMENTO!W99)</f>
        <v>0</v>
      </c>
      <c r="I99" s="124">
        <f ca="1">ORÇAMENTO!X99</f>
        <v>0</v>
      </c>
      <c r="J99" s="375">
        <f ca="1">IF($A99="S",IF(CAIXA.Modo,BM.AFAnterior,BM.MEDAnterior),IF(AND(RegimeExecucao="Global",$I99&gt;0,COUNTIF($AB$13:$AM$13,BM.medicao-1)&gt;0),M99/$I99*100,0))</f>
        <v>0</v>
      </c>
      <c r="K99" s="121">
        <f t="shared" ca="1" si="17"/>
        <v>0</v>
      </c>
      <c r="L99" s="376">
        <f ca="1">IF($A99="S",IF(CAIXA.Modo,BM.AFAcumulado,BM.MEDAcumulado),IF(AND(RegimeExecucao="Global",$I99&gt;0,COUNTIF($AB$13:$AM$13,BM.medicao)&gt;0),O99/$I99*100,0))</f>
        <v>0</v>
      </c>
      <c r="M99" s="377">
        <f ca="1">IF($A99="S",VTOTALBM,IF($A99=0,0,ROUND(SomaAgrupBM,15-13*ORÇAMENTO!$AF$11)))</f>
        <v>0</v>
      </c>
      <c r="N99" s="378">
        <f t="shared" ca="1" si="18"/>
        <v>0</v>
      </c>
      <c r="O99" s="124">
        <f ca="1">IF($A99="S",VTOTALBM,IF($A99=0,0,ROUND(SomaAgrupBM,15-13*ORÇAMENTO!$AF$11)))</f>
        <v>0</v>
      </c>
      <c r="Q99" s="379"/>
      <c r="R99" s="380"/>
      <c r="T99" s="116" t="str">
        <f t="shared" ca="1" si="19"/>
        <v/>
      </c>
      <c r="U99" s="169" t="str">
        <f t="shared" ca="1" si="20"/>
        <v/>
      </c>
      <c r="V99" s="170" t="str">
        <f ca="1">IF(AND($W99&gt;0,RegimeExecucao="Unitário"),$F99,"")</f>
        <v/>
      </c>
      <c r="W99" s="544">
        <f ca="1">IF($Y99&gt;0,CHOOSE(MATCH(RegimeExecucao,{"Unitário","Global"},0),IF($A99="S",$Y99/$X99,""),($Y99/$X99)*100),0)</f>
        <v>0</v>
      </c>
      <c r="X99" s="381" t="str">
        <f ca="1">IF($Y99&gt;0,CHOOSE(MATCH(RegimeExecucao,{"Unitário","Global"},0),IF($A99="S",ROUND($H99,ORÇAMENTO!$AF$10),""),ROUND($I99,ORÇAMENTO!$AF$11)),"")</f>
        <v/>
      </c>
      <c r="Y99" s="381">
        <f t="shared" ca="1" si="21"/>
        <v>0</v>
      </c>
      <c r="Z99" s="569"/>
      <c r="AB99" s="379"/>
      <c r="AC99" s="513"/>
      <c r="AD99" s="513"/>
      <c r="AE99" s="513"/>
      <c r="AF99" s="513"/>
      <c r="AG99" s="513"/>
      <c r="AH99" s="513"/>
      <c r="AI99" s="513"/>
      <c r="AJ99" s="513"/>
      <c r="AK99" s="513"/>
      <c r="AL99" s="513"/>
      <c r="AM99" s="380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25.5" x14ac:dyDescent="0.2">
      <c r="A100" t="str">
        <f ca="1">ORÇAMENTO!C100</f>
        <v>S</v>
      </c>
      <c r="B100">
        <f ca="1">ORÇAMENTO!D100</f>
        <v>0</v>
      </c>
      <c r="C100" s="113" t="str">
        <f t="shared" ca="1" si="15"/>
        <v/>
      </c>
      <c r="D100" s="116" t="str">
        <f ca="1">ORÇAMENTO!O100</f>
        <v>-</v>
      </c>
      <c r="E100" s="169" t="str">
        <f t="shared" ca="1" si="16"/>
        <v>(abra o arquivo 'Referência 10-2024.xlsm)</v>
      </c>
      <c r="F100" s="170" t="str">
        <f ca="1">IF(RegimeExecucao="Global","",ORÇAMENTO.Unidade)</f>
        <v>-</v>
      </c>
      <c r="G100" s="121">
        <f ca="1">IF(RegimeExecucao="Global","",ORÇAMENTO!T100)</f>
        <v>2</v>
      </c>
      <c r="H100" s="121">
        <f ca="1">IF(RegimeExecucao="Global","",ORÇAMENTO!W100)</f>
        <v>0</v>
      </c>
      <c r="I100" s="124">
        <f ca="1">ORÇAMENTO!X100</f>
        <v>0</v>
      </c>
      <c r="J100" s="375">
        <f ca="1">IF($A100="S",IF(CAIXA.Modo,BM.AFAnterior,BM.MEDAnterior),IF(AND(RegimeExecucao="Global",$I100&gt;0,COUNTIF($AB$13:$AM$13,BM.medicao-1)&gt;0),M100/$I100*100,0))</f>
        <v>0</v>
      </c>
      <c r="K100" s="121">
        <f t="shared" ca="1" si="17"/>
        <v>0</v>
      </c>
      <c r="L100" s="376">
        <f ca="1">IF($A100="S",IF(CAIXA.Modo,BM.AFAcumulado,BM.MEDAcumulado),IF(AND(RegimeExecucao="Global",$I100&gt;0,COUNTIF($AB$13:$AM$13,BM.medicao)&gt;0),O100/$I100*100,0))</f>
        <v>0</v>
      </c>
      <c r="M100" s="377">
        <f ca="1">IF($A100="S",VTOTALBM,IF($A100=0,0,ROUND(SomaAgrupBM,15-13*ORÇAMENTO!$AF$11)))</f>
        <v>0</v>
      </c>
      <c r="N100" s="378">
        <f t="shared" ca="1" si="18"/>
        <v>0</v>
      </c>
      <c r="O100" s="124">
        <f ca="1">IF($A100="S",VTOTALBM,IF($A100=0,0,ROUND(SomaAgrupBM,15-13*ORÇAMENTO!$AF$11)))</f>
        <v>0</v>
      </c>
      <c r="Q100" s="379"/>
      <c r="R100" s="380"/>
      <c r="T100" s="116" t="str">
        <f t="shared" ca="1" si="19"/>
        <v/>
      </c>
      <c r="U100" s="169" t="str">
        <f t="shared" ca="1" si="20"/>
        <v/>
      </c>
      <c r="V100" s="170" t="str">
        <f ca="1">IF(AND($W100&gt;0,RegimeExecucao="Unitário"),$F100,"")</f>
        <v/>
      </c>
      <c r="W100" s="544">
        <f ca="1">IF($Y100&gt;0,CHOOSE(MATCH(RegimeExecucao,{"Unitário","Global"},0),IF($A100="S",$Y100/$X100,""),($Y100/$X100)*100),0)</f>
        <v>0</v>
      </c>
      <c r="X100" s="381" t="str">
        <f ca="1">IF($Y100&gt;0,CHOOSE(MATCH(RegimeExecucao,{"Unitário","Global"},0),IF($A100="S",ROUND($H100,ORÇAMENTO!$AF$10),""),ROUND($I100,ORÇAMENTO!$AF$11)),"")</f>
        <v/>
      </c>
      <c r="Y100" s="381">
        <f t="shared" ca="1" si="21"/>
        <v>0</v>
      </c>
      <c r="Z100" s="569"/>
      <c r="AB100" s="379"/>
      <c r="AC100" s="513"/>
      <c r="AD100" s="513"/>
      <c r="AE100" s="513"/>
      <c r="AF100" s="513"/>
      <c r="AG100" s="513"/>
      <c r="AH100" s="513"/>
      <c r="AI100" s="513"/>
      <c r="AJ100" s="513"/>
      <c r="AK100" s="513"/>
      <c r="AL100" s="513"/>
      <c r="AM100" s="380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38.25" x14ac:dyDescent="0.2">
      <c r="A101" t="str">
        <f ca="1">ORÇAMENTO!C101</f>
        <v>S</v>
      </c>
      <c r="B101">
        <f ca="1">ORÇAMENTO!D101</f>
        <v>0</v>
      </c>
      <c r="C101" s="113" t="str">
        <f t="shared" ca="1" si="15"/>
        <v/>
      </c>
      <c r="D101" s="116" t="str">
        <f ca="1">ORÇAMENTO!O101</f>
        <v>-</v>
      </c>
      <c r="E101" s="169" t="str">
        <f t="shared" ca="1" si="16"/>
        <v>(abra o arquivo 'Referência 10-2024.xlsm)</v>
      </c>
      <c r="F101" s="170" t="str">
        <f ca="1">IF(RegimeExecucao="Global","",ORÇAMENTO.Unidade)</f>
        <v>-</v>
      </c>
      <c r="G101" s="121">
        <f ca="1">IF(RegimeExecucao="Global","",ORÇAMENTO!T101)</f>
        <v>1</v>
      </c>
      <c r="H101" s="121">
        <f ca="1">IF(RegimeExecucao="Global","",ORÇAMENTO!W101)</f>
        <v>0</v>
      </c>
      <c r="I101" s="124">
        <f ca="1">ORÇAMENTO!X101</f>
        <v>0</v>
      </c>
      <c r="J101" s="375">
        <f ca="1">IF($A101="S",IF(CAIXA.Modo,BM.AFAnterior,BM.MEDAnterior),IF(AND(RegimeExecucao="Global",$I101&gt;0,COUNTIF($AB$13:$AM$13,BM.medicao-1)&gt;0),M101/$I101*100,0))</f>
        <v>0</v>
      </c>
      <c r="K101" s="121">
        <f t="shared" ca="1" si="17"/>
        <v>0</v>
      </c>
      <c r="L101" s="376">
        <f ca="1">IF($A101="S",IF(CAIXA.Modo,BM.AFAcumulado,BM.MEDAcumulado),IF(AND(RegimeExecucao="Global",$I101&gt;0,COUNTIF($AB$13:$AM$13,BM.medicao)&gt;0),O101/$I101*100,0))</f>
        <v>0</v>
      </c>
      <c r="M101" s="377">
        <f ca="1">IF($A101="S",VTOTALBM,IF($A101=0,0,ROUND(SomaAgrupBM,15-13*ORÇAMENTO!$AF$11)))</f>
        <v>0</v>
      </c>
      <c r="N101" s="378">
        <f t="shared" ca="1" si="18"/>
        <v>0</v>
      </c>
      <c r="O101" s="124">
        <f ca="1">IF($A101="S",VTOTALBM,IF($A101=0,0,ROUND(SomaAgrupBM,15-13*ORÇAMENTO!$AF$11)))</f>
        <v>0</v>
      </c>
      <c r="Q101" s="379"/>
      <c r="R101" s="380"/>
      <c r="T101" s="116" t="str">
        <f t="shared" ca="1" si="19"/>
        <v/>
      </c>
      <c r="U101" s="169" t="str">
        <f t="shared" ca="1" si="20"/>
        <v/>
      </c>
      <c r="V101" s="170" t="str">
        <f ca="1">IF(AND($W101&gt;0,RegimeExecucao="Unitário"),$F101,"")</f>
        <v/>
      </c>
      <c r="W101" s="544">
        <f ca="1">IF($Y101&gt;0,CHOOSE(MATCH(RegimeExecucao,{"Unitário","Global"},0),IF($A101="S",$Y101/$X101,""),($Y101/$X101)*100),0)</f>
        <v>0</v>
      </c>
      <c r="X101" s="381" t="str">
        <f ca="1">IF($Y101&gt;0,CHOOSE(MATCH(RegimeExecucao,{"Unitário","Global"},0),IF($A101="S",ROUND($H101,ORÇAMENTO!$AF$10),""),ROUND($I101,ORÇAMENTO!$AF$11)),"")</f>
        <v/>
      </c>
      <c r="Y101" s="381">
        <f t="shared" ca="1" si="21"/>
        <v>0</v>
      </c>
      <c r="Z101" s="569"/>
      <c r="AB101" s="379"/>
      <c r="AC101" s="513"/>
      <c r="AD101" s="513"/>
      <c r="AE101" s="513"/>
      <c r="AF101" s="513"/>
      <c r="AG101" s="513"/>
      <c r="AH101" s="513"/>
      <c r="AI101" s="513"/>
      <c r="AJ101" s="513"/>
      <c r="AK101" s="513"/>
      <c r="AL101" s="513"/>
      <c r="AM101" s="380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38.25" x14ac:dyDescent="0.2">
      <c r="A102" t="str">
        <f ca="1">ORÇAMENTO!C102</f>
        <v>S</v>
      </c>
      <c r="B102">
        <f ca="1">ORÇAMENTO!D102</f>
        <v>0</v>
      </c>
      <c r="C102" s="113" t="str">
        <f t="shared" ca="1" si="15"/>
        <v/>
      </c>
      <c r="D102" s="116" t="str">
        <f ca="1">ORÇAMENTO!O102</f>
        <v>-</v>
      </c>
      <c r="E102" s="169" t="str">
        <f t="shared" ca="1" si="16"/>
        <v>(abra o arquivo 'Referência 10-2024.xlsm)</v>
      </c>
      <c r="F102" s="170" t="str">
        <f ca="1">IF(RegimeExecucao="Global","",ORÇAMENTO.Unidade)</f>
        <v>-</v>
      </c>
      <c r="G102" s="121">
        <f ca="1">IF(RegimeExecucao="Global","",ORÇAMENTO!T102)</f>
        <v>1</v>
      </c>
      <c r="H102" s="121">
        <f ca="1">IF(RegimeExecucao="Global","",ORÇAMENTO!W102)</f>
        <v>0</v>
      </c>
      <c r="I102" s="124">
        <f ca="1">ORÇAMENTO!X102</f>
        <v>0</v>
      </c>
      <c r="J102" s="375">
        <f ca="1">IF($A102="S",IF(CAIXA.Modo,BM.AFAnterior,BM.MEDAnterior),IF(AND(RegimeExecucao="Global",$I102&gt;0,COUNTIF($AB$13:$AM$13,BM.medicao-1)&gt;0),M102/$I102*100,0))</f>
        <v>0</v>
      </c>
      <c r="K102" s="121">
        <f t="shared" ca="1" si="17"/>
        <v>0</v>
      </c>
      <c r="L102" s="376">
        <f ca="1">IF($A102="S",IF(CAIXA.Modo,BM.AFAcumulado,BM.MEDAcumulado),IF(AND(RegimeExecucao="Global",$I102&gt;0,COUNTIF($AB$13:$AM$13,BM.medicao)&gt;0),O102/$I102*100,0))</f>
        <v>0</v>
      </c>
      <c r="M102" s="377">
        <f ca="1">IF($A102="S",VTOTALBM,IF($A102=0,0,ROUND(SomaAgrupBM,15-13*ORÇAMENTO!$AF$11)))</f>
        <v>0</v>
      </c>
      <c r="N102" s="378">
        <f t="shared" ca="1" si="18"/>
        <v>0</v>
      </c>
      <c r="O102" s="124">
        <f ca="1">IF($A102="S",VTOTALBM,IF($A102=0,0,ROUND(SomaAgrupBM,15-13*ORÇAMENTO!$AF$11)))</f>
        <v>0</v>
      </c>
      <c r="Q102" s="379"/>
      <c r="R102" s="380"/>
      <c r="T102" s="116" t="str">
        <f t="shared" ca="1" si="19"/>
        <v/>
      </c>
      <c r="U102" s="169" t="str">
        <f t="shared" ca="1" si="20"/>
        <v/>
      </c>
      <c r="V102" s="170" t="str">
        <f ca="1">IF(AND($W102&gt;0,RegimeExecucao="Unitário"),$F102,"")</f>
        <v/>
      </c>
      <c r="W102" s="544">
        <f ca="1">IF($Y102&gt;0,CHOOSE(MATCH(RegimeExecucao,{"Unitário","Global"},0),IF($A102="S",$Y102/$X102,""),($Y102/$X102)*100),0)</f>
        <v>0</v>
      </c>
      <c r="X102" s="381" t="str">
        <f ca="1">IF($Y102&gt;0,CHOOSE(MATCH(RegimeExecucao,{"Unitário","Global"},0),IF($A102="S",ROUND($H102,ORÇAMENTO!$AF$10),""),ROUND($I102,ORÇAMENTO!$AF$11)),"")</f>
        <v/>
      </c>
      <c r="Y102" s="381">
        <f t="shared" ca="1" si="21"/>
        <v>0</v>
      </c>
      <c r="Z102" s="569"/>
      <c r="AB102" s="379"/>
      <c r="AC102" s="513"/>
      <c r="AD102" s="513"/>
      <c r="AE102" s="513"/>
      <c r="AF102" s="513"/>
      <c r="AG102" s="513"/>
      <c r="AH102" s="513"/>
      <c r="AI102" s="513"/>
      <c r="AJ102" s="513"/>
      <c r="AK102" s="513"/>
      <c r="AL102" s="513"/>
      <c r="AM102" s="380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>
        <f ca="1">ORÇAMENTO!C103</f>
        <v>2</v>
      </c>
      <c r="B103">
        <f ca="1">ORÇAMENTO!D103</f>
        <v>17</v>
      </c>
      <c r="C103" s="113" t="str">
        <f t="shared" ca="1" si="15"/>
        <v>F</v>
      </c>
      <c r="D103" s="116" t="str">
        <f ca="1">ORÇAMENTO!O103</f>
        <v>1.14.</v>
      </c>
      <c r="E103" s="169" t="str">
        <f t="shared" si="16"/>
        <v>INSTALAÇÕES ELÉTRICAS</v>
      </c>
      <c r="F103" s="170" t="str">
        <f ca="1">IF(RegimeExecucao="Global","",ORÇAMENTO.Unidade)</f>
        <v>-</v>
      </c>
      <c r="G103" s="121">
        <f ca="1">IF(RegimeExecucao="Global","",ORÇAMENTO!T103)</f>
        <v>0</v>
      </c>
      <c r="H103" s="121">
        <f ca="1">IF(RegimeExecucao="Global","",ORÇAMENTO!W103)</f>
        <v>0</v>
      </c>
      <c r="I103" s="124">
        <f ca="1">ORÇAMENTO!X103</f>
        <v>0</v>
      </c>
      <c r="J103" s="375">
        <f ca="1">IF($A103="S",IF(CAIXA.Modo,BM.AFAnterior,BM.MEDAnterior),IF(AND(RegimeExecucao="Global",$I103&gt;0,COUNTIF($AB$13:$AM$13,BM.medicao-1)&gt;0),M103/$I103*100,0))</f>
        <v>0</v>
      </c>
      <c r="K103" s="121">
        <f t="shared" ca="1" si="17"/>
        <v>0</v>
      </c>
      <c r="L103" s="376">
        <f ca="1">IF($A103="S",IF(CAIXA.Modo,BM.AFAcumulado,BM.MEDAcumulado),IF(AND(RegimeExecucao="Global",$I103&gt;0,COUNTIF($AB$13:$AM$13,BM.medicao)&gt;0),O103/$I103*100,0))</f>
        <v>0</v>
      </c>
      <c r="M103" s="377">
        <f ca="1">IF($A103="S",VTOTALBM,IF($A103=0,0,ROUND(SomaAgrupBM,15-13*ORÇAMENTO!$AF$11)))</f>
        <v>0</v>
      </c>
      <c r="N103" s="378">
        <f t="shared" ca="1" si="18"/>
        <v>0</v>
      </c>
      <c r="O103" s="124">
        <f ca="1">IF($A103="S",VTOTALBM,IF($A103=0,0,ROUND(SomaAgrupBM,15-13*ORÇAMENTO!$AF$11)))</f>
        <v>0</v>
      </c>
      <c r="Q103" s="379"/>
      <c r="R103" s="380"/>
      <c r="T103" s="116" t="str">
        <f t="shared" ca="1" si="19"/>
        <v/>
      </c>
      <c r="U103" s="169" t="str">
        <f t="shared" ca="1" si="20"/>
        <v/>
      </c>
      <c r="V103" s="170" t="str">
        <f ca="1">IF(AND($W103&gt;0,RegimeExecucao="Unitário"),$F103,"")</f>
        <v/>
      </c>
      <c r="W103" s="544">
        <f ca="1">IF($Y103&gt;0,CHOOSE(MATCH(RegimeExecucao,{"Unitário","Global"},0),IF($A103="S",$Y103/$X103,""),($Y103/$X103)*100),0)</f>
        <v>0</v>
      </c>
      <c r="X103" s="381" t="str">
        <f ca="1">IF($Y103&gt;0,CHOOSE(MATCH(RegimeExecucao,{"Unitário","Global"},0),IF($A103="S",ROUND($H103,ORÇAMENTO!$AF$10),""),ROUND($I103,ORÇAMENTO!$AF$11)),"")</f>
        <v/>
      </c>
      <c r="Y103" s="381">
        <f t="shared" ca="1" si="21"/>
        <v>0</v>
      </c>
      <c r="Z103" s="569"/>
      <c r="AB103" s="379"/>
      <c r="AC103" s="513"/>
      <c r="AD103" s="513"/>
      <c r="AE103" s="513"/>
      <c r="AF103" s="513"/>
      <c r="AG103" s="513"/>
      <c r="AH103" s="513"/>
      <c r="AI103" s="513"/>
      <c r="AJ103" s="513"/>
      <c r="AK103" s="513"/>
      <c r="AL103" s="513"/>
      <c r="AM103" s="380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ht="38.25" x14ac:dyDescent="0.2">
      <c r="A104" t="str">
        <f ca="1">ORÇAMENTO!C104</f>
        <v>S</v>
      </c>
      <c r="B104">
        <f ca="1">ORÇAMENTO!D104</f>
        <v>0</v>
      </c>
      <c r="C104" s="113" t="str">
        <f t="shared" ca="1" si="15"/>
        <v/>
      </c>
      <c r="D104" s="116" t="str">
        <f ca="1">ORÇAMENTO!O104</f>
        <v>-</v>
      </c>
      <c r="E104" s="169" t="str">
        <f t="shared" ca="1" si="16"/>
        <v>(abra o arquivo 'Referência 10-2024.xlsm)</v>
      </c>
      <c r="F104" s="170" t="str">
        <f ca="1">IF(RegimeExecucao="Global","",ORÇAMENTO.Unidade)</f>
        <v>-</v>
      </c>
      <c r="G104" s="121">
        <f ca="1">IF(RegimeExecucao="Global","",ORÇAMENTO!T104)</f>
        <v>1</v>
      </c>
      <c r="H104" s="121">
        <f ca="1">IF(RegimeExecucao="Global","",ORÇAMENTO!W104)</f>
        <v>0</v>
      </c>
      <c r="I104" s="124">
        <f ca="1">ORÇAMENTO!X104</f>
        <v>0</v>
      </c>
      <c r="J104" s="375">
        <f ca="1">IF($A104="S",IF(CAIXA.Modo,BM.AFAnterior,BM.MEDAnterior),IF(AND(RegimeExecucao="Global",$I104&gt;0,COUNTIF($AB$13:$AM$13,BM.medicao-1)&gt;0),M104/$I104*100,0))</f>
        <v>0</v>
      </c>
      <c r="K104" s="121">
        <f t="shared" ca="1" si="17"/>
        <v>0</v>
      </c>
      <c r="L104" s="376">
        <f ca="1">IF($A104="S",IF(CAIXA.Modo,BM.AFAcumulado,BM.MEDAcumulado),IF(AND(RegimeExecucao="Global",$I104&gt;0,COUNTIF($AB$13:$AM$13,BM.medicao)&gt;0),O104/$I104*100,0))</f>
        <v>0</v>
      </c>
      <c r="M104" s="377">
        <f ca="1">IF($A104="S",VTOTALBM,IF($A104=0,0,ROUND(SomaAgrupBM,15-13*ORÇAMENTO!$AF$11)))</f>
        <v>0</v>
      </c>
      <c r="N104" s="378">
        <f t="shared" ca="1" si="18"/>
        <v>0</v>
      </c>
      <c r="O104" s="124">
        <f ca="1">IF($A104="S",VTOTALBM,IF($A104=0,0,ROUND(SomaAgrupBM,15-13*ORÇAMENTO!$AF$11)))</f>
        <v>0</v>
      </c>
      <c r="Q104" s="379"/>
      <c r="R104" s="380"/>
      <c r="T104" s="116" t="str">
        <f t="shared" ca="1" si="19"/>
        <v/>
      </c>
      <c r="U104" s="169" t="str">
        <f t="shared" ca="1" si="20"/>
        <v/>
      </c>
      <c r="V104" s="170" t="str">
        <f ca="1">IF(AND($W104&gt;0,RegimeExecucao="Unitário"),$F104,"")</f>
        <v/>
      </c>
      <c r="W104" s="544">
        <f ca="1">IF($Y104&gt;0,CHOOSE(MATCH(RegimeExecucao,{"Unitário","Global"},0),IF($A104="S",$Y104/$X104,""),($Y104/$X104)*100),0)</f>
        <v>0</v>
      </c>
      <c r="X104" s="381" t="str">
        <f ca="1">IF($Y104&gt;0,CHOOSE(MATCH(RegimeExecucao,{"Unitário","Global"},0),IF($A104="S",ROUND($H104,ORÇAMENTO!$AF$10),""),ROUND($I104,ORÇAMENTO!$AF$11)),"")</f>
        <v/>
      </c>
      <c r="Y104" s="381">
        <f t="shared" ca="1" si="21"/>
        <v>0</v>
      </c>
      <c r="Z104" s="569"/>
      <c r="AB104" s="379"/>
      <c r="AC104" s="513"/>
      <c r="AD104" s="513"/>
      <c r="AE104" s="513"/>
      <c r="AF104" s="513"/>
      <c r="AG104" s="513"/>
      <c r="AH104" s="513"/>
      <c r="AI104" s="513"/>
      <c r="AJ104" s="513"/>
      <c r="AK104" s="513"/>
      <c r="AL104" s="513"/>
      <c r="AM104" s="380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ht="38.25" x14ac:dyDescent="0.2">
      <c r="A105" t="str">
        <f ca="1">ORÇAMENTO!C105</f>
        <v>S</v>
      </c>
      <c r="B105">
        <f ca="1">ORÇAMENTO!D105</f>
        <v>0</v>
      </c>
      <c r="C105" s="113" t="str">
        <f t="shared" ca="1" si="15"/>
        <v/>
      </c>
      <c r="D105" s="116" t="str">
        <f ca="1">ORÇAMENTO!O105</f>
        <v>-</v>
      </c>
      <c r="E105" s="169" t="str">
        <f t="shared" ca="1" si="16"/>
        <v>(abra o arquivo 'Referência 10-2024.xlsm)</v>
      </c>
      <c r="F105" s="170" t="str">
        <f ca="1">IF(RegimeExecucao="Global","",ORÇAMENTO.Unidade)</f>
        <v>-</v>
      </c>
      <c r="G105" s="121">
        <f ca="1">IF(RegimeExecucao="Global","",ORÇAMENTO!T105)</f>
        <v>60</v>
      </c>
      <c r="H105" s="121">
        <f ca="1">IF(RegimeExecucao="Global","",ORÇAMENTO!W105)</f>
        <v>0</v>
      </c>
      <c r="I105" s="124">
        <f ca="1">ORÇAMENTO!X105</f>
        <v>0</v>
      </c>
      <c r="J105" s="375">
        <f ca="1">IF($A105="S",IF(CAIXA.Modo,BM.AFAnterior,BM.MEDAnterior),IF(AND(RegimeExecucao="Global",$I105&gt;0,COUNTIF($AB$13:$AM$13,BM.medicao-1)&gt;0),M105/$I105*100,0))</f>
        <v>0</v>
      </c>
      <c r="K105" s="121">
        <f t="shared" ca="1" si="17"/>
        <v>0</v>
      </c>
      <c r="L105" s="376">
        <f ca="1">IF($A105="S",IF(CAIXA.Modo,BM.AFAcumulado,BM.MEDAcumulado),IF(AND(RegimeExecucao="Global",$I105&gt;0,COUNTIF($AB$13:$AM$13,BM.medicao)&gt;0),O105/$I105*100,0))</f>
        <v>0</v>
      </c>
      <c r="M105" s="377">
        <f ca="1">IF($A105="S",VTOTALBM,IF($A105=0,0,ROUND(SomaAgrupBM,15-13*ORÇAMENTO!$AF$11)))</f>
        <v>0</v>
      </c>
      <c r="N105" s="378">
        <f t="shared" ca="1" si="18"/>
        <v>0</v>
      </c>
      <c r="O105" s="124">
        <f ca="1">IF($A105="S",VTOTALBM,IF($A105=0,0,ROUND(SomaAgrupBM,15-13*ORÇAMENTO!$AF$11)))</f>
        <v>0</v>
      </c>
      <c r="Q105" s="379"/>
      <c r="R105" s="380"/>
      <c r="T105" s="116" t="str">
        <f t="shared" ca="1" si="19"/>
        <v/>
      </c>
      <c r="U105" s="169" t="str">
        <f t="shared" ca="1" si="20"/>
        <v/>
      </c>
      <c r="V105" s="170" t="str">
        <f ca="1">IF(AND($W105&gt;0,RegimeExecucao="Unitário"),$F105,"")</f>
        <v/>
      </c>
      <c r="W105" s="544">
        <f ca="1">IF($Y105&gt;0,CHOOSE(MATCH(RegimeExecucao,{"Unitário","Global"},0),IF($A105="S",$Y105/$X105,""),($Y105/$X105)*100),0)</f>
        <v>0</v>
      </c>
      <c r="X105" s="381" t="str">
        <f ca="1">IF($Y105&gt;0,CHOOSE(MATCH(RegimeExecucao,{"Unitário","Global"},0),IF($A105="S",ROUND($H105,ORÇAMENTO!$AF$10),""),ROUND($I105,ORÇAMENTO!$AF$11)),"")</f>
        <v/>
      </c>
      <c r="Y105" s="381">
        <f t="shared" ca="1" si="21"/>
        <v>0</v>
      </c>
      <c r="Z105" s="569"/>
      <c r="AB105" s="379"/>
      <c r="AC105" s="513"/>
      <c r="AD105" s="513"/>
      <c r="AE105" s="513"/>
      <c r="AF105" s="513"/>
      <c r="AG105" s="513"/>
      <c r="AH105" s="513"/>
      <c r="AI105" s="513"/>
      <c r="AJ105" s="513"/>
      <c r="AK105" s="513"/>
      <c r="AL105" s="513"/>
      <c r="AM105" s="380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ht="38.25" x14ac:dyDescent="0.2">
      <c r="A106" t="str">
        <f ca="1">ORÇAMENTO!C106</f>
        <v>S</v>
      </c>
      <c r="B106">
        <f ca="1">ORÇAMENTO!D106</f>
        <v>0</v>
      </c>
      <c r="C106" s="113" t="str">
        <f t="shared" ca="1" si="15"/>
        <v/>
      </c>
      <c r="D106" s="116" t="str">
        <f ca="1">ORÇAMENTO!O106</f>
        <v>-</v>
      </c>
      <c r="E106" s="169" t="str">
        <f t="shared" ca="1" si="16"/>
        <v>(abra o arquivo 'Referência 10-2024.xlsm)</v>
      </c>
      <c r="F106" s="170" t="str">
        <f ca="1">IF(RegimeExecucao="Global","",ORÇAMENTO.Unidade)</f>
        <v>-</v>
      </c>
      <c r="G106" s="121">
        <f ca="1">IF(RegimeExecucao="Global","",ORÇAMENTO!T106)</f>
        <v>18</v>
      </c>
      <c r="H106" s="121">
        <f ca="1">IF(RegimeExecucao="Global","",ORÇAMENTO!W106)</f>
        <v>0</v>
      </c>
      <c r="I106" s="124">
        <f ca="1">ORÇAMENTO!X106</f>
        <v>0</v>
      </c>
      <c r="J106" s="375">
        <f ca="1">IF($A106="S",IF(CAIXA.Modo,BM.AFAnterior,BM.MEDAnterior),IF(AND(RegimeExecucao="Global",$I106&gt;0,COUNTIF($AB$13:$AM$13,BM.medicao-1)&gt;0),M106/$I106*100,0))</f>
        <v>0</v>
      </c>
      <c r="K106" s="121">
        <f t="shared" ca="1" si="17"/>
        <v>0</v>
      </c>
      <c r="L106" s="376">
        <f ca="1">IF($A106="S",IF(CAIXA.Modo,BM.AFAcumulado,BM.MEDAcumulado),IF(AND(RegimeExecucao="Global",$I106&gt;0,COUNTIF($AB$13:$AM$13,BM.medicao)&gt;0),O106/$I106*100,0))</f>
        <v>0</v>
      </c>
      <c r="M106" s="377">
        <f ca="1">IF($A106="S",VTOTALBM,IF($A106=0,0,ROUND(SomaAgrupBM,15-13*ORÇAMENTO!$AF$11)))</f>
        <v>0</v>
      </c>
      <c r="N106" s="378">
        <f t="shared" ca="1" si="18"/>
        <v>0</v>
      </c>
      <c r="O106" s="124">
        <f ca="1">IF($A106="S",VTOTALBM,IF($A106=0,0,ROUND(SomaAgrupBM,15-13*ORÇAMENTO!$AF$11)))</f>
        <v>0</v>
      </c>
      <c r="Q106" s="379"/>
      <c r="R106" s="380"/>
      <c r="T106" s="116" t="str">
        <f t="shared" ca="1" si="19"/>
        <v/>
      </c>
      <c r="U106" s="169" t="str">
        <f t="shared" ca="1" si="20"/>
        <v/>
      </c>
      <c r="V106" s="170" t="str">
        <f ca="1">IF(AND($W106&gt;0,RegimeExecucao="Unitário"),$F106,"")</f>
        <v/>
      </c>
      <c r="W106" s="544">
        <f ca="1">IF($Y106&gt;0,CHOOSE(MATCH(RegimeExecucao,{"Unitário","Global"},0),IF($A106="S",$Y106/$X106,""),($Y106/$X106)*100),0)</f>
        <v>0</v>
      </c>
      <c r="X106" s="381" t="str">
        <f ca="1">IF($Y106&gt;0,CHOOSE(MATCH(RegimeExecucao,{"Unitário","Global"},0),IF($A106="S",ROUND($H106,ORÇAMENTO!$AF$10),""),ROUND($I106,ORÇAMENTO!$AF$11)),"")</f>
        <v/>
      </c>
      <c r="Y106" s="381">
        <f t="shared" ca="1" si="21"/>
        <v>0</v>
      </c>
      <c r="Z106" s="569"/>
      <c r="AB106" s="379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380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ht="38.25" x14ac:dyDescent="0.2">
      <c r="A107" t="str">
        <f ca="1">ORÇAMENTO!C107</f>
        <v>S</v>
      </c>
      <c r="B107">
        <f ca="1">ORÇAMENTO!D107</f>
        <v>0</v>
      </c>
      <c r="C107" s="113" t="str">
        <f t="shared" ca="1" si="15"/>
        <v/>
      </c>
      <c r="D107" s="116" t="str">
        <f ca="1">ORÇAMENTO!O107</f>
        <v>-</v>
      </c>
      <c r="E107" s="169" t="str">
        <f t="shared" ca="1" si="16"/>
        <v>(abra o arquivo 'Referência 10-2024.xlsm)</v>
      </c>
      <c r="F107" s="170" t="str">
        <f ca="1">IF(RegimeExecucao="Global","",ORÇAMENTO.Unidade)</f>
        <v>-</v>
      </c>
      <c r="G107" s="121">
        <f ca="1">IF(RegimeExecucao="Global","",ORÇAMENTO!T107)</f>
        <v>44.6</v>
      </c>
      <c r="H107" s="121">
        <f ca="1">IF(RegimeExecucao="Global","",ORÇAMENTO!W107)</f>
        <v>0</v>
      </c>
      <c r="I107" s="124">
        <f ca="1">ORÇAMENTO!X107</f>
        <v>0</v>
      </c>
      <c r="J107" s="375">
        <f ca="1">IF($A107="S",IF(CAIXA.Modo,BM.AFAnterior,BM.MEDAnterior),IF(AND(RegimeExecucao="Global",$I107&gt;0,COUNTIF($AB$13:$AM$13,BM.medicao-1)&gt;0),M107/$I107*100,0))</f>
        <v>0</v>
      </c>
      <c r="K107" s="121">
        <f t="shared" ca="1" si="17"/>
        <v>0</v>
      </c>
      <c r="L107" s="376">
        <f ca="1">IF($A107="S",IF(CAIXA.Modo,BM.AFAcumulado,BM.MEDAcumulado),IF(AND(RegimeExecucao="Global",$I107&gt;0,COUNTIF($AB$13:$AM$13,BM.medicao)&gt;0),O107/$I107*100,0))</f>
        <v>0</v>
      </c>
      <c r="M107" s="377">
        <f ca="1">IF($A107="S",VTOTALBM,IF($A107=0,0,ROUND(SomaAgrupBM,15-13*ORÇAMENTO!$AF$11)))</f>
        <v>0</v>
      </c>
      <c r="N107" s="378">
        <f t="shared" ca="1" si="18"/>
        <v>0</v>
      </c>
      <c r="O107" s="124">
        <f ca="1">IF($A107="S",VTOTALBM,IF($A107=0,0,ROUND(SomaAgrupBM,15-13*ORÇAMENTO!$AF$11)))</f>
        <v>0</v>
      </c>
      <c r="Q107" s="379"/>
      <c r="R107" s="380"/>
      <c r="T107" s="116" t="str">
        <f t="shared" ca="1" si="19"/>
        <v/>
      </c>
      <c r="U107" s="169" t="str">
        <f t="shared" ca="1" si="20"/>
        <v/>
      </c>
      <c r="V107" s="170" t="str">
        <f ca="1">IF(AND($W107&gt;0,RegimeExecucao="Unitário"),$F107,"")</f>
        <v/>
      </c>
      <c r="W107" s="544">
        <f ca="1">IF($Y107&gt;0,CHOOSE(MATCH(RegimeExecucao,{"Unitário","Global"},0),IF($A107="S",$Y107/$X107,""),($Y107/$X107)*100),0)</f>
        <v>0</v>
      </c>
      <c r="X107" s="381" t="str">
        <f ca="1">IF($Y107&gt;0,CHOOSE(MATCH(RegimeExecucao,{"Unitário","Global"},0),IF($A107="S",ROUND($H107,ORÇAMENTO!$AF$10),""),ROUND($I107,ORÇAMENTO!$AF$11)),"")</f>
        <v/>
      </c>
      <c r="Y107" s="381">
        <f t="shared" ca="1" si="21"/>
        <v>0</v>
      </c>
      <c r="Z107" s="569"/>
      <c r="AB107" s="379"/>
      <c r="AC107" s="513"/>
      <c r="AD107" s="513"/>
      <c r="AE107" s="513"/>
      <c r="AF107" s="513"/>
      <c r="AG107" s="513"/>
      <c r="AH107" s="513"/>
      <c r="AI107" s="513"/>
      <c r="AJ107" s="513"/>
      <c r="AK107" s="513"/>
      <c r="AL107" s="513"/>
      <c r="AM107" s="380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ht="38.25" x14ac:dyDescent="0.2">
      <c r="A108" t="str">
        <f ca="1">ORÇAMENTO!C108</f>
        <v>S</v>
      </c>
      <c r="B108">
        <f ca="1">ORÇAMENTO!D108</f>
        <v>0</v>
      </c>
      <c r="C108" s="113" t="str">
        <f t="shared" ca="1" si="15"/>
        <v/>
      </c>
      <c r="D108" s="116" t="str">
        <f ca="1">ORÇAMENTO!O108</f>
        <v>-</v>
      </c>
      <c r="E108" s="169" t="str">
        <f t="shared" ca="1" si="16"/>
        <v>(abra o arquivo 'Referência 10-2024.xlsm)</v>
      </c>
      <c r="F108" s="170" t="str">
        <f ca="1">IF(RegimeExecucao="Global","",ORÇAMENTO.Unidade)</f>
        <v>-</v>
      </c>
      <c r="G108" s="121">
        <f ca="1">IF(RegimeExecucao="Global","",ORÇAMENTO!T108)</f>
        <v>94.8</v>
      </c>
      <c r="H108" s="121">
        <f ca="1">IF(RegimeExecucao="Global","",ORÇAMENTO!W108)</f>
        <v>0</v>
      </c>
      <c r="I108" s="124">
        <f ca="1">ORÇAMENTO!X108</f>
        <v>0</v>
      </c>
      <c r="J108" s="375">
        <f ca="1">IF($A108="S",IF(CAIXA.Modo,BM.AFAnterior,BM.MEDAnterior),IF(AND(RegimeExecucao="Global",$I108&gt;0,COUNTIF($AB$13:$AM$13,BM.medicao-1)&gt;0),M108/$I108*100,0))</f>
        <v>0</v>
      </c>
      <c r="K108" s="121">
        <f t="shared" ca="1" si="17"/>
        <v>0</v>
      </c>
      <c r="L108" s="376">
        <f ca="1">IF($A108="S",IF(CAIXA.Modo,BM.AFAcumulado,BM.MEDAcumulado),IF(AND(RegimeExecucao="Global",$I108&gt;0,COUNTIF($AB$13:$AM$13,BM.medicao)&gt;0),O108/$I108*100,0))</f>
        <v>0</v>
      </c>
      <c r="M108" s="377">
        <f ca="1">IF($A108="S",VTOTALBM,IF($A108=0,0,ROUND(SomaAgrupBM,15-13*ORÇAMENTO!$AF$11)))</f>
        <v>0</v>
      </c>
      <c r="N108" s="378">
        <f t="shared" ca="1" si="18"/>
        <v>0</v>
      </c>
      <c r="O108" s="124">
        <f ca="1">IF($A108="S",VTOTALBM,IF($A108=0,0,ROUND(SomaAgrupBM,15-13*ORÇAMENTO!$AF$11)))</f>
        <v>0</v>
      </c>
      <c r="Q108" s="379"/>
      <c r="R108" s="380"/>
      <c r="T108" s="116" t="str">
        <f t="shared" ca="1" si="19"/>
        <v/>
      </c>
      <c r="U108" s="169" t="str">
        <f t="shared" ca="1" si="20"/>
        <v/>
      </c>
      <c r="V108" s="170" t="str">
        <f ca="1">IF(AND($W108&gt;0,RegimeExecucao="Unitário"),$F108,"")</f>
        <v/>
      </c>
      <c r="W108" s="544">
        <f ca="1">IF($Y108&gt;0,CHOOSE(MATCH(RegimeExecucao,{"Unitário","Global"},0),IF($A108="S",$Y108/$X108,""),($Y108/$X108)*100),0)</f>
        <v>0</v>
      </c>
      <c r="X108" s="381" t="str">
        <f ca="1">IF($Y108&gt;0,CHOOSE(MATCH(RegimeExecucao,{"Unitário","Global"},0),IF($A108="S",ROUND($H108,ORÇAMENTO!$AF$10),""),ROUND($I108,ORÇAMENTO!$AF$11)),"")</f>
        <v/>
      </c>
      <c r="Y108" s="381">
        <f t="shared" ca="1" si="21"/>
        <v>0</v>
      </c>
      <c r="Z108" s="569"/>
      <c r="AB108" s="379"/>
      <c r="AC108" s="513"/>
      <c r="AD108" s="513"/>
      <c r="AE108" s="513"/>
      <c r="AF108" s="513"/>
      <c r="AG108" s="513"/>
      <c r="AH108" s="513"/>
      <c r="AI108" s="513"/>
      <c r="AJ108" s="513"/>
      <c r="AK108" s="513"/>
      <c r="AL108" s="513"/>
      <c r="AM108" s="380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ht="38.25" x14ac:dyDescent="0.2">
      <c r="A109" t="str">
        <f ca="1">ORÇAMENTO!C109</f>
        <v>S</v>
      </c>
      <c r="B109">
        <f ca="1">ORÇAMENTO!D109</f>
        <v>0</v>
      </c>
      <c r="C109" s="113" t="str">
        <f ca="1">IF(OR($I109&gt;0,$A109=1,$A109=2,$A109=3,$A109=4),"F","")</f>
        <v/>
      </c>
      <c r="D109" s="116" t="str">
        <f ca="1">ORÇAMENTO!O109</f>
        <v>-</v>
      </c>
      <c r="E109" s="169" t="str">
        <f t="shared" ca="1" si="16"/>
        <v>(abra o arquivo 'Referência 10-2024.xlsm)</v>
      </c>
      <c r="F109" s="170" t="str">
        <f ca="1">IF(RegimeExecucao="Global","",ORÇAMENTO.Unidade)</f>
        <v>-</v>
      </c>
      <c r="G109" s="121">
        <f ca="1">IF(RegimeExecucao="Global","",ORÇAMENTO!T109)</f>
        <v>51</v>
      </c>
      <c r="H109" s="121">
        <f ca="1">IF(RegimeExecucao="Global","",ORÇAMENTO!W109)</f>
        <v>0</v>
      </c>
      <c r="I109" s="124">
        <f ca="1">ORÇAMENTO!X109</f>
        <v>0</v>
      </c>
      <c r="J109" s="375">
        <f ca="1">IF($A109="S",IF(CAIXA.Modo,BM.AFAnterior,BM.MEDAnterior),IF(AND(RegimeExecucao="Global",$I109&gt;0,COUNTIF($AB$13:$AM$13,BM.medicao-1)&gt;0),M109/$I109*100,0))</f>
        <v>0</v>
      </c>
      <c r="K109" s="121">
        <f ca="1">L109-J109</f>
        <v>0</v>
      </c>
      <c r="L109" s="376">
        <f ca="1">IF($A109="S",IF(CAIXA.Modo,BM.AFAcumulado,BM.MEDAcumulado),IF(AND(RegimeExecucao="Global",$I109&gt;0,COUNTIF($AB$13:$AM$13,BM.medicao)&gt;0),O109/$I109*100,0))</f>
        <v>0</v>
      </c>
      <c r="M109" s="377">
        <f ca="1">IF($A109="S",VTOTALBM,IF($A109=0,0,ROUND(SomaAgrupBM,15-13*ORÇAMENTO!$AF$11)))</f>
        <v>0</v>
      </c>
      <c r="N109" s="378">
        <f ca="1">O109-M109</f>
        <v>0</v>
      </c>
      <c r="O109" s="124">
        <f ca="1">IF($A109="S",VTOTALBM,IF($A109=0,0,ROUND(SomaAgrupBM,15-13*ORÇAMENTO!$AF$11)))</f>
        <v>0</v>
      </c>
      <c r="Q109" s="379"/>
      <c r="R109" s="380"/>
      <c r="T109" s="116" t="str">
        <f ca="1">IF($W109&gt;0,$D109,"")</f>
        <v/>
      </c>
      <c r="U109" s="169" t="str">
        <f ca="1">IF($W109&gt;0,$E109,"")</f>
        <v/>
      </c>
      <c r="V109" s="170" t="str">
        <f ca="1">IF(AND($W109&gt;0,RegimeExecucao="Unitário"),$F109,"")</f>
        <v/>
      </c>
      <c r="W109" s="544">
        <f ca="1">IF($Y109&gt;0,CHOOSE(MATCH(RegimeExecucao,{"Unitário","Global"},0),IF($A109="S",$Y109/$X109,""),($Y109/$X109)*100),0)</f>
        <v>0</v>
      </c>
      <c r="X109" s="381" t="str">
        <f ca="1">IF($Y109&gt;0,CHOOSE(MATCH(RegimeExecucao,{"Unitário","Global"},0),IF($A109="S",ROUND($H109,ORÇAMENTO!$AF$10),""),ROUND($I109,ORÇAMENTO!$AF$11)),"")</f>
        <v/>
      </c>
      <c r="Y109" s="381">
        <f ca="1">AO109-O109</f>
        <v>0</v>
      </c>
      <c r="Z109" s="569"/>
      <c r="AB109" s="379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380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ht="25.5" x14ac:dyDescent="0.2">
      <c r="A110" t="str">
        <f ca="1">ORÇAMENTO!C110</f>
        <v>S</v>
      </c>
      <c r="B110">
        <f ca="1">ORÇAMENTO!D110</f>
        <v>0</v>
      </c>
      <c r="C110" s="113" t="str">
        <f t="shared" ref="C110:C119" ca="1" si="22">IF(OR($I110&gt;0,$A110=1,$A110=2,$A110=3,$A110=4),"F","")</f>
        <v/>
      </c>
      <c r="D110" s="116" t="str">
        <f ca="1">ORÇAMENTO!O110</f>
        <v>-</v>
      </c>
      <c r="E110" s="169" t="str">
        <f t="shared" ca="1" si="16"/>
        <v>(abra o arquivo 'Referência 10-2024.xlsm)</v>
      </c>
      <c r="F110" s="170" t="str">
        <f ca="1">IF(RegimeExecucao="Global","",ORÇAMENTO.Unidade)</f>
        <v>-</v>
      </c>
      <c r="G110" s="121">
        <f ca="1">IF(RegimeExecucao="Global","",ORÇAMENTO!T110)</f>
        <v>3</v>
      </c>
      <c r="H110" s="121">
        <f ca="1">IF(RegimeExecucao="Global","",ORÇAMENTO!W110)</f>
        <v>0</v>
      </c>
      <c r="I110" s="124">
        <f ca="1">ORÇAMENTO!X110</f>
        <v>0</v>
      </c>
      <c r="J110" s="375">
        <f ca="1">IF($A110="S",IF(CAIXA.Modo,BM.AFAnterior,BM.MEDAnterior),IF(AND(RegimeExecucao="Global",$I110&gt;0,COUNTIF($AB$13:$AM$13,BM.medicao-1)&gt;0),M110/$I110*100,0))</f>
        <v>0</v>
      </c>
      <c r="K110" s="121">
        <f t="shared" ref="K110:K119" ca="1" si="23">L110-J110</f>
        <v>0</v>
      </c>
      <c r="L110" s="376">
        <f ca="1">IF($A110="S",IF(CAIXA.Modo,BM.AFAcumulado,BM.MEDAcumulado),IF(AND(RegimeExecucao="Global",$I110&gt;0,COUNTIF($AB$13:$AM$13,BM.medicao)&gt;0),O110/$I110*100,0))</f>
        <v>0</v>
      </c>
      <c r="M110" s="377">
        <f ca="1">IF($A110="S",VTOTALBM,IF($A110=0,0,ROUND(SomaAgrupBM,15-13*ORÇAMENTO!$AF$11)))</f>
        <v>0</v>
      </c>
      <c r="N110" s="378">
        <f t="shared" ref="N110:N119" ca="1" si="24">O110-M110</f>
        <v>0</v>
      </c>
      <c r="O110" s="124">
        <f ca="1">IF($A110="S",VTOTALBM,IF($A110=0,0,ROUND(SomaAgrupBM,15-13*ORÇAMENTO!$AF$11)))</f>
        <v>0</v>
      </c>
      <c r="Q110" s="379"/>
      <c r="R110" s="380"/>
      <c r="T110" s="116" t="str">
        <f t="shared" ref="T110:T119" ca="1" si="25">IF($W110&gt;0,$D110,"")</f>
        <v/>
      </c>
      <c r="U110" s="169" t="str">
        <f t="shared" ref="U110:U119" ca="1" si="26">IF($W110&gt;0,$E110,"")</f>
        <v/>
      </c>
      <c r="V110" s="170" t="str">
        <f ca="1">IF(AND($W110&gt;0,RegimeExecucao="Unitário"),$F110,"")</f>
        <v/>
      </c>
      <c r="W110" s="544">
        <f ca="1">IF($Y110&gt;0,CHOOSE(MATCH(RegimeExecucao,{"Unitário","Global"},0),IF($A110="S",$Y110/$X110,""),($Y110/$X110)*100),0)</f>
        <v>0</v>
      </c>
      <c r="X110" s="381" t="str">
        <f ca="1">IF($Y110&gt;0,CHOOSE(MATCH(RegimeExecucao,{"Unitário","Global"},0),IF($A110="S",ROUND($H110,ORÇAMENTO!$AF$10),""),ROUND($I110,ORÇAMENTO!$AF$11)),"")</f>
        <v/>
      </c>
      <c r="Y110" s="381">
        <f t="shared" ref="Y110:Y119" ca="1" si="27">AO110-O110</f>
        <v>0</v>
      </c>
      <c r="Z110" s="569"/>
      <c r="AB110" s="379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380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ht="25.5" x14ac:dyDescent="0.2">
      <c r="A111" t="str">
        <f ca="1">ORÇAMENTO!C111</f>
        <v>S</v>
      </c>
      <c r="B111">
        <f ca="1">ORÇAMENTO!D111</f>
        <v>0</v>
      </c>
      <c r="C111" s="113" t="str">
        <f t="shared" ca="1" si="22"/>
        <v/>
      </c>
      <c r="D111" s="116" t="str">
        <f ca="1">ORÇAMENTO!O111</f>
        <v>-</v>
      </c>
      <c r="E111" s="169" t="str">
        <f t="shared" ca="1" si="16"/>
        <v>(abra o arquivo 'Referência 10-2024.xlsm)</v>
      </c>
      <c r="F111" s="170" t="str">
        <f ca="1">IF(RegimeExecucao="Global","",ORÇAMENTO.Unidade)</f>
        <v>-</v>
      </c>
      <c r="G111" s="121">
        <f ca="1">IF(RegimeExecucao="Global","",ORÇAMENTO!T111)</f>
        <v>1</v>
      </c>
      <c r="H111" s="121">
        <f ca="1">IF(RegimeExecucao="Global","",ORÇAMENTO!W111)</f>
        <v>0</v>
      </c>
      <c r="I111" s="124">
        <f ca="1">ORÇAMENTO!X111</f>
        <v>0</v>
      </c>
      <c r="J111" s="375">
        <f ca="1">IF($A111="S",IF(CAIXA.Modo,BM.AFAnterior,BM.MEDAnterior),IF(AND(RegimeExecucao="Global",$I111&gt;0,COUNTIF($AB$13:$AM$13,BM.medicao-1)&gt;0),M111/$I111*100,0))</f>
        <v>0</v>
      </c>
      <c r="K111" s="121">
        <f t="shared" ca="1" si="23"/>
        <v>0</v>
      </c>
      <c r="L111" s="376">
        <f ca="1">IF($A111="S",IF(CAIXA.Modo,BM.AFAcumulado,BM.MEDAcumulado),IF(AND(RegimeExecucao="Global",$I111&gt;0,COUNTIF($AB$13:$AM$13,BM.medicao)&gt;0),O111/$I111*100,0))</f>
        <v>0</v>
      </c>
      <c r="M111" s="377">
        <f ca="1">IF($A111="S",VTOTALBM,IF($A111=0,0,ROUND(SomaAgrupBM,15-13*ORÇAMENTO!$AF$11)))</f>
        <v>0</v>
      </c>
      <c r="N111" s="378">
        <f t="shared" ca="1" si="24"/>
        <v>0</v>
      </c>
      <c r="O111" s="124">
        <f ca="1">IF($A111="S",VTOTALBM,IF($A111=0,0,ROUND(SomaAgrupBM,15-13*ORÇAMENTO!$AF$11)))</f>
        <v>0</v>
      </c>
      <c r="Q111" s="379"/>
      <c r="R111" s="380"/>
      <c r="T111" s="116" t="str">
        <f t="shared" ca="1" si="25"/>
        <v/>
      </c>
      <c r="U111" s="169" t="str">
        <f t="shared" ca="1" si="26"/>
        <v/>
      </c>
      <c r="V111" s="170" t="str">
        <f ca="1">IF(AND($W111&gt;0,RegimeExecucao="Unitário"),$F111,"")</f>
        <v/>
      </c>
      <c r="W111" s="544">
        <f ca="1">IF($Y111&gt;0,CHOOSE(MATCH(RegimeExecucao,{"Unitário","Global"},0),IF($A111="S",$Y111/$X111,""),($Y111/$X111)*100),0)</f>
        <v>0</v>
      </c>
      <c r="X111" s="381" t="str">
        <f ca="1">IF($Y111&gt;0,CHOOSE(MATCH(RegimeExecucao,{"Unitário","Global"},0),IF($A111="S",ROUND($H111,ORÇAMENTO!$AF$10),""),ROUND($I111,ORÇAMENTO!$AF$11)),"")</f>
        <v/>
      </c>
      <c r="Y111" s="381">
        <f t="shared" ca="1" si="27"/>
        <v>0</v>
      </c>
      <c r="Z111" s="569"/>
      <c r="AB111" s="379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380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ht="25.5" x14ac:dyDescent="0.2">
      <c r="A112" t="str">
        <f ca="1">ORÇAMENTO!C112</f>
        <v>S</v>
      </c>
      <c r="B112">
        <f ca="1">ORÇAMENTO!D112</f>
        <v>0</v>
      </c>
      <c r="C112" s="113" t="str">
        <f t="shared" ca="1" si="22"/>
        <v/>
      </c>
      <c r="D112" s="116" t="str">
        <f ca="1">ORÇAMENTO!O112</f>
        <v>-</v>
      </c>
      <c r="E112" s="169" t="str">
        <f t="shared" ca="1" si="16"/>
        <v>(abra o arquivo 'Referência 10-2024.xlsm)</v>
      </c>
      <c r="F112" s="170" t="str">
        <f ca="1">IF(RegimeExecucao="Global","",ORÇAMENTO.Unidade)</f>
        <v>-</v>
      </c>
      <c r="G112" s="121">
        <f ca="1">IF(RegimeExecucao="Global","",ORÇAMENTO!T112)</f>
        <v>1</v>
      </c>
      <c r="H112" s="121">
        <f ca="1">IF(RegimeExecucao="Global","",ORÇAMENTO!W112)</f>
        <v>0</v>
      </c>
      <c r="I112" s="124">
        <f ca="1">ORÇAMENTO!X112</f>
        <v>0</v>
      </c>
      <c r="J112" s="375">
        <f ca="1">IF($A112="S",IF(CAIXA.Modo,BM.AFAnterior,BM.MEDAnterior),IF(AND(RegimeExecucao="Global",$I112&gt;0,COUNTIF($AB$13:$AM$13,BM.medicao-1)&gt;0),M112/$I112*100,0))</f>
        <v>0</v>
      </c>
      <c r="K112" s="121">
        <f t="shared" ca="1" si="23"/>
        <v>0</v>
      </c>
      <c r="L112" s="376">
        <f ca="1">IF($A112="S",IF(CAIXA.Modo,BM.AFAcumulado,BM.MEDAcumulado),IF(AND(RegimeExecucao="Global",$I112&gt;0,COUNTIF($AB$13:$AM$13,BM.medicao)&gt;0),O112/$I112*100,0))</f>
        <v>0</v>
      </c>
      <c r="M112" s="377">
        <f ca="1">IF($A112="S",VTOTALBM,IF($A112=0,0,ROUND(SomaAgrupBM,15-13*ORÇAMENTO!$AF$11)))</f>
        <v>0</v>
      </c>
      <c r="N112" s="378">
        <f t="shared" ca="1" si="24"/>
        <v>0</v>
      </c>
      <c r="O112" s="124">
        <f ca="1">IF($A112="S",VTOTALBM,IF($A112=0,0,ROUND(SomaAgrupBM,15-13*ORÇAMENTO!$AF$11)))</f>
        <v>0</v>
      </c>
      <c r="Q112" s="379"/>
      <c r="R112" s="380"/>
      <c r="T112" s="116" t="str">
        <f t="shared" ca="1" si="25"/>
        <v/>
      </c>
      <c r="U112" s="169" t="str">
        <f t="shared" ca="1" si="26"/>
        <v/>
      </c>
      <c r="V112" s="170" t="str">
        <f ca="1">IF(AND($W112&gt;0,RegimeExecucao="Unitário"),$F112,"")</f>
        <v/>
      </c>
      <c r="W112" s="544">
        <f ca="1">IF($Y112&gt;0,CHOOSE(MATCH(RegimeExecucao,{"Unitário","Global"},0),IF($A112="S",$Y112/$X112,""),($Y112/$X112)*100),0)</f>
        <v>0</v>
      </c>
      <c r="X112" s="381" t="str">
        <f ca="1">IF($Y112&gt;0,CHOOSE(MATCH(RegimeExecucao,{"Unitário","Global"},0),IF($A112="S",ROUND($H112,ORÇAMENTO!$AF$10),""),ROUND($I112,ORÇAMENTO!$AF$11)),"")</f>
        <v/>
      </c>
      <c r="Y112" s="381">
        <f t="shared" ca="1" si="27"/>
        <v>0</v>
      </c>
      <c r="Z112" s="569"/>
      <c r="AB112" s="379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380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ht="25.5" x14ac:dyDescent="0.2">
      <c r="A113" t="str">
        <f ca="1">ORÇAMENTO!C113</f>
        <v>S</v>
      </c>
      <c r="B113">
        <f ca="1">ORÇAMENTO!D113</f>
        <v>0</v>
      </c>
      <c r="C113" s="113" t="str">
        <f t="shared" ca="1" si="22"/>
        <v/>
      </c>
      <c r="D113" s="116" t="str">
        <f ca="1">ORÇAMENTO!O113</f>
        <v>-</v>
      </c>
      <c r="E113" s="169" t="str">
        <f t="shared" ca="1" si="16"/>
        <v>(abra o arquivo 'Referência 10-2024.xlsm)</v>
      </c>
      <c r="F113" s="170" t="str">
        <f ca="1">IF(RegimeExecucao="Global","",ORÇAMENTO.Unidade)</f>
        <v>-</v>
      </c>
      <c r="G113" s="121">
        <f ca="1">IF(RegimeExecucao="Global","",ORÇAMENTO!T113)</f>
        <v>1</v>
      </c>
      <c r="H113" s="121">
        <f ca="1">IF(RegimeExecucao="Global","",ORÇAMENTO!W113)</f>
        <v>0</v>
      </c>
      <c r="I113" s="124">
        <f ca="1">ORÇAMENTO!X113</f>
        <v>0</v>
      </c>
      <c r="J113" s="375">
        <f ca="1">IF($A113="S",IF(CAIXA.Modo,BM.AFAnterior,BM.MEDAnterior),IF(AND(RegimeExecucao="Global",$I113&gt;0,COUNTIF($AB$13:$AM$13,BM.medicao-1)&gt;0),M113/$I113*100,0))</f>
        <v>0</v>
      </c>
      <c r="K113" s="121">
        <f t="shared" ca="1" si="23"/>
        <v>0</v>
      </c>
      <c r="L113" s="376">
        <f ca="1">IF($A113="S",IF(CAIXA.Modo,BM.AFAcumulado,BM.MEDAcumulado),IF(AND(RegimeExecucao="Global",$I113&gt;0,COUNTIF($AB$13:$AM$13,BM.medicao)&gt;0),O113/$I113*100,0))</f>
        <v>0</v>
      </c>
      <c r="M113" s="377">
        <f ca="1">IF($A113="S",VTOTALBM,IF($A113=0,0,ROUND(SomaAgrupBM,15-13*ORÇAMENTO!$AF$11)))</f>
        <v>0</v>
      </c>
      <c r="N113" s="378">
        <f t="shared" ca="1" si="24"/>
        <v>0</v>
      </c>
      <c r="O113" s="124">
        <f ca="1">IF($A113="S",VTOTALBM,IF($A113=0,0,ROUND(SomaAgrupBM,15-13*ORÇAMENTO!$AF$11)))</f>
        <v>0</v>
      </c>
      <c r="Q113" s="379"/>
      <c r="R113" s="380"/>
      <c r="T113" s="116" t="str">
        <f t="shared" ca="1" si="25"/>
        <v/>
      </c>
      <c r="U113" s="169" t="str">
        <f t="shared" ca="1" si="26"/>
        <v/>
      </c>
      <c r="V113" s="170" t="str">
        <f ca="1">IF(AND($W113&gt;0,RegimeExecucao="Unitário"),$F113,"")</f>
        <v/>
      </c>
      <c r="W113" s="544">
        <f ca="1">IF($Y113&gt;0,CHOOSE(MATCH(RegimeExecucao,{"Unitário","Global"},0),IF($A113="S",$Y113/$X113,""),($Y113/$X113)*100),0)</f>
        <v>0</v>
      </c>
      <c r="X113" s="381" t="str">
        <f ca="1">IF($Y113&gt;0,CHOOSE(MATCH(RegimeExecucao,{"Unitário","Global"},0),IF($A113="S",ROUND($H113,ORÇAMENTO!$AF$10),""),ROUND($I113,ORÇAMENTO!$AF$11)),"")</f>
        <v/>
      </c>
      <c r="Y113" s="381">
        <f t="shared" ca="1" si="27"/>
        <v>0</v>
      </c>
      <c r="Z113" s="569"/>
      <c r="AB113" s="379"/>
      <c r="AC113" s="513"/>
      <c r="AD113" s="513"/>
      <c r="AE113" s="513"/>
      <c r="AF113" s="513"/>
      <c r="AG113" s="513"/>
      <c r="AH113" s="513"/>
      <c r="AI113" s="513"/>
      <c r="AJ113" s="513"/>
      <c r="AK113" s="513"/>
      <c r="AL113" s="513"/>
      <c r="AM113" s="380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ht="25.5" x14ac:dyDescent="0.2">
      <c r="A114" t="str">
        <f ca="1">ORÇAMENTO!C114</f>
        <v>S</v>
      </c>
      <c r="B114">
        <f ca="1">ORÇAMENTO!D114</f>
        <v>0</v>
      </c>
      <c r="C114" s="113" t="str">
        <f t="shared" ca="1" si="22"/>
        <v/>
      </c>
      <c r="D114" s="116" t="str">
        <f ca="1">ORÇAMENTO!O114</f>
        <v>-</v>
      </c>
      <c r="E114" s="169" t="str">
        <f t="shared" ca="1" si="16"/>
        <v>(abra o arquivo 'Referência 10-2024.xlsm)</v>
      </c>
      <c r="F114" s="170" t="str">
        <f ca="1">IF(RegimeExecucao="Global","",ORÇAMENTO.Unidade)</f>
        <v>-</v>
      </c>
      <c r="G114" s="121">
        <f ca="1">IF(RegimeExecucao="Global","",ORÇAMENTO!T114)</f>
        <v>3</v>
      </c>
      <c r="H114" s="121">
        <f ca="1">IF(RegimeExecucao="Global","",ORÇAMENTO!W114)</f>
        <v>0</v>
      </c>
      <c r="I114" s="124">
        <f ca="1">ORÇAMENTO!X114</f>
        <v>0</v>
      </c>
      <c r="J114" s="375">
        <f ca="1">IF($A114="S",IF(CAIXA.Modo,BM.AFAnterior,BM.MEDAnterior),IF(AND(RegimeExecucao="Global",$I114&gt;0,COUNTIF($AB$13:$AM$13,BM.medicao-1)&gt;0),M114/$I114*100,0))</f>
        <v>0</v>
      </c>
      <c r="K114" s="121">
        <f t="shared" ca="1" si="23"/>
        <v>0</v>
      </c>
      <c r="L114" s="376">
        <f ca="1">IF($A114="S",IF(CAIXA.Modo,BM.AFAcumulado,BM.MEDAcumulado),IF(AND(RegimeExecucao="Global",$I114&gt;0,COUNTIF($AB$13:$AM$13,BM.medicao)&gt;0),O114/$I114*100,0))</f>
        <v>0</v>
      </c>
      <c r="M114" s="377">
        <f ca="1">IF($A114="S",VTOTALBM,IF($A114=0,0,ROUND(SomaAgrupBM,15-13*ORÇAMENTO!$AF$11)))</f>
        <v>0</v>
      </c>
      <c r="N114" s="378">
        <f t="shared" ca="1" si="24"/>
        <v>0</v>
      </c>
      <c r="O114" s="124">
        <f ca="1">IF($A114="S",VTOTALBM,IF($A114=0,0,ROUND(SomaAgrupBM,15-13*ORÇAMENTO!$AF$11)))</f>
        <v>0</v>
      </c>
      <c r="Q114" s="379"/>
      <c r="R114" s="380"/>
      <c r="T114" s="116" t="str">
        <f t="shared" ca="1" si="25"/>
        <v/>
      </c>
      <c r="U114" s="169" t="str">
        <f t="shared" ca="1" si="26"/>
        <v/>
      </c>
      <c r="V114" s="170" t="str">
        <f ca="1">IF(AND($W114&gt;0,RegimeExecucao="Unitário"),$F114,"")</f>
        <v/>
      </c>
      <c r="W114" s="544">
        <f ca="1">IF($Y114&gt;0,CHOOSE(MATCH(RegimeExecucao,{"Unitário","Global"},0),IF($A114="S",$Y114/$X114,""),($Y114/$X114)*100),0)</f>
        <v>0</v>
      </c>
      <c r="X114" s="381" t="str">
        <f ca="1">IF($Y114&gt;0,CHOOSE(MATCH(RegimeExecucao,{"Unitário","Global"},0),IF($A114="S",ROUND($H114,ORÇAMENTO!$AF$10),""),ROUND($I114,ORÇAMENTO!$AF$11)),"")</f>
        <v/>
      </c>
      <c r="Y114" s="381">
        <f t="shared" ca="1" si="27"/>
        <v>0</v>
      </c>
      <c r="Z114" s="569"/>
      <c r="AB114" s="379"/>
      <c r="AC114" s="513"/>
      <c r="AD114" s="513"/>
      <c r="AE114" s="513"/>
      <c r="AF114" s="513"/>
      <c r="AG114" s="513"/>
      <c r="AH114" s="513"/>
      <c r="AI114" s="513"/>
      <c r="AJ114" s="513"/>
      <c r="AK114" s="513"/>
      <c r="AL114" s="513"/>
      <c r="AM114" s="380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ht="38.25" x14ac:dyDescent="0.2">
      <c r="A115" t="str">
        <f ca="1">ORÇAMENTO!C115</f>
        <v>S</v>
      </c>
      <c r="B115">
        <f ca="1">ORÇAMENTO!D115</f>
        <v>0</v>
      </c>
      <c r="C115" s="113" t="str">
        <f t="shared" ca="1" si="22"/>
        <v/>
      </c>
      <c r="D115" s="116" t="str">
        <f ca="1">ORÇAMENTO!O115</f>
        <v>-</v>
      </c>
      <c r="E115" s="169" t="str">
        <f t="shared" ca="1" si="16"/>
        <v>(abra o arquivo 'Referência 10-2024.xlsm)</v>
      </c>
      <c r="F115" s="170" t="str">
        <f ca="1">IF(RegimeExecucao="Global","",ORÇAMENTO.Unidade)</f>
        <v>-</v>
      </c>
      <c r="G115" s="121">
        <f ca="1">IF(RegimeExecucao="Global","",ORÇAMENTO!T115)</f>
        <v>3</v>
      </c>
      <c r="H115" s="121">
        <f ca="1">IF(RegimeExecucao="Global","",ORÇAMENTO!W115)</f>
        <v>0</v>
      </c>
      <c r="I115" s="124">
        <f ca="1">ORÇAMENTO!X115</f>
        <v>0</v>
      </c>
      <c r="J115" s="375">
        <f ca="1">IF($A115="S",IF(CAIXA.Modo,BM.AFAnterior,BM.MEDAnterior),IF(AND(RegimeExecucao="Global",$I115&gt;0,COUNTIF($AB$13:$AM$13,BM.medicao-1)&gt;0),M115/$I115*100,0))</f>
        <v>0</v>
      </c>
      <c r="K115" s="121">
        <f t="shared" ca="1" si="23"/>
        <v>0</v>
      </c>
      <c r="L115" s="376">
        <f ca="1">IF($A115="S",IF(CAIXA.Modo,BM.AFAcumulado,BM.MEDAcumulado),IF(AND(RegimeExecucao="Global",$I115&gt;0,COUNTIF($AB$13:$AM$13,BM.medicao)&gt;0),O115/$I115*100,0))</f>
        <v>0</v>
      </c>
      <c r="M115" s="377">
        <f ca="1">IF($A115="S",VTOTALBM,IF($A115=0,0,ROUND(SomaAgrupBM,15-13*ORÇAMENTO!$AF$11)))</f>
        <v>0</v>
      </c>
      <c r="N115" s="378">
        <f t="shared" ca="1" si="24"/>
        <v>0</v>
      </c>
      <c r="O115" s="124">
        <f ca="1">IF($A115="S",VTOTALBM,IF($A115=0,0,ROUND(SomaAgrupBM,15-13*ORÇAMENTO!$AF$11)))</f>
        <v>0</v>
      </c>
      <c r="Q115" s="379"/>
      <c r="R115" s="380"/>
      <c r="T115" s="116" t="str">
        <f t="shared" ca="1" si="25"/>
        <v/>
      </c>
      <c r="U115" s="169" t="str">
        <f t="shared" ca="1" si="26"/>
        <v/>
      </c>
      <c r="V115" s="170" t="str">
        <f ca="1">IF(AND($W115&gt;0,RegimeExecucao="Unitário"),$F115,"")</f>
        <v/>
      </c>
      <c r="W115" s="544">
        <f ca="1">IF($Y115&gt;0,CHOOSE(MATCH(RegimeExecucao,{"Unitário","Global"},0),IF($A115="S",$Y115/$X115,""),($Y115/$X115)*100),0)</f>
        <v>0</v>
      </c>
      <c r="X115" s="381" t="str">
        <f ca="1">IF($Y115&gt;0,CHOOSE(MATCH(RegimeExecucao,{"Unitário","Global"},0),IF($A115="S",ROUND($H115,ORÇAMENTO!$AF$10),""),ROUND($I115,ORÇAMENTO!$AF$11)),"")</f>
        <v/>
      </c>
      <c r="Y115" s="381">
        <f t="shared" ca="1" si="27"/>
        <v>0</v>
      </c>
      <c r="Z115" s="569"/>
      <c r="AB115" s="379"/>
      <c r="AC115" s="513"/>
      <c r="AD115" s="513"/>
      <c r="AE115" s="513"/>
      <c r="AF115" s="513"/>
      <c r="AG115" s="513"/>
      <c r="AH115" s="513"/>
      <c r="AI115" s="513"/>
      <c r="AJ115" s="513"/>
      <c r="AK115" s="513"/>
      <c r="AL115" s="513"/>
      <c r="AM115" s="380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ht="25.5" x14ac:dyDescent="0.2">
      <c r="A116" t="str">
        <f ca="1">ORÇAMENTO!C116</f>
        <v>S</v>
      </c>
      <c r="B116">
        <f ca="1">ORÇAMENTO!D116</f>
        <v>0</v>
      </c>
      <c r="C116" s="113" t="str">
        <f t="shared" ca="1" si="22"/>
        <v/>
      </c>
      <c r="D116" s="116" t="str">
        <f ca="1">ORÇAMENTO!O116</f>
        <v>-</v>
      </c>
      <c r="E116" s="169" t="str">
        <f t="shared" ca="1" si="16"/>
        <v>(abra o arquivo 'Referência 10-2024.xlsm)</v>
      </c>
      <c r="F116" s="170" t="str">
        <f ca="1">IF(RegimeExecucao="Global","",ORÇAMENTO.Unidade)</f>
        <v>-</v>
      </c>
      <c r="G116" s="121">
        <f ca="1">IF(RegimeExecucao="Global","",ORÇAMENTO!T116)</f>
        <v>3</v>
      </c>
      <c r="H116" s="121">
        <f ca="1">IF(RegimeExecucao="Global","",ORÇAMENTO!W116)</f>
        <v>0</v>
      </c>
      <c r="I116" s="124">
        <f ca="1">ORÇAMENTO!X116</f>
        <v>0</v>
      </c>
      <c r="J116" s="375">
        <f ca="1">IF($A116="S",IF(CAIXA.Modo,BM.AFAnterior,BM.MEDAnterior),IF(AND(RegimeExecucao="Global",$I116&gt;0,COUNTIF($AB$13:$AM$13,BM.medicao-1)&gt;0),M116/$I116*100,0))</f>
        <v>0</v>
      </c>
      <c r="K116" s="121">
        <f t="shared" ca="1" si="23"/>
        <v>0</v>
      </c>
      <c r="L116" s="376">
        <f ca="1">IF($A116="S",IF(CAIXA.Modo,BM.AFAcumulado,BM.MEDAcumulado),IF(AND(RegimeExecucao="Global",$I116&gt;0,COUNTIF($AB$13:$AM$13,BM.medicao)&gt;0),O116/$I116*100,0))</f>
        <v>0</v>
      </c>
      <c r="M116" s="377">
        <f ca="1">IF($A116="S",VTOTALBM,IF($A116=0,0,ROUND(SomaAgrupBM,15-13*ORÇAMENTO!$AF$11)))</f>
        <v>0</v>
      </c>
      <c r="N116" s="378">
        <f t="shared" ca="1" si="24"/>
        <v>0</v>
      </c>
      <c r="O116" s="124">
        <f ca="1">IF($A116="S",VTOTALBM,IF($A116=0,0,ROUND(SomaAgrupBM,15-13*ORÇAMENTO!$AF$11)))</f>
        <v>0</v>
      </c>
      <c r="Q116" s="379"/>
      <c r="R116" s="380"/>
      <c r="T116" s="116" t="str">
        <f t="shared" ca="1" si="25"/>
        <v/>
      </c>
      <c r="U116" s="169" t="str">
        <f t="shared" ca="1" si="26"/>
        <v/>
      </c>
      <c r="V116" s="170" t="str">
        <f ca="1">IF(AND($W116&gt;0,RegimeExecucao="Unitário"),$F116,"")</f>
        <v/>
      </c>
      <c r="W116" s="544">
        <f ca="1">IF($Y116&gt;0,CHOOSE(MATCH(RegimeExecucao,{"Unitário","Global"},0),IF($A116="S",$Y116/$X116,""),($Y116/$X116)*100),0)</f>
        <v>0</v>
      </c>
      <c r="X116" s="381" t="str">
        <f ca="1">IF($Y116&gt;0,CHOOSE(MATCH(RegimeExecucao,{"Unitário","Global"},0),IF($A116="S",ROUND($H116,ORÇAMENTO!$AF$10),""),ROUND($I116,ORÇAMENTO!$AF$11)),"")</f>
        <v/>
      </c>
      <c r="Y116" s="381">
        <f t="shared" ca="1" si="27"/>
        <v>0</v>
      </c>
      <c r="Z116" s="569"/>
      <c r="AB116" s="379"/>
      <c r="AC116" s="513"/>
      <c r="AD116" s="513"/>
      <c r="AE116" s="513"/>
      <c r="AF116" s="513"/>
      <c r="AG116" s="513"/>
      <c r="AH116" s="513"/>
      <c r="AI116" s="513"/>
      <c r="AJ116" s="513"/>
      <c r="AK116" s="513"/>
      <c r="AL116" s="513"/>
      <c r="AM116" s="380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ht="25.5" x14ac:dyDescent="0.2">
      <c r="A117" t="str">
        <f ca="1">ORÇAMENTO!C117</f>
        <v>S</v>
      </c>
      <c r="B117">
        <f ca="1">ORÇAMENTO!D117</f>
        <v>0</v>
      </c>
      <c r="C117" s="113" t="str">
        <f t="shared" ca="1" si="22"/>
        <v/>
      </c>
      <c r="D117" s="116" t="str">
        <f ca="1">ORÇAMENTO!O117</f>
        <v>-</v>
      </c>
      <c r="E117" s="169" t="str">
        <f t="shared" ca="1" si="16"/>
        <v>(abra o arquivo 'Referência 10-2024.xlsm)</v>
      </c>
      <c r="F117" s="170" t="str">
        <f ca="1">IF(RegimeExecucao="Global","",ORÇAMENTO.Unidade)</f>
        <v>-</v>
      </c>
      <c r="G117" s="121">
        <f ca="1">IF(RegimeExecucao="Global","",ORÇAMENTO!T117)</f>
        <v>2</v>
      </c>
      <c r="H117" s="121">
        <f ca="1">IF(RegimeExecucao="Global","",ORÇAMENTO!W117)</f>
        <v>0</v>
      </c>
      <c r="I117" s="124">
        <f ca="1">ORÇAMENTO!X117</f>
        <v>0</v>
      </c>
      <c r="J117" s="375">
        <f ca="1">IF($A117="S",IF(CAIXA.Modo,BM.AFAnterior,BM.MEDAnterior),IF(AND(RegimeExecucao="Global",$I117&gt;0,COUNTIF($AB$13:$AM$13,BM.medicao-1)&gt;0),M117/$I117*100,0))</f>
        <v>0</v>
      </c>
      <c r="K117" s="121">
        <f t="shared" ca="1" si="23"/>
        <v>0</v>
      </c>
      <c r="L117" s="376">
        <f ca="1">IF($A117="S",IF(CAIXA.Modo,BM.AFAcumulado,BM.MEDAcumulado),IF(AND(RegimeExecucao="Global",$I117&gt;0,COUNTIF($AB$13:$AM$13,BM.medicao)&gt;0),O117/$I117*100,0))</f>
        <v>0</v>
      </c>
      <c r="M117" s="377">
        <f ca="1">IF($A117="S",VTOTALBM,IF($A117=0,0,ROUND(SomaAgrupBM,15-13*ORÇAMENTO!$AF$11)))</f>
        <v>0</v>
      </c>
      <c r="N117" s="378">
        <f t="shared" ca="1" si="24"/>
        <v>0</v>
      </c>
      <c r="O117" s="124">
        <f ca="1">IF($A117="S",VTOTALBM,IF($A117=0,0,ROUND(SomaAgrupBM,15-13*ORÇAMENTO!$AF$11)))</f>
        <v>0</v>
      </c>
      <c r="Q117" s="379"/>
      <c r="R117" s="380"/>
      <c r="T117" s="116" t="str">
        <f t="shared" ca="1" si="25"/>
        <v/>
      </c>
      <c r="U117" s="169" t="str">
        <f t="shared" ca="1" si="26"/>
        <v/>
      </c>
      <c r="V117" s="170" t="str">
        <f ca="1">IF(AND($W117&gt;0,RegimeExecucao="Unitário"),$F117,"")</f>
        <v/>
      </c>
      <c r="W117" s="544">
        <f ca="1">IF($Y117&gt;0,CHOOSE(MATCH(RegimeExecucao,{"Unitário","Global"},0),IF($A117="S",$Y117/$X117,""),($Y117/$X117)*100),0)</f>
        <v>0</v>
      </c>
      <c r="X117" s="381" t="str">
        <f ca="1">IF($Y117&gt;0,CHOOSE(MATCH(RegimeExecucao,{"Unitário","Global"},0),IF($A117="S",ROUND($H117,ORÇAMENTO!$AF$10),""),ROUND($I117,ORÇAMENTO!$AF$11)),"")</f>
        <v/>
      </c>
      <c r="Y117" s="381">
        <f t="shared" ca="1" si="27"/>
        <v>0</v>
      </c>
      <c r="Z117" s="569"/>
      <c r="AB117" s="379"/>
      <c r="AC117" s="513"/>
      <c r="AD117" s="513"/>
      <c r="AE117" s="513"/>
      <c r="AF117" s="513"/>
      <c r="AG117" s="513"/>
      <c r="AH117" s="513"/>
      <c r="AI117" s="513"/>
      <c r="AJ117" s="513"/>
      <c r="AK117" s="513"/>
      <c r="AL117" s="513"/>
      <c r="AM117" s="380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ht="25.5" x14ac:dyDescent="0.2">
      <c r="A118" t="str">
        <f ca="1">ORÇAMENTO!C118</f>
        <v>S</v>
      </c>
      <c r="B118">
        <f ca="1">ORÇAMENTO!D118</f>
        <v>0</v>
      </c>
      <c r="C118" s="113" t="str">
        <f t="shared" ca="1" si="22"/>
        <v/>
      </c>
      <c r="D118" s="116" t="str">
        <f ca="1">ORÇAMENTO!O118</f>
        <v>-</v>
      </c>
      <c r="E118" s="169" t="str">
        <f t="shared" ca="1" si="16"/>
        <v>(abra o arquivo 'Referência 10-2024.xlsm)</v>
      </c>
      <c r="F118" s="170" t="str">
        <f ca="1">IF(RegimeExecucao="Global","",ORÇAMENTO.Unidade)</f>
        <v>-</v>
      </c>
      <c r="G118" s="121">
        <f ca="1">IF(RegimeExecucao="Global","",ORÇAMENTO!T118)</f>
        <v>2</v>
      </c>
      <c r="H118" s="121">
        <f ca="1">IF(RegimeExecucao="Global","",ORÇAMENTO!W118)</f>
        <v>0</v>
      </c>
      <c r="I118" s="124">
        <f ca="1">ORÇAMENTO!X118</f>
        <v>0</v>
      </c>
      <c r="J118" s="375">
        <f ca="1">IF($A118="S",IF(CAIXA.Modo,BM.AFAnterior,BM.MEDAnterior),IF(AND(RegimeExecucao="Global",$I118&gt;0,COUNTIF($AB$13:$AM$13,BM.medicao-1)&gt;0),M118/$I118*100,0))</f>
        <v>0</v>
      </c>
      <c r="K118" s="121">
        <f t="shared" ca="1" si="23"/>
        <v>0</v>
      </c>
      <c r="L118" s="376">
        <f ca="1">IF($A118="S",IF(CAIXA.Modo,BM.AFAcumulado,BM.MEDAcumulado),IF(AND(RegimeExecucao="Global",$I118&gt;0,COUNTIF($AB$13:$AM$13,BM.medicao)&gt;0),O118/$I118*100,0))</f>
        <v>0</v>
      </c>
      <c r="M118" s="377">
        <f ca="1">IF($A118="S",VTOTALBM,IF($A118=0,0,ROUND(SomaAgrupBM,15-13*ORÇAMENTO!$AF$11)))</f>
        <v>0</v>
      </c>
      <c r="N118" s="378">
        <f t="shared" ca="1" si="24"/>
        <v>0</v>
      </c>
      <c r="O118" s="124">
        <f ca="1">IF($A118="S",VTOTALBM,IF($A118=0,0,ROUND(SomaAgrupBM,15-13*ORÇAMENTO!$AF$11)))</f>
        <v>0</v>
      </c>
      <c r="Q118" s="379"/>
      <c r="R118" s="380"/>
      <c r="T118" s="116" t="str">
        <f t="shared" ca="1" si="25"/>
        <v/>
      </c>
      <c r="U118" s="169" t="str">
        <f t="shared" ca="1" si="26"/>
        <v/>
      </c>
      <c r="V118" s="170" t="str">
        <f ca="1">IF(AND($W118&gt;0,RegimeExecucao="Unitário"),$F118,"")</f>
        <v/>
      </c>
      <c r="W118" s="544">
        <f ca="1">IF($Y118&gt;0,CHOOSE(MATCH(RegimeExecucao,{"Unitário","Global"},0),IF($A118="S",$Y118/$X118,""),($Y118/$X118)*100),0)</f>
        <v>0</v>
      </c>
      <c r="X118" s="381" t="str">
        <f ca="1">IF($Y118&gt;0,CHOOSE(MATCH(RegimeExecucao,{"Unitário","Global"},0),IF($A118="S",ROUND($H118,ORÇAMENTO!$AF$10),""),ROUND($I118,ORÇAMENTO!$AF$11)),"")</f>
        <v/>
      </c>
      <c r="Y118" s="381">
        <f t="shared" ca="1" si="27"/>
        <v>0</v>
      </c>
      <c r="Z118" s="569"/>
      <c r="AB118" s="379"/>
      <c r="AC118" s="513"/>
      <c r="AD118" s="513"/>
      <c r="AE118" s="513"/>
      <c r="AF118" s="513"/>
      <c r="AG118" s="513"/>
      <c r="AH118" s="513"/>
      <c r="AI118" s="513"/>
      <c r="AJ118" s="513"/>
      <c r="AK118" s="513"/>
      <c r="AL118" s="513"/>
      <c r="AM118" s="380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ht="25.5" x14ac:dyDescent="0.2">
      <c r="A119" t="str">
        <f ca="1">ORÇAMENTO!C119</f>
        <v>S</v>
      </c>
      <c r="B119">
        <f ca="1">ORÇAMENTO!D119</f>
        <v>0</v>
      </c>
      <c r="C119" s="113" t="str">
        <f t="shared" ca="1" si="22"/>
        <v/>
      </c>
      <c r="D119" s="116" t="str">
        <f ca="1">ORÇAMENTO!O119</f>
        <v>-</v>
      </c>
      <c r="E119" s="169" t="str">
        <f t="shared" ca="1" si="16"/>
        <v>(abra o arquivo 'Referência 10-2024.xlsm)</v>
      </c>
      <c r="F119" s="170" t="str">
        <f ca="1">IF(RegimeExecucao="Global","",ORÇAMENTO.Unidade)</f>
        <v>-</v>
      </c>
      <c r="G119" s="121">
        <f ca="1">IF(RegimeExecucao="Global","",ORÇAMENTO!T119)</f>
        <v>1</v>
      </c>
      <c r="H119" s="121">
        <f ca="1">IF(RegimeExecucao="Global","",ORÇAMENTO!W119)</f>
        <v>0</v>
      </c>
      <c r="I119" s="124">
        <f ca="1">ORÇAMENTO!X119</f>
        <v>0</v>
      </c>
      <c r="J119" s="375">
        <f ca="1">IF($A119="S",IF(CAIXA.Modo,BM.AFAnterior,BM.MEDAnterior),IF(AND(RegimeExecucao="Global",$I119&gt;0,COUNTIF($AB$13:$AM$13,BM.medicao-1)&gt;0),M119/$I119*100,0))</f>
        <v>0</v>
      </c>
      <c r="K119" s="121">
        <f t="shared" ca="1" si="23"/>
        <v>0</v>
      </c>
      <c r="L119" s="376">
        <f ca="1">IF($A119="S",IF(CAIXA.Modo,BM.AFAcumulado,BM.MEDAcumulado),IF(AND(RegimeExecucao="Global",$I119&gt;0,COUNTIF($AB$13:$AM$13,BM.medicao)&gt;0),O119/$I119*100,0))</f>
        <v>0</v>
      </c>
      <c r="M119" s="377">
        <f ca="1">IF($A119="S",VTOTALBM,IF($A119=0,0,ROUND(SomaAgrupBM,15-13*ORÇAMENTO!$AF$11)))</f>
        <v>0</v>
      </c>
      <c r="N119" s="378">
        <f t="shared" ca="1" si="24"/>
        <v>0</v>
      </c>
      <c r="O119" s="124">
        <f ca="1">IF($A119="S",VTOTALBM,IF($A119=0,0,ROUND(SomaAgrupBM,15-13*ORÇAMENTO!$AF$11)))</f>
        <v>0</v>
      </c>
      <c r="Q119" s="379"/>
      <c r="R119" s="380"/>
      <c r="T119" s="116" t="str">
        <f t="shared" ca="1" si="25"/>
        <v/>
      </c>
      <c r="U119" s="169" t="str">
        <f t="shared" ca="1" si="26"/>
        <v/>
      </c>
      <c r="V119" s="170" t="str">
        <f ca="1">IF(AND($W119&gt;0,RegimeExecucao="Unitário"),$F119,"")</f>
        <v/>
      </c>
      <c r="W119" s="544">
        <f ca="1">IF($Y119&gt;0,CHOOSE(MATCH(RegimeExecucao,{"Unitário","Global"},0),IF($A119="S",$Y119/$X119,""),($Y119/$X119)*100),0)</f>
        <v>0</v>
      </c>
      <c r="X119" s="381" t="str">
        <f ca="1">IF($Y119&gt;0,CHOOSE(MATCH(RegimeExecucao,{"Unitário","Global"},0),IF($A119="S",ROUND($H119,ORÇAMENTO!$AF$10),""),ROUND($I119,ORÇAMENTO!$AF$11)),"")</f>
        <v/>
      </c>
      <c r="Y119" s="381">
        <f t="shared" ca="1" si="27"/>
        <v>0</v>
      </c>
      <c r="Z119" s="569"/>
      <c r="AB119" s="379"/>
      <c r="AC119" s="513"/>
      <c r="AD119" s="513"/>
      <c r="AE119" s="513"/>
      <c r="AF119" s="513"/>
      <c r="AG119" s="513"/>
      <c r="AH119" s="513"/>
      <c r="AI119" s="513"/>
      <c r="AJ119" s="513"/>
      <c r="AK119" s="513"/>
      <c r="AL119" s="513"/>
      <c r="AM119" s="380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ht="5.0999999999999996" customHeight="1" x14ac:dyDescent="0.2">
      <c r="C120" s="113" t="s">
        <v>246</v>
      </c>
      <c r="D120" s="481"/>
      <c r="E120" s="482"/>
      <c r="F120" s="482"/>
      <c r="G120" s="482"/>
      <c r="H120" s="482"/>
      <c r="I120" s="483"/>
      <c r="J120" s="481"/>
      <c r="K120" s="482"/>
      <c r="L120" s="483"/>
      <c r="M120" s="510"/>
      <c r="N120" s="511"/>
      <c r="O120" s="512"/>
      <c r="Q120" s="481"/>
      <c r="R120" s="483"/>
      <c r="T120" s="481"/>
      <c r="U120" s="482"/>
      <c r="V120" s="482"/>
      <c r="W120" s="482"/>
      <c r="X120" s="482"/>
      <c r="Y120" s="482"/>
      <c r="Z120" s="483"/>
      <c r="AB120" s="481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3"/>
    </row>
    <row r="122" spans="1:41" ht="14.25" x14ac:dyDescent="0.2">
      <c r="D122" s="682" t="s">
        <v>187</v>
      </c>
      <c r="E122" s="682"/>
      <c r="F122" s="682"/>
      <c r="G122" s="682"/>
      <c r="H122" s="682"/>
      <c r="I122" s="682"/>
      <c r="J122" s="682"/>
      <c r="K122" s="682"/>
      <c r="L122" s="682"/>
      <c r="M122" s="682"/>
      <c r="N122" s="682"/>
      <c r="O122" s="682"/>
      <c r="T122" s="683" t="s">
        <v>353</v>
      </c>
      <c r="U122" s="683"/>
      <c r="V122" s="683"/>
      <c r="W122" s="683"/>
      <c r="X122" s="683"/>
      <c r="Y122" s="683"/>
      <c r="Z122" s="683"/>
    </row>
    <row r="123" spans="1:41" ht="12.75" customHeight="1" x14ac:dyDescent="0.2"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T123" s="684"/>
      <c r="U123" s="684"/>
      <c r="V123" s="684"/>
      <c r="W123" s="684"/>
      <c r="X123" s="684"/>
      <c r="Y123" s="684"/>
      <c r="Z123" s="684"/>
    </row>
    <row r="124" spans="1:41" ht="12.75" customHeight="1" x14ac:dyDescent="0.2"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T124" s="684"/>
      <c r="U124" s="684"/>
      <c r="V124" s="684"/>
      <c r="W124" s="684"/>
      <c r="X124" s="684"/>
      <c r="Y124" s="684"/>
      <c r="Z124" s="684"/>
    </row>
    <row r="125" spans="1:41" ht="12.75" customHeight="1" x14ac:dyDescent="0.2"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T125" s="684"/>
      <c r="U125" s="684"/>
      <c r="V125" s="684"/>
      <c r="W125" s="684"/>
      <c r="X125" s="684"/>
      <c r="Y125" s="684"/>
      <c r="Z125" s="684"/>
    </row>
    <row r="126" spans="1:41" ht="14.25" x14ac:dyDescent="0.2">
      <c r="D126" s="531"/>
      <c r="E126" s="531"/>
      <c r="F126" s="531"/>
      <c r="G126" s="531"/>
      <c r="H126" s="531"/>
      <c r="I126" s="531"/>
      <c r="J126" s="531"/>
      <c r="K126" s="531"/>
      <c r="L126" s="531"/>
      <c r="M126" s="531"/>
      <c r="N126" s="531"/>
      <c r="O126" s="531"/>
    </row>
    <row r="127" spans="1:41" ht="15" customHeight="1" x14ac:dyDescent="0.25">
      <c r="D127" s="61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127" s="614"/>
      <c r="F127" s="614"/>
      <c r="G127" s="614"/>
      <c r="H127" s="614"/>
      <c r="I127" s="614"/>
      <c r="J127" s="614"/>
      <c r="K127" s="614"/>
      <c r="L127" s="614"/>
    </row>
    <row r="128" spans="1:41" x14ac:dyDescent="0.2">
      <c r="D128" s="680"/>
      <c r="E128" s="680"/>
      <c r="F128" s="680"/>
      <c r="G128" s="680"/>
      <c r="H128" s="680"/>
      <c r="I128" s="680"/>
    </row>
    <row r="129" spans="4:26" x14ac:dyDescent="0.2">
      <c r="D129" s="687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129" s="687"/>
      <c r="F129" s="687"/>
      <c r="G129" s="687"/>
      <c r="H129" s="687"/>
      <c r="I129" s="687"/>
      <c r="J129" s="687"/>
      <c r="K129" s="687"/>
      <c r="L129" s="687"/>
      <c r="M129" s="687"/>
      <c r="N129" s="687"/>
      <c r="O129" s="687"/>
    </row>
    <row r="130" spans="4:26" ht="39.950000000000003" customHeight="1" x14ac:dyDescent="0.2">
      <c r="E130" s="141" t="str">
        <f>Import.Município</f>
        <v>LAGES/SC</v>
      </c>
      <c r="J130" s="688"/>
      <c r="K130" s="688"/>
      <c r="L130" s="688"/>
      <c r="M130" s="688"/>
      <c r="W130" s="688"/>
      <c r="X130" s="688"/>
      <c r="Y130" s="688"/>
      <c r="Z130" s="688"/>
    </row>
    <row r="131" spans="4:26" x14ac:dyDescent="0.2">
      <c r="E131" s="10" t="s">
        <v>188</v>
      </c>
      <c r="J131" s="192" t="s">
        <v>302</v>
      </c>
      <c r="W131" s="192" t="s">
        <v>354</v>
      </c>
    </row>
    <row r="132" spans="4:26" x14ac:dyDescent="0.2">
      <c r="J132" s="75" t="s">
        <v>108</v>
      </c>
      <c r="K132" s="309">
        <f t="array" ref="K132:K135">Import.RespFiscalização</f>
        <v>0</v>
      </c>
      <c r="L132" s="76"/>
      <c r="W132" s="75" t="s">
        <v>108</v>
      </c>
      <c r="X132" s="686"/>
      <c r="Y132" s="686"/>
      <c r="Z132" s="686"/>
    </row>
    <row r="133" spans="4:26" x14ac:dyDescent="0.2">
      <c r="E133" s="549">
        <f>DADOS!$F$48</f>
        <v>0</v>
      </c>
      <c r="J133" s="75" t="s">
        <v>127</v>
      </c>
      <c r="K133" s="309">
        <v>0</v>
      </c>
      <c r="L133" s="76"/>
      <c r="W133" s="75" t="s">
        <v>355</v>
      </c>
      <c r="X133" s="686"/>
      <c r="Y133" s="686"/>
      <c r="Z133" s="686"/>
    </row>
    <row r="134" spans="4:26" x14ac:dyDescent="0.2">
      <c r="E134" s="143" t="s">
        <v>189</v>
      </c>
      <c r="J134" s="75" t="s">
        <v>109</v>
      </c>
      <c r="K134" s="309">
        <v>0</v>
      </c>
      <c r="L134" s="76"/>
      <c r="W134" s="75" t="s">
        <v>109</v>
      </c>
      <c r="X134" s="686"/>
      <c r="Y134" s="686"/>
      <c r="Z134" s="686"/>
    </row>
    <row r="135" spans="4:26" x14ac:dyDescent="0.2">
      <c r="J135" s="75" t="s">
        <v>110</v>
      </c>
      <c r="K135" s="13">
        <v>0</v>
      </c>
      <c r="W135" s="75"/>
      <c r="X135" s="13"/>
    </row>
  </sheetData>
  <sheetProtection algorithmName="SHA-512" hashValue="eTN3O29JF41QY+EOT4I4EA6kpxy7xH5raeKp3T5hgKU7WcmtVBAeV4UQ+X1VWDON+9j3Ss0J1Bt2YxpDjuHJ9w==" saltValue="BQt1m97xaffbFkQVoKbzhg==" spinCount="100000" sheet="1" objects="1" scenarios="1" autoFilter="0"/>
  <autoFilter ref="C15:C120"/>
  <mergeCells count="35">
    <mergeCell ref="X134:Z134"/>
    <mergeCell ref="D129:O129"/>
    <mergeCell ref="J130:M130"/>
    <mergeCell ref="W130:Z130"/>
    <mergeCell ref="X132:Z132"/>
    <mergeCell ref="X133:Z133"/>
    <mergeCell ref="D127:L127"/>
    <mergeCell ref="D128:I128"/>
    <mergeCell ref="AB15:AM15"/>
    <mergeCell ref="D122:O122"/>
    <mergeCell ref="T122:Z122"/>
    <mergeCell ref="D123:O125"/>
    <mergeCell ref="T123:Z125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8" type="noConversion"/>
  <conditionalFormatting sqref="D14:O14 T14:Z14 D16:O19 T16:Z19 T25:Z29 D25:O29 T45:Z49 D45:O49 D37:O41 T37:Z41 D51:O119 T51:Z119">
    <cfRule type="expression" dxfId="57" priority="2508" stopIfTrue="1">
      <formula>OR(ACOMPANHAMENTO="PLE",TIPOORCAMENTO="Proposto",$L14&lt;0,AND($L14&gt;100,RegimeExecucao="Global"),$O14&gt;$I14,$O14&lt;0)</formula>
    </cfRule>
    <cfRule type="expression" dxfId="56" priority="2509" stopIfTrue="1">
      <formula>$A14=1</formula>
    </cfRule>
    <cfRule type="expression" dxfId="55" priority="2510" stopIfTrue="1">
      <formula>$A14&lt;&gt;"S"</formula>
    </cfRule>
  </conditionalFormatting>
  <conditionalFormatting sqref="Q14:R14 AB14:AM14 Q16:R19 AB16:AM19 AB25:AM29 Q25:R29 AB45:AM49 Q45:R49 Q37:R41 AB37:AM41 Q51:R119 AB51:AM119">
    <cfRule type="expression" dxfId="54" priority="2511" stopIfTrue="1">
      <formula>$A14=1</formula>
    </cfRule>
    <cfRule type="expression" dxfId="53" priority="2512" stopIfTrue="1">
      <formula>$A14&lt;&gt;"S"</formula>
    </cfRule>
  </conditionalFormatting>
  <conditionalFormatting sqref="E2">
    <cfRule type="expression" dxfId="52" priority="2513" stopIfTrue="1">
      <formula>Import.RegimeExecução="(SELECIONAR)"</formula>
    </cfRule>
  </conditionalFormatting>
  <conditionalFormatting sqref="F13:H13">
    <cfRule type="expression" dxfId="51" priority="2514" stopIfTrue="1">
      <formula>RegimeExecucao="Global"</formula>
    </cfRule>
  </conditionalFormatting>
  <conditionalFormatting sqref="D15:O15">
    <cfRule type="expression" dxfId="50" priority="2515" stopIfTrue="1">
      <formula>OR(ACOMPANHAMENTO="PLE",TIPOORCAMENTO="Proposto")</formula>
    </cfRule>
  </conditionalFormatting>
  <conditionalFormatting sqref="AB13">
    <cfRule type="cellIs" dxfId="49" priority="2516" stopIfTrue="1" operator="notEqual">
      <formula>1</formula>
    </cfRule>
  </conditionalFormatting>
  <conditionalFormatting sqref="T20:Z20 D20:O20 D30:O30 T30:Z30">
    <cfRule type="expression" dxfId="48" priority="216" stopIfTrue="1">
      <formula>OR(ACOMPANHAMENTO="PLE",TIPOORCAMENTO="Proposto",$L20&lt;0,AND($L20&gt;100,RegimeExecucao="Global"),$O20&gt;$I20,$O20&lt;0)</formula>
    </cfRule>
    <cfRule type="expression" dxfId="47" priority="217" stopIfTrue="1">
      <formula>$A20=1</formula>
    </cfRule>
    <cfRule type="expression" dxfId="46" priority="218" stopIfTrue="1">
      <formula>$A20&lt;&gt;"S"</formula>
    </cfRule>
  </conditionalFormatting>
  <conditionalFormatting sqref="AB20:AM20 Q20:R20 Q30:R30 AB30:AM30">
    <cfRule type="expression" dxfId="45" priority="219" stopIfTrue="1">
      <formula>$A20=1</formula>
    </cfRule>
    <cfRule type="expression" dxfId="44" priority="220" stopIfTrue="1">
      <formula>$A20&lt;&gt;"S"</formula>
    </cfRule>
  </conditionalFormatting>
  <conditionalFormatting sqref="D31:O31 T31:Z31 T50:Z50 D50:O50">
    <cfRule type="expression" dxfId="43" priority="211" stopIfTrue="1">
      <formula>OR(ACOMPANHAMENTO="PLE",TIPOORCAMENTO="Proposto",$L31&lt;0,AND($L31&gt;100,RegimeExecucao="Global"),$O31&gt;$I31,$O31&lt;0)</formula>
    </cfRule>
    <cfRule type="expression" dxfId="42" priority="212" stopIfTrue="1">
      <formula>$A31=1</formula>
    </cfRule>
    <cfRule type="expression" dxfId="41" priority="213" stopIfTrue="1">
      <formula>$A31&lt;&gt;"S"</formula>
    </cfRule>
  </conditionalFormatting>
  <conditionalFormatting sqref="Q31:R31 AB31:AM31 AB50:AM50 Q50:R50">
    <cfRule type="expression" dxfId="40" priority="214" stopIfTrue="1">
      <formula>$A31=1</formula>
    </cfRule>
    <cfRule type="expression" dxfId="39" priority="215" stopIfTrue="1">
      <formula>$A31&lt;&gt;"S"</formula>
    </cfRule>
  </conditionalFormatting>
  <conditionalFormatting sqref="D42:O42 T42:Z42">
    <cfRule type="expression" dxfId="38" priority="46" stopIfTrue="1">
      <formula>OR(ACOMPANHAMENTO="PLE",TIPOORCAMENTO="Proposto",$L42&lt;0,AND($L42&gt;100,RegimeExecucao="Global"),$O42&gt;$I42,$O42&lt;0)</formula>
    </cfRule>
    <cfRule type="expression" dxfId="37" priority="47" stopIfTrue="1">
      <formula>$A42=1</formula>
    </cfRule>
    <cfRule type="expression" dxfId="36" priority="48" stopIfTrue="1">
      <formula>$A42&lt;&gt;"S"</formula>
    </cfRule>
  </conditionalFormatting>
  <conditionalFormatting sqref="Q42:R42 AB42:AM42">
    <cfRule type="expression" dxfId="35" priority="49" stopIfTrue="1">
      <formula>$A42=1</formula>
    </cfRule>
    <cfRule type="expression" dxfId="34" priority="50" stopIfTrue="1">
      <formula>$A42&lt;&gt;"S"</formula>
    </cfRule>
  </conditionalFormatting>
  <conditionalFormatting sqref="D43:O44 T43:Z44">
    <cfRule type="expression" dxfId="33" priority="41" stopIfTrue="1">
      <formula>OR(ACOMPANHAMENTO="PLE",TIPOORCAMENTO="Proposto",$L43&lt;0,AND($L43&gt;100,RegimeExecucao="Global"),$O43&gt;$I43,$O43&lt;0)</formula>
    </cfRule>
    <cfRule type="expression" dxfId="32" priority="42" stopIfTrue="1">
      <formula>$A43=1</formula>
    </cfRule>
    <cfRule type="expression" dxfId="31" priority="43" stopIfTrue="1">
      <formula>$A43&lt;&gt;"S"</formula>
    </cfRule>
  </conditionalFormatting>
  <conditionalFormatting sqref="Q43:R44 AB43:AM44">
    <cfRule type="expression" dxfId="30" priority="44" stopIfTrue="1">
      <formula>$A43=1</formula>
    </cfRule>
    <cfRule type="expression" dxfId="29" priority="45" stopIfTrue="1">
      <formula>$A43&lt;&gt;"S"</formula>
    </cfRule>
  </conditionalFormatting>
  <conditionalFormatting sqref="D22:O22 T22:Z22">
    <cfRule type="expression" dxfId="28" priority="26" stopIfTrue="1">
      <formula>OR(ACOMPANHAMENTO="PLE",TIPOORCAMENTO="Proposto",$L22&lt;0,AND($L22&gt;100,RegimeExecucao="Global"),$O22&gt;$I22,$O22&lt;0)</formula>
    </cfRule>
    <cfRule type="expression" dxfId="27" priority="27" stopIfTrue="1">
      <formula>$A22=1</formula>
    </cfRule>
    <cfRule type="expression" dxfId="26" priority="28" stopIfTrue="1">
      <formula>$A22&lt;&gt;"S"</formula>
    </cfRule>
  </conditionalFormatting>
  <conditionalFormatting sqref="Q22:R22 AB22:AM22">
    <cfRule type="expression" dxfId="25" priority="29" stopIfTrue="1">
      <formula>$A22=1</formula>
    </cfRule>
    <cfRule type="expression" dxfId="24" priority="30" stopIfTrue="1">
      <formula>$A22&lt;&gt;"S"</formula>
    </cfRule>
  </conditionalFormatting>
  <conditionalFormatting sqref="D21:O21 T21:Z21">
    <cfRule type="expression" dxfId="23" priority="21" stopIfTrue="1">
      <formula>OR(ACOMPANHAMENTO="PLE",TIPOORCAMENTO="Proposto",$L21&lt;0,AND($L21&gt;100,RegimeExecucao="Global"),$O21&gt;$I21,$O21&lt;0)</formula>
    </cfRule>
    <cfRule type="expression" dxfId="22" priority="22" stopIfTrue="1">
      <formula>$A21=1</formula>
    </cfRule>
    <cfRule type="expression" dxfId="21" priority="23" stopIfTrue="1">
      <formula>$A21&lt;&gt;"S"</formula>
    </cfRule>
  </conditionalFormatting>
  <conditionalFormatting sqref="Q21:R21 AB21:AM21">
    <cfRule type="expression" dxfId="20" priority="24" stopIfTrue="1">
      <formula>$A21=1</formula>
    </cfRule>
    <cfRule type="expression" dxfId="19" priority="25" stopIfTrue="1">
      <formula>$A21&lt;&gt;"S"</formula>
    </cfRule>
  </conditionalFormatting>
  <conditionalFormatting sqref="D23:O24 T23:Z24">
    <cfRule type="expression" dxfId="18" priority="16" stopIfTrue="1">
      <formula>OR(ACOMPANHAMENTO="PLE",TIPOORCAMENTO="Proposto",$L23&lt;0,AND($L23&gt;100,RegimeExecucao="Global"),$O23&gt;$I23,$O23&lt;0)</formula>
    </cfRule>
    <cfRule type="expression" dxfId="17" priority="17" stopIfTrue="1">
      <formula>$A23=1</formula>
    </cfRule>
    <cfRule type="expression" dxfId="16" priority="18" stopIfTrue="1">
      <formula>$A23&lt;&gt;"S"</formula>
    </cfRule>
  </conditionalFormatting>
  <conditionalFormatting sqref="Q23:R24 AB23:AM24">
    <cfRule type="expression" dxfId="15" priority="19" stopIfTrue="1">
      <formula>$A23=1</formula>
    </cfRule>
    <cfRule type="expression" dxfId="14" priority="20" stopIfTrue="1">
      <formula>$A23&lt;&gt;"S"</formula>
    </cfRule>
  </conditionalFormatting>
  <conditionalFormatting sqref="D32:O36 T32:Z36">
    <cfRule type="expression" dxfId="13" priority="11" stopIfTrue="1">
      <formula>OR(ACOMPANHAMENTO="PLE",TIPOORCAMENTO="Proposto",$L32&lt;0,AND($L32&gt;100,RegimeExecucao="Global"),$O32&gt;$I32,$O32&lt;0)</formula>
    </cfRule>
    <cfRule type="expression" dxfId="12" priority="12" stopIfTrue="1">
      <formula>$A32=1</formula>
    </cfRule>
    <cfRule type="expression" dxfId="11" priority="13" stopIfTrue="1">
      <formula>$A32&lt;&gt;"S"</formula>
    </cfRule>
  </conditionalFormatting>
  <conditionalFormatting sqref="Q32:R36 AB32:AM36">
    <cfRule type="expression" dxfId="10" priority="14" stopIfTrue="1">
      <formula>$A32=1</formula>
    </cfRule>
    <cfRule type="expression" dxfId="9" priority="15" stopIfTrue="1">
      <formula>$A32&lt;&gt;"S"</formula>
    </cfRule>
  </conditionalFormatting>
  <dataValidations count="4">
    <dataValidation type="list" allowBlank="1" showErrorMessage="1" sqref="Z14 Z16:Z119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119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119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523875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49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30" customHeight="1" x14ac:dyDescent="0.2">
      <c r="F1" s="388" t="str">
        <f>CONCATENATE("RRE - RELATÓRIO RESUMO DO EMPREENDIMENTO - ",IF(CAIXA.Modo,"CAIXA","TOMADOR"))</f>
        <v>RRE - RELATÓRIO RESUMO DO EMPREENDIMENTO - TOMADOR</v>
      </c>
      <c r="H1" s="8"/>
      <c r="I1" s="8"/>
      <c r="AD1" s="389" t="s">
        <v>356</v>
      </c>
      <c r="AE1" s="390" t="s">
        <v>357</v>
      </c>
    </row>
    <row r="2" spans="1:41" x14ac:dyDescent="0.2">
      <c r="AC2" s="391" t="str">
        <f>J25</f>
        <v>Repasse</v>
      </c>
      <c r="AD2" s="392">
        <f ca="1">AD6-AD4-AD3</f>
        <v>0</v>
      </c>
      <c r="AE2" s="392">
        <f ca="1">AE6-AE4-AE3</f>
        <v>0</v>
      </c>
    </row>
    <row r="3" spans="1:41" x14ac:dyDescent="0.2">
      <c r="E3" s="620" t="s">
        <v>147</v>
      </c>
      <c r="F3" s="620"/>
      <c r="G3" s="620"/>
      <c r="H3" s="620"/>
      <c r="I3" s="583" t="s">
        <v>146</v>
      </c>
      <c r="J3" s="583"/>
      <c r="K3" s="583"/>
      <c r="L3" s="86" t="s">
        <v>443</v>
      </c>
      <c r="M3" s="149"/>
      <c r="O3" s="393"/>
      <c r="P3" s="312" t="s">
        <v>210</v>
      </c>
      <c r="R3" s="149"/>
      <c r="S3" s="149"/>
      <c r="T3" s="149"/>
      <c r="U3" s="149"/>
      <c r="AC3" s="391" t="s">
        <v>169</v>
      </c>
      <c r="AD3" s="392">
        <f ca="1">SUM(T13:OFFSET(T24,-1,0))</f>
        <v>0</v>
      </c>
      <c r="AE3" s="392">
        <f ca="1">IF(OR($O$28&lt;$M$28,$M$26&gt;$AD$3),MIN($M$26,$L$26),MIN($AD$3,$N$28-$N$27+$M$26))</f>
        <v>0</v>
      </c>
    </row>
    <row r="4" spans="1:41" ht="12.75" customHeight="1" x14ac:dyDescent="0.2">
      <c r="E4" s="618" t="str">
        <f>Import.Proponente</f>
        <v>PREFEITURA MUNICIPAL DE LAGES</v>
      </c>
      <c r="F4" s="618"/>
      <c r="G4" s="618"/>
      <c r="H4" s="618"/>
      <c r="I4" s="580">
        <f>Import.CR</f>
        <v>0</v>
      </c>
      <c r="J4" s="580"/>
      <c r="K4" s="580"/>
      <c r="L4" s="54">
        <f>Import.TransfereGOV</f>
        <v>0</v>
      </c>
      <c r="M4" s="701" t="s">
        <v>307</v>
      </c>
      <c r="N4" s="702"/>
      <c r="O4" s="703"/>
      <c r="P4" s="394" t="str">
        <f>import.recurso</f>
        <v>(SELECIONAR)</v>
      </c>
      <c r="R4" s="149"/>
      <c r="S4" s="149"/>
      <c r="T4" s="393"/>
      <c r="U4" s="393"/>
      <c r="AC4" s="391" t="s">
        <v>358</v>
      </c>
      <c r="AD4" s="392">
        <f ca="1">SUM(U13:OFFSET(U24,-1,0))</f>
        <v>0</v>
      </c>
      <c r="AE4" s="392">
        <f ca="1">IF(OR($O$28&lt;$M$28,$M$27&gt;$AD$4),MIN($M$27,$L$27),MIN($AD$4,$N$28+$M$27))</f>
        <v>0</v>
      </c>
    </row>
    <row r="5" spans="1:41" ht="5.0999999999999996" customHeight="1" x14ac:dyDescent="0.2">
      <c r="H5" s="315"/>
      <c r="I5" s="315"/>
      <c r="J5" s="315"/>
      <c r="K5" s="315"/>
      <c r="L5" s="315"/>
      <c r="M5" s="395"/>
      <c r="N5" s="303"/>
      <c r="O5" s="4"/>
      <c r="R5" s="149"/>
      <c r="S5" s="149"/>
      <c r="T5" s="149"/>
      <c r="U5" s="149"/>
    </row>
    <row r="6" spans="1:41" ht="12.75" customHeight="1" x14ac:dyDescent="0.2">
      <c r="E6" s="583" t="s">
        <v>202</v>
      </c>
      <c r="F6" s="583"/>
      <c r="G6" s="583"/>
      <c r="H6" s="583"/>
      <c r="I6" s="689" t="s">
        <v>306</v>
      </c>
      <c r="J6" s="689"/>
      <c r="K6" s="689"/>
      <c r="L6" s="689"/>
      <c r="M6" s="53" t="str">
        <f>IF(import.recurso="FGTS","FINANCIAMENTO","REPASSE")</f>
        <v>REPASSE</v>
      </c>
      <c r="N6" s="95" t="s">
        <v>308</v>
      </c>
      <c r="O6" s="53" t="s">
        <v>309</v>
      </c>
      <c r="P6" s="150" t="s">
        <v>359</v>
      </c>
      <c r="R6" s="149"/>
      <c r="S6" s="149"/>
      <c r="T6" s="149"/>
      <c r="U6" s="149"/>
      <c r="AC6" s="391" t="s">
        <v>360</v>
      </c>
      <c r="AD6" s="392">
        <f ca="1">$O$28</f>
        <v>0</v>
      </c>
      <c r="AE6" s="392">
        <f ca="1">AD6</f>
        <v>0</v>
      </c>
    </row>
    <row r="7" spans="1:41" ht="12.75" customHeight="1" x14ac:dyDescent="0.2">
      <c r="D7" s="609" t="s">
        <v>209</v>
      </c>
      <c r="E7" s="580" t="str">
        <f>Import.Apelido</f>
        <v>VESTIÁRIOS CAMPO SANTA HELENA</v>
      </c>
      <c r="F7" s="580"/>
      <c r="G7" s="580"/>
      <c r="H7" s="580"/>
      <c r="I7" s="690" t="str">
        <f>Import.Município</f>
        <v>LAGES/SC</v>
      </c>
      <c r="J7" s="690"/>
      <c r="K7" s="690"/>
      <c r="L7" s="690"/>
      <c r="M7" s="396">
        <f>Import.Repasse</f>
        <v>0</v>
      </c>
      <c r="N7" s="397">
        <f>Import.Contrapartida</f>
        <v>0</v>
      </c>
      <c r="O7" s="396">
        <f>M7+N7</f>
        <v>0</v>
      </c>
      <c r="P7" s="488">
        <f ca="1">IF(ACOMPANHAMENTO="PLE",PLE.Medicao,BM.medicao)</f>
        <v>1</v>
      </c>
      <c r="R7" s="149"/>
      <c r="S7" s="149"/>
      <c r="T7" s="149"/>
      <c r="U7" s="149"/>
    </row>
    <row r="8" spans="1:41" x14ac:dyDescent="0.2">
      <c r="D8" s="609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R8" s="149"/>
      <c r="S8" s="149"/>
      <c r="T8" s="149"/>
      <c r="U8" s="149"/>
    </row>
    <row r="9" spans="1:41" ht="12.75" customHeight="1" x14ac:dyDescent="0.2">
      <c r="D9" s="609"/>
      <c r="G9" s="691" t="s">
        <v>361</v>
      </c>
      <c r="H9" s="691"/>
      <c r="I9" s="691" t="s">
        <v>362</v>
      </c>
      <c r="J9" s="691"/>
      <c r="K9" s="398"/>
      <c r="L9" s="692" t="s">
        <v>313</v>
      </c>
      <c r="M9" s="399" t="s">
        <v>316</v>
      </c>
      <c r="N9" s="316" t="s">
        <v>238</v>
      </c>
      <c r="P9" s="400"/>
      <c r="R9" s="149"/>
      <c r="S9" s="149"/>
      <c r="T9" s="149"/>
      <c r="U9" s="149"/>
      <c r="V9" s="7" t="s">
        <v>363</v>
      </c>
    </row>
    <row r="10" spans="1:41" ht="12.75" customHeight="1" x14ac:dyDescent="0.2">
      <c r="D10" s="609"/>
      <c r="G10" s="582" t="str">
        <f ca="1">IF(J10="-","-",IF($P$24&lt;J10,"Atrasada",IF($P$24&gt;J10,"Adiantada","Normal")))</f>
        <v>Normal</v>
      </c>
      <c r="H10" s="582"/>
      <c r="I10" s="401">
        <f ca="1">DATE(YEAR($L$35),MONTH($L$35),1)</f>
        <v>45627</v>
      </c>
      <c r="J10" s="402">
        <f ca="1">IF($I$10&lt;DATE(YEAR(CRONO!$T$13),MONTH(CRONO!$T$13),1),0,IF($I$10&gt;CRONO!$AE$13,1,INDEX(CRONO!$S$170:$AG$170,MATCH(RRE!$I$10,CRONO!$S$13:$AG$13,0))))</f>
        <v>0</v>
      </c>
      <c r="K10" s="398"/>
      <c r="L10" s="692"/>
      <c r="M10" s="403">
        <f ca="1">QCI!L10</f>
        <v>0</v>
      </c>
      <c r="N10" s="318">
        <f ca="1">QCI!M10</f>
        <v>0</v>
      </c>
      <c r="P10" s="400"/>
      <c r="R10" s="149"/>
      <c r="S10" s="149"/>
      <c r="T10" s="149"/>
      <c r="U10" s="149"/>
      <c r="AC10" s="693" t="s">
        <v>364</v>
      </c>
      <c r="AD10" s="693"/>
      <c r="AE10" s="693"/>
      <c r="AF10" s="693"/>
      <c r="AG10" s="693"/>
      <c r="AH10" s="693"/>
      <c r="AJ10" s="693" t="s">
        <v>4</v>
      </c>
      <c r="AK10" s="693"/>
      <c r="AL10" s="693"/>
      <c r="AM10" s="693"/>
      <c r="AN10" s="693"/>
      <c r="AO10" s="693"/>
    </row>
    <row r="11" spans="1:41" ht="20.100000000000001" customHeight="1" x14ac:dyDescent="0.2">
      <c r="D11" s="609"/>
      <c r="M11" s="539" t="str">
        <f>IF(CAIXA.Modo,"Valores Aferidos (R$)","Valores Medidos (R$)")</f>
        <v>Valores Medidos (R$)</v>
      </c>
      <c r="N11" s="539"/>
      <c r="O11" s="539"/>
      <c r="R11" s="404"/>
      <c r="S11" s="404"/>
      <c r="T11" s="539"/>
      <c r="U11" s="539"/>
      <c r="V11" s="536" t="s">
        <v>411</v>
      </c>
      <c r="Y11" s="694" t="str">
        <f>IF(CAIXA.Modo,"Valores Aferidos (R$)","Valores Medidos (R$)")</f>
        <v>Valores Medidos (R$)</v>
      </c>
      <c r="Z11" s="694"/>
      <c r="AC11" s="695" t="s">
        <v>365</v>
      </c>
      <c r="AD11" s="695"/>
      <c r="AE11" s="695"/>
      <c r="AF11" s="695" t="s">
        <v>366</v>
      </c>
      <c r="AG11" s="695"/>
      <c r="AH11" s="695"/>
      <c r="AJ11" s="695" t="s">
        <v>365</v>
      </c>
      <c r="AK11" s="695"/>
      <c r="AL11" s="695"/>
      <c r="AM11" s="695" t="s">
        <v>366</v>
      </c>
      <c r="AN11" s="695"/>
      <c r="AO11" s="695"/>
    </row>
    <row r="12" spans="1:41" hidden="1" x14ac:dyDescent="0.2">
      <c r="A12" t="e">
        <f ca="1">MATCH(E12,ORÇAMENTO!$E$15:$E$120,0)-1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319">
        <f>QCI!D12</f>
        <v>-1</v>
      </c>
      <c r="F12" s="405" t="str">
        <f ca="1">QCI!G12</f>
        <v/>
      </c>
      <c r="G12" s="406">
        <f>QCI!H12</f>
        <v>0</v>
      </c>
      <c r="H12" s="284">
        <f>QCI!I12</f>
        <v>0</v>
      </c>
      <c r="I12" s="320" t="str">
        <f ca="1">QCI!J12</f>
        <v/>
      </c>
      <c r="J12" s="407" t="str">
        <f ca="1">QCI!K12</f>
        <v/>
      </c>
      <c r="K12" s="408" t="str">
        <f ca="1">IF($C12="Automático",IF(ACOMPANHAMENTO="BM",BM.medicao,PLE.Medicao),IF(ISBLANK($X12),"",$X12))</f>
        <v/>
      </c>
      <c r="L12" s="324">
        <f ca="1">QCI!$O12</f>
        <v>0</v>
      </c>
      <c r="M12" s="321">
        <f ca="1">ROUND(IF(C12="Automático",AE12+AL12,Y12),2)</f>
        <v>0</v>
      </c>
      <c r="N12" s="322">
        <f ca="1">O12-M12</f>
        <v>0</v>
      </c>
      <c r="O12" s="323">
        <f ca="1">ROUND(IF(C12="Automático",AH12+AO12,Z12),2)</f>
        <v>0</v>
      </c>
      <c r="P12" s="410">
        <f ca="1">O12/(L12+10^-12)</f>
        <v>0</v>
      </c>
      <c r="R12" s="409">
        <f ca="1">ROUND(IF($C12="Automático",AC12+AJ12,$Y12*IF(ISERROR(QCI!$AA12/QCI!$O12),0,QCI!$AA12/QCI!$O12)),2)</f>
        <v>0</v>
      </c>
      <c r="S12" s="409">
        <f ca="1">ROUND(IF($C12="Automático",AD12+AK12,$Y12*IF(ISERROR(QCI!$AB12/QCI!$O12),0,QCI!$AB12/QCI!$O12)),2)</f>
        <v>0</v>
      </c>
      <c r="T12" s="409">
        <f ca="1">ROUND(IF($C12="Automático",AF12+AM12,$Z12*IF(ISERROR(QCI!$AA12/QCI!$O12),0,QCI!$AA12/QCI!$O12)),2)</f>
        <v>0</v>
      </c>
      <c r="U12" s="409">
        <f ca="1">ROUND(IF($C12="Automático",AG12+AN12,$Z12*IF(ISERROR(QCI!$AB12/QCI!$O12),0,QCI!$AB12/QCI!$O12)),2)</f>
        <v>0</v>
      </c>
      <c r="V12" s="537" t="str">
        <f ca="1">IF(AND($L12&gt;0,$J12&lt;&gt;0,$J12&lt;&gt;"",COUNTIF($J12:$J$13,$J12)=1),OFFSET(V12,-1,0)+1,OFFSET(V12,-1,0))</f>
        <v>Lista CTEFs</v>
      </c>
      <c r="X12" s="325"/>
      <c r="Y12" s="326"/>
      <c r="Z12" s="328"/>
      <c r="AC12" s="196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196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196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196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196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196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196" t="e">
        <f ca="1">IF(ACOMPANHAMENTO&lt;&gt;"BM",0,SUMPRODUCT(OFFSET(BM!$M$15,$A12,0,$B12)*(OFFSET(BM!$A$15,$A12,0,$B12)="S")*OFFSET(ORÇAMENTO!AA$15,$A12,0,$B12)/(OFFSET(ORÇAMENTO!$X$15,$A12,0,$B12)+10^-12)))</f>
        <v>#N/A</v>
      </c>
      <c r="AK12" s="196" t="e">
        <f ca="1">IF(ACOMPANHAMENTO&lt;&gt;"BM",0,SUMPRODUCT(OFFSET(BM!$M$15,$A12,0,$B12)*(OFFSET(BM!$A$15,$A12,0,$B12)="S")*OFFSET(ORÇAMENTO!AB$15,$A12,0,$B12)/(OFFSET(ORÇAMENTO!$X$15,$A12,0,$B12)+10^-12)))</f>
        <v>#N/A</v>
      </c>
      <c r="AL12" s="196" t="e">
        <f ca="1">IF(ACOMPANHAMENTO&lt;&gt;"BM",0,OFFSET(BM!$M$15,$A12,0))</f>
        <v>#N/A</v>
      </c>
      <c r="AM12" s="196" t="e">
        <f ca="1">IF(ACOMPANHAMENTO&lt;&gt;"BM",0,SUMPRODUCT(OFFSET(BM!$O$15,$A12,0,$B12)*(OFFSET(BM!$A$15,$A12,0,$B12)="S")*OFFSET(ORÇAMENTO!AA$15,$A12,0,$B12)/(OFFSET(ORÇAMENTO!$X$15,$A12,0,$B12)+10^-12)))</f>
        <v>#N/A</v>
      </c>
      <c r="AN12" s="196" t="e">
        <f ca="1">IF(ACOMPANHAMENTO&lt;&gt;"BM",0,SUMPRODUCT(OFFSET(BM!$O$15,$A12,0,$B12)*(OFFSET(BM!$A$15,$A12,0,$B12)="S")*OFFSET(ORÇAMENTO!AB$15,$A12,0,$B12)/(OFFSET(ORÇAMENTO!$X$15,$A12,0,$B12)+10^-12)))</f>
        <v>#N/A</v>
      </c>
      <c r="AO12" s="196" t="e">
        <f ca="1">IF(ACOMPANHAMENTO&lt;&gt;"BM",0,OFFSET(BM!$O$15,$A12,0))</f>
        <v>#N/A</v>
      </c>
    </row>
    <row r="13" spans="1:41" ht="39.950000000000003" customHeight="1" x14ac:dyDescent="0.2">
      <c r="A13" s="330" t="s">
        <v>367</v>
      </c>
      <c r="B13" s="10" t="s">
        <v>221</v>
      </c>
      <c r="C13" s="330" t="s">
        <v>318</v>
      </c>
      <c r="D13" s="105" t="s">
        <v>217</v>
      </c>
      <c r="E13" s="106" t="s">
        <v>195</v>
      </c>
      <c r="F13" s="106" t="s">
        <v>321</v>
      </c>
      <c r="G13" s="106" t="s">
        <v>161</v>
      </c>
      <c r="H13" s="106" t="s">
        <v>203</v>
      </c>
      <c r="I13" s="106" t="s">
        <v>322</v>
      </c>
      <c r="J13" s="106" t="s">
        <v>323</v>
      </c>
      <c r="K13" s="331" t="s">
        <v>368</v>
      </c>
      <c r="L13" s="106" t="s">
        <v>369</v>
      </c>
      <c r="M13" s="331" t="s">
        <v>365</v>
      </c>
      <c r="N13" s="332" t="s">
        <v>372</v>
      </c>
      <c r="O13" s="333" t="s">
        <v>366</v>
      </c>
      <c r="P13" s="106" t="s">
        <v>375</v>
      </c>
      <c r="R13" s="411" t="s">
        <v>370</v>
      </c>
      <c r="S13" s="411" t="s">
        <v>371</v>
      </c>
      <c r="T13" s="411" t="s">
        <v>373</v>
      </c>
      <c r="U13" s="411" t="s">
        <v>374</v>
      </c>
      <c r="V13" s="538"/>
      <c r="X13" s="331" t="s">
        <v>368</v>
      </c>
      <c r="Y13" s="165" t="s">
        <v>365</v>
      </c>
      <c r="Z13" s="166" t="s">
        <v>366</v>
      </c>
      <c r="AC13" s="108" t="s">
        <v>169</v>
      </c>
      <c r="AD13" s="108" t="s">
        <v>358</v>
      </c>
      <c r="AE13" s="108" t="s">
        <v>360</v>
      </c>
      <c r="AF13" s="108" t="s">
        <v>169</v>
      </c>
      <c r="AG13" s="108" t="s">
        <v>358</v>
      </c>
      <c r="AH13" s="108" t="s">
        <v>360</v>
      </c>
      <c r="AJ13" s="108" t="s">
        <v>169</v>
      </c>
      <c r="AK13" s="108" t="s">
        <v>358</v>
      </c>
      <c r="AL13" s="108" t="s">
        <v>360</v>
      </c>
      <c r="AM13" s="108" t="s">
        <v>169</v>
      </c>
      <c r="AN13" s="108" t="s">
        <v>358</v>
      </c>
      <c r="AO13" s="108" t="s">
        <v>360</v>
      </c>
    </row>
    <row r="14" spans="1:41" x14ac:dyDescent="0.2">
      <c r="A14">
        <f ca="1">MATCH(E14,ORÇAMENTO!$E$15:$E$120,0)-1</f>
        <v>1</v>
      </c>
      <c r="B14">
        <f ca="1">IF(ISERROR($A14),NA(),OFFSET(ORÇAMENTO!$D$15,$A14,0))</f>
        <v>104</v>
      </c>
      <c r="C14" t="str">
        <f ca="1">QCI!B14</f>
        <v>Automático</v>
      </c>
      <c r="D14" t="str">
        <f t="shared" ref="D14:D22" ca="1" si="0">IF(L14&gt;0,"F","")</f>
        <v/>
      </c>
      <c r="E14" s="319">
        <f>QCI!D14</f>
        <v>1</v>
      </c>
      <c r="F14" s="405" t="str">
        <f ca="1">QCI!G14</f>
        <v>IMPLANTAÇÃO DE VESTIÁRIOS CAMPO SANTA HELENA</v>
      </c>
      <c r="G14" s="406">
        <f>QCI!H14</f>
        <v>0</v>
      </c>
      <c r="H14" s="284">
        <f>QCI!I14</f>
        <v>0</v>
      </c>
      <c r="I14" s="320" t="str">
        <f ca="1">QCI!J14</f>
        <v/>
      </c>
      <c r="J14" s="407" t="str">
        <f ca="1">QCI!K14</f>
        <v>LOTE 1</v>
      </c>
      <c r="K14" s="408">
        <f ca="1">IF($C14="Automático",IF(ACOMPANHAMENTO="BM",BM.medicao,PLE.Medicao),IF(ISBLANK($X14),"",$X14))</f>
        <v>1</v>
      </c>
      <c r="L14" s="324">
        <f ca="1">QCI!$O14</f>
        <v>0</v>
      </c>
      <c r="M14" s="321">
        <f t="shared" ref="M14:M22" ca="1" si="1">ROUND(IF(C14="Automático",AE14+AL14,Y14),2)</f>
        <v>0</v>
      </c>
      <c r="N14" s="322">
        <f t="shared" ref="N14:N22" ca="1" si="2">O14-M14</f>
        <v>0</v>
      </c>
      <c r="O14" s="323">
        <f t="shared" ref="O14:O22" ca="1" si="3">ROUND(IF(C14="Automático",AH14+AO14,Z14),2)</f>
        <v>0</v>
      </c>
      <c r="P14" s="410">
        <f t="shared" ref="P14:P22" ca="1" si="4">O14/(L14+10^-12)</f>
        <v>0</v>
      </c>
      <c r="R14" s="409">
        <f ca="1">ROUND(IF($C14="Automático",AC14+AJ14,$Y14*IF(ISERROR(QCI!$AA14/QCI!$O14),0,QCI!$AA14/QCI!$O14)),2)</f>
        <v>0</v>
      </c>
      <c r="S14" s="409">
        <f ca="1">ROUND(IF($C14="Automático",AD14+AK14,$Y14*IF(ISERROR(QCI!$AB14/QCI!$O14),0,QCI!$AB14/QCI!$O14)),2)</f>
        <v>0</v>
      </c>
      <c r="T14" s="409">
        <f ca="1">ROUND(IF($C14="Automático",AF14+AM14,$Z14*IF(ISERROR(QCI!$AA14/QCI!$O14),0,QCI!$AA14/QCI!$O14)),2)</f>
        <v>0</v>
      </c>
      <c r="U14" s="409">
        <f ca="1">ROUND(IF($C14="Automático",AG14+AN14,$Z14*IF(ISERROR(QCI!$AB14/QCI!$O14),0,QCI!$AB14/QCI!$O14)),2)</f>
        <v>0</v>
      </c>
      <c r="V14" s="537">
        <f ca="1">IF(AND($L14&gt;0,$J14&lt;&gt;0,$J14&lt;&gt;"",COUNTIF($J$13:$J14,$J14)=1),OFFSET(V14,-1,0)+1,OFFSET(V14,-1,0))</f>
        <v>0</v>
      </c>
      <c r="X14" s="325"/>
      <c r="Y14" s="326"/>
      <c r="Z14" s="328"/>
      <c r="AC14" s="196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196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196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196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196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196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196">
        <f ca="1">IF(ACOMPANHAMENTO&lt;&gt;"BM",0,SUMPRODUCT(OFFSET(BM!$M$15,$A14,0,$B14)*(OFFSET(BM!$A$15,$A14,0,$B14)="S")*OFFSET(ORÇAMENTO!AA$15,$A14,0,$B14)/(OFFSET(ORÇAMENTO!$X$15,$A14,0,$B14)+10^-12)))</f>
        <v>0</v>
      </c>
      <c r="AK14" s="196">
        <f ca="1">IF(ACOMPANHAMENTO&lt;&gt;"BM",0,SUMPRODUCT(OFFSET(BM!$M$15,$A14,0,$B14)*(OFFSET(BM!$A$15,$A14,0,$B14)="S")*OFFSET(ORÇAMENTO!AB$15,$A14,0,$B14)/(OFFSET(ORÇAMENTO!$X$15,$A14,0,$B14)+10^-12)))</f>
        <v>0</v>
      </c>
      <c r="AL14" s="196">
        <f ca="1">IF(ACOMPANHAMENTO&lt;&gt;"BM",0,OFFSET(BM!$M$15,$A14,0))</f>
        <v>0</v>
      </c>
      <c r="AM14" s="196">
        <f ca="1">IF(ACOMPANHAMENTO&lt;&gt;"BM",0,SUMPRODUCT(OFFSET(BM!$O$15,$A14,0,$B14)*(OFFSET(BM!$A$15,$A14,0,$B14)="S")*OFFSET(ORÇAMENTO!AA$15,$A14,0,$B14)/(OFFSET(ORÇAMENTO!$X$15,$A14,0,$B14)+10^-12)))</f>
        <v>0</v>
      </c>
      <c r="AN14" s="196">
        <f ca="1">IF(ACOMPANHAMENTO&lt;&gt;"BM",0,SUMPRODUCT(OFFSET(BM!$O$15,$A14,0,$B14)*(OFFSET(BM!$A$15,$A14,0,$B14)="S")*OFFSET(ORÇAMENTO!AB$15,$A14,0,$B14)/(OFFSET(ORÇAMENTO!$X$15,$A14,0,$B14)+10^-12)))</f>
        <v>0</v>
      </c>
      <c r="AO14" s="196">
        <f ca="1">IF(ACOMPANHAMENTO&lt;&gt;"BM",0,OFFSET(BM!$O$15,$A14,0))</f>
        <v>0</v>
      </c>
    </row>
    <row r="15" spans="1:41" x14ac:dyDescent="0.2">
      <c r="A15" t="e">
        <f ca="1">MATCH(E15,ORÇAMENTO!$E$15:$E$120,0)-1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319">
        <f>QCI!D15</f>
        <v>2</v>
      </c>
      <c r="F15" s="405" t="str">
        <f ca="1">QCI!G15</f>
        <v/>
      </c>
      <c r="G15" s="406">
        <f>QCI!H15</f>
        <v>0</v>
      </c>
      <c r="H15" s="284">
        <f>QCI!I15</f>
        <v>0</v>
      </c>
      <c r="I15" s="320" t="str">
        <f ca="1">QCI!J15</f>
        <v/>
      </c>
      <c r="J15" s="407" t="str">
        <f ca="1">QCI!K15</f>
        <v/>
      </c>
      <c r="K15" s="408" t="str">
        <f ca="1">IF($C15="Automático",IF(ACOMPANHAMENTO="BM",BM.medicao,PLE.Medicao),IF(ISBLANK($X15),"",$X15))</f>
        <v/>
      </c>
      <c r="L15" s="324">
        <f ca="1">QCI!$O15</f>
        <v>0</v>
      </c>
      <c r="M15" s="321">
        <f t="shared" ca="1" si="1"/>
        <v>0</v>
      </c>
      <c r="N15" s="322">
        <f t="shared" ca="1" si="2"/>
        <v>0</v>
      </c>
      <c r="O15" s="323">
        <f t="shared" ca="1" si="3"/>
        <v>0</v>
      </c>
      <c r="P15" s="410">
        <f t="shared" ca="1" si="4"/>
        <v>0</v>
      </c>
      <c r="R15" s="409">
        <f ca="1">ROUND(IF($C15="Automático",AC15+AJ15,$Y15*IF(ISERROR(QCI!$AA15/QCI!$O15),0,QCI!$AA15/QCI!$O15)),2)</f>
        <v>0</v>
      </c>
      <c r="S15" s="409">
        <f ca="1">ROUND(IF($C15="Automático",AD15+AK15,$Y15*IF(ISERROR(QCI!$AB15/QCI!$O15),0,QCI!$AB15/QCI!$O15)),2)</f>
        <v>0</v>
      </c>
      <c r="T15" s="409">
        <f ca="1">ROUND(IF($C15="Automático",AF15+AM15,$Z15*IF(ISERROR(QCI!$AA15/QCI!$O15),0,QCI!$AA15/QCI!$O15)),2)</f>
        <v>0</v>
      </c>
      <c r="U15" s="409">
        <f ca="1">ROUND(IF($C15="Automático",AG15+AN15,$Z15*IF(ISERROR(QCI!$AB15/QCI!$O15),0,QCI!$AB15/QCI!$O15)),2)</f>
        <v>0</v>
      </c>
      <c r="V15" s="537">
        <f ca="1">IF(AND($L15&gt;0,$J15&lt;&gt;0,$J15&lt;&gt;"",COUNTIF($J$13:$J15,$J15)=1),OFFSET(V15,-1,0)+1,OFFSET(V15,-1,0))</f>
        <v>0</v>
      </c>
      <c r="X15" s="325"/>
      <c r="Y15" s="326"/>
      <c r="Z15" s="328"/>
      <c r="AC15" s="196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196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196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196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196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196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196" t="e">
        <f ca="1">IF(ACOMPANHAMENTO&lt;&gt;"BM",0,SUMPRODUCT(OFFSET(BM!$M$15,$A15,0,$B15)*(OFFSET(BM!$A$15,$A15,0,$B15)="S")*OFFSET(ORÇAMENTO!AA$15,$A15,0,$B15)/(OFFSET(ORÇAMENTO!$X$15,$A15,0,$B15)+10^-12)))</f>
        <v>#N/A</v>
      </c>
      <c r="AK15" s="196" t="e">
        <f ca="1">IF(ACOMPANHAMENTO&lt;&gt;"BM",0,SUMPRODUCT(OFFSET(BM!$M$15,$A15,0,$B15)*(OFFSET(BM!$A$15,$A15,0,$B15)="S")*OFFSET(ORÇAMENTO!AB$15,$A15,0,$B15)/(OFFSET(ORÇAMENTO!$X$15,$A15,0,$B15)+10^-12)))</f>
        <v>#N/A</v>
      </c>
      <c r="AL15" s="196" t="e">
        <f ca="1">IF(ACOMPANHAMENTO&lt;&gt;"BM",0,OFFSET(BM!$M$15,$A15,0))</f>
        <v>#N/A</v>
      </c>
      <c r="AM15" s="196" t="e">
        <f ca="1">IF(ACOMPANHAMENTO&lt;&gt;"BM",0,SUMPRODUCT(OFFSET(BM!$O$15,$A15,0,$B15)*(OFFSET(BM!$A$15,$A15,0,$B15)="S")*OFFSET(ORÇAMENTO!AA$15,$A15,0,$B15)/(OFFSET(ORÇAMENTO!$X$15,$A15,0,$B15)+10^-12)))</f>
        <v>#N/A</v>
      </c>
      <c r="AN15" s="196" t="e">
        <f ca="1">IF(ACOMPANHAMENTO&lt;&gt;"BM",0,SUMPRODUCT(OFFSET(BM!$O$15,$A15,0,$B15)*(OFFSET(BM!$A$15,$A15,0,$B15)="S")*OFFSET(ORÇAMENTO!AB$15,$A15,0,$B15)/(OFFSET(ORÇAMENTO!$X$15,$A15,0,$B15)+10^-12)))</f>
        <v>#N/A</v>
      </c>
      <c r="AO15" s="196" t="e">
        <f ca="1">IF(ACOMPANHAMENTO&lt;&gt;"BM",0,OFFSET(BM!$O$15,$A15,0))</f>
        <v>#N/A</v>
      </c>
    </row>
    <row r="16" spans="1:41" x14ac:dyDescent="0.2">
      <c r="A16" t="e">
        <f ca="1">MATCH(E16,ORÇAMENTO!$E$15:$E$120,0)-1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319">
        <f>QCI!D16</f>
        <v>3</v>
      </c>
      <c r="F16" s="405" t="str">
        <f ca="1">QCI!G16</f>
        <v/>
      </c>
      <c r="G16" s="406">
        <f>QCI!H16</f>
        <v>0</v>
      </c>
      <c r="H16" s="284">
        <f>QCI!I16</f>
        <v>0</v>
      </c>
      <c r="I16" s="320" t="str">
        <f ca="1">QCI!J16</f>
        <v/>
      </c>
      <c r="J16" s="407" t="str">
        <f ca="1">QCI!K16</f>
        <v/>
      </c>
      <c r="K16" s="408" t="str">
        <f ca="1">IF($C16="Automático",IF(ACOMPANHAMENTO="BM",BM.medicao,PLE.Medicao),IF(ISBLANK($X16),"",$X16))</f>
        <v/>
      </c>
      <c r="L16" s="324">
        <f ca="1">QCI!$O16</f>
        <v>0</v>
      </c>
      <c r="M16" s="321">
        <f t="shared" ca="1" si="1"/>
        <v>0</v>
      </c>
      <c r="N16" s="322">
        <f t="shared" ca="1" si="2"/>
        <v>0</v>
      </c>
      <c r="O16" s="323">
        <f t="shared" ca="1" si="3"/>
        <v>0</v>
      </c>
      <c r="P16" s="410">
        <f t="shared" ca="1" si="4"/>
        <v>0</v>
      </c>
      <c r="R16" s="409">
        <f ca="1">ROUND(IF($C16="Automático",AC16+AJ16,$Y16*IF(ISERROR(QCI!$AA16/QCI!$O16),0,QCI!$AA16/QCI!$O16)),2)</f>
        <v>0</v>
      </c>
      <c r="S16" s="409">
        <f ca="1">ROUND(IF($C16="Automático",AD16+AK16,$Y16*IF(ISERROR(QCI!$AB16/QCI!$O16),0,QCI!$AB16/QCI!$O16)),2)</f>
        <v>0</v>
      </c>
      <c r="T16" s="409">
        <f ca="1">ROUND(IF($C16="Automático",AF16+AM16,$Z16*IF(ISERROR(QCI!$AA16/QCI!$O16),0,QCI!$AA16/QCI!$O16)),2)</f>
        <v>0</v>
      </c>
      <c r="U16" s="409">
        <f ca="1">ROUND(IF($C16="Automático",AG16+AN16,$Z16*IF(ISERROR(QCI!$AB16/QCI!$O16),0,QCI!$AB16/QCI!$O16)),2)</f>
        <v>0</v>
      </c>
      <c r="V16" s="537">
        <f ca="1">IF(AND($L16&gt;0,$J16&lt;&gt;0,$J16&lt;&gt;"",COUNTIF($J$13:$J16,$J16)=1),OFFSET(V16,-1,0)+1,OFFSET(V16,-1,0))</f>
        <v>0</v>
      </c>
      <c r="X16" s="325"/>
      <c r="Y16" s="326"/>
      <c r="Z16" s="328"/>
      <c r="AC16" s="196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196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196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196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196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196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196" t="e">
        <f ca="1">IF(ACOMPANHAMENTO&lt;&gt;"BM",0,SUMPRODUCT(OFFSET(BM!$M$15,$A16,0,$B16)*(OFFSET(BM!$A$15,$A16,0,$B16)="S")*OFFSET(ORÇAMENTO!AA$15,$A16,0,$B16)/(OFFSET(ORÇAMENTO!$X$15,$A16,0,$B16)+10^-12)))</f>
        <v>#N/A</v>
      </c>
      <c r="AK16" s="196" t="e">
        <f ca="1">IF(ACOMPANHAMENTO&lt;&gt;"BM",0,SUMPRODUCT(OFFSET(BM!$M$15,$A16,0,$B16)*(OFFSET(BM!$A$15,$A16,0,$B16)="S")*OFFSET(ORÇAMENTO!AB$15,$A16,0,$B16)/(OFFSET(ORÇAMENTO!$X$15,$A16,0,$B16)+10^-12)))</f>
        <v>#N/A</v>
      </c>
      <c r="AL16" s="196" t="e">
        <f ca="1">IF(ACOMPANHAMENTO&lt;&gt;"BM",0,OFFSET(BM!$M$15,$A16,0))</f>
        <v>#N/A</v>
      </c>
      <c r="AM16" s="196" t="e">
        <f ca="1">IF(ACOMPANHAMENTO&lt;&gt;"BM",0,SUMPRODUCT(OFFSET(BM!$O$15,$A16,0,$B16)*(OFFSET(BM!$A$15,$A16,0,$B16)="S")*OFFSET(ORÇAMENTO!AA$15,$A16,0,$B16)/(OFFSET(ORÇAMENTO!$X$15,$A16,0,$B16)+10^-12)))</f>
        <v>#N/A</v>
      </c>
      <c r="AN16" s="196" t="e">
        <f ca="1">IF(ACOMPANHAMENTO&lt;&gt;"BM",0,SUMPRODUCT(OFFSET(BM!$O$15,$A16,0,$B16)*(OFFSET(BM!$A$15,$A16,0,$B16)="S")*OFFSET(ORÇAMENTO!AB$15,$A16,0,$B16)/(OFFSET(ORÇAMENTO!$X$15,$A16,0,$B16)+10^-12)))</f>
        <v>#N/A</v>
      </c>
      <c r="AO16" s="196" t="e">
        <f ca="1">IF(ACOMPANHAMENTO&lt;&gt;"BM",0,OFFSET(BM!$O$15,$A16,0))</f>
        <v>#N/A</v>
      </c>
    </row>
    <row r="17" spans="1:41" x14ac:dyDescent="0.2">
      <c r="A17" t="e">
        <f ca="1">MATCH(E17,ORÇAMENTO!$E$15:$E$120,0)-1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319">
        <f>QCI!D17</f>
        <v>4</v>
      </c>
      <c r="F17" s="405" t="str">
        <f ca="1">QCI!G17</f>
        <v/>
      </c>
      <c r="G17" s="406">
        <f>QCI!H17</f>
        <v>0</v>
      </c>
      <c r="H17" s="284">
        <f>QCI!I17</f>
        <v>0</v>
      </c>
      <c r="I17" s="320" t="str">
        <f ca="1">QCI!J17</f>
        <v/>
      </c>
      <c r="J17" s="407" t="str">
        <f ca="1">QCI!K17</f>
        <v/>
      </c>
      <c r="K17" s="408" t="str">
        <f ca="1">IF($C17="Automático",IF(ACOMPANHAMENTO="BM",BM.medicao,PLE.Medicao),IF(ISBLANK($X17),"",$X17))</f>
        <v/>
      </c>
      <c r="L17" s="324">
        <f ca="1">QCI!$O17</f>
        <v>0</v>
      </c>
      <c r="M17" s="321">
        <f t="shared" ca="1" si="1"/>
        <v>0</v>
      </c>
      <c r="N17" s="322">
        <f t="shared" ca="1" si="2"/>
        <v>0</v>
      </c>
      <c r="O17" s="323">
        <f t="shared" ca="1" si="3"/>
        <v>0</v>
      </c>
      <c r="P17" s="410">
        <f t="shared" ca="1" si="4"/>
        <v>0</v>
      </c>
      <c r="R17" s="409">
        <f ca="1">ROUND(IF($C17="Automático",AC17+AJ17,$Y17*IF(ISERROR(QCI!$AA17/QCI!$O17),0,QCI!$AA17/QCI!$O17)),2)</f>
        <v>0</v>
      </c>
      <c r="S17" s="409">
        <f ca="1">ROUND(IF($C17="Automático",AD17+AK17,$Y17*IF(ISERROR(QCI!$AB17/QCI!$O17),0,QCI!$AB17/QCI!$O17)),2)</f>
        <v>0</v>
      </c>
      <c r="T17" s="409">
        <f ca="1">ROUND(IF($C17="Automático",AF17+AM17,$Z17*IF(ISERROR(QCI!$AA17/QCI!$O17),0,QCI!$AA17/QCI!$O17)),2)</f>
        <v>0</v>
      </c>
      <c r="U17" s="409">
        <f ca="1">ROUND(IF($C17="Automático",AG17+AN17,$Z17*IF(ISERROR(QCI!$AB17/QCI!$O17),0,QCI!$AB17/QCI!$O17)),2)</f>
        <v>0</v>
      </c>
      <c r="V17" s="537">
        <f ca="1">IF(AND($L17&gt;0,$J17&lt;&gt;0,$J17&lt;&gt;"",COUNTIF($J$13:$J17,$J17)=1),OFFSET(V17,-1,0)+1,OFFSET(V17,-1,0))</f>
        <v>0</v>
      </c>
      <c r="X17" s="325"/>
      <c r="Y17" s="326"/>
      <c r="Z17" s="328"/>
      <c r="AC17" s="196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196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196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196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196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196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196" t="e">
        <f ca="1">IF(ACOMPANHAMENTO&lt;&gt;"BM",0,SUMPRODUCT(OFFSET(BM!$M$15,$A17,0,$B17)*(OFFSET(BM!$A$15,$A17,0,$B17)="S")*OFFSET(ORÇAMENTO!AA$15,$A17,0,$B17)/(OFFSET(ORÇAMENTO!$X$15,$A17,0,$B17)+10^-12)))</f>
        <v>#N/A</v>
      </c>
      <c r="AK17" s="196" t="e">
        <f ca="1">IF(ACOMPANHAMENTO&lt;&gt;"BM",0,SUMPRODUCT(OFFSET(BM!$M$15,$A17,0,$B17)*(OFFSET(BM!$A$15,$A17,0,$B17)="S")*OFFSET(ORÇAMENTO!AB$15,$A17,0,$B17)/(OFFSET(ORÇAMENTO!$X$15,$A17,0,$B17)+10^-12)))</f>
        <v>#N/A</v>
      </c>
      <c r="AL17" s="196" t="e">
        <f ca="1">IF(ACOMPANHAMENTO&lt;&gt;"BM",0,OFFSET(BM!$M$15,$A17,0))</f>
        <v>#N/A</v>
      </c>
      <c r="AM17" s="196" t="e">
        <f ca="1">IF(ACOMPANHAMENTO&lt;&gt;"BM",0,SUMPRODUCT(OFFSET(BM!$O$15,$A17,0,$B17)*(OFFSET(BM!$A$15,$A17,0,$B17)="S")*OFFSET(ORÇAMENTO!AA$15,$A17,0,$B17)/(OFFSET(ORÇAMENTO!$X$15,$A17,0,$B17)+10^-12)))</f>
        <v>#N/A</v>
      </c>
      <c r="AN17" s="196" t="e">
        <f ca="1">IF(ACOMPANHAMENTO&lt;&gt;"BM",0,SUMPRODUCT(OFFSET(BM!$O$15,$A17,0,$B17)*(OFFSET(BM!$A$15,$A17,0,$B17)="S")*OFFSET(ORÇAMENTO!AB$15,$A17,0,$B17)/(OFFSET(ORÇAMENTO!$X$15,$A17,0,$B17)+10^-12)))</f>
        <v>#N/A</v>
      </c>
      <c r="AO17" s="196" t="e">
        <f ca="1">IF(ACOMPANHAMENTO&lt;&gt;"BM",0,OFFSET(BM!$O$15,$A17,0))</f>
        <v>#N/A</v>
      </c>
    </row>
    <row r="18" spans="1:41" x14ac:dyDescent="0.2">
      <c r="A18" t="e">
        <f ca="1">MATCH(E18,ORÇAMENTO!$E$15:$E$120,0)-1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319">
        <f>QCI!D18</f>
        <v>5</v>
      </c>
      <c r="F18" s="405" t="str">
        <f ca="1">QCI!G18</f>
        <v/>
      </c>
      <c r="G18" s="406">
        <f>QCI!H18</f>
        <v>0</v>
      </c>
      <c r="H18" s="284">
        <f>QCI!I18</f>
        <v>0</v>
      </c>
      <c r="I18" s="320" t="str">
        <f ca="1">QCI!J18</f>
        <v/>
      </c>
      <c r="J18" s="407" t="str">
        <f ca="1">QCI!K18</f>
        <v/>
      </c>
      <c r="K18" s="408" t="str">
        <f ca="1">IF($C18="Automático",IF(ACOMPANHAMENTO="BM",BM.medicao,PLE.Medicao),IF(ISBLANK($X18),"",$X18))</f>
        <v/>
      </c>
      <c r="L18" s="324">
        <f ca="1">QCI!$O18</f>
        <v>0</v>
      </c>
      <c r="M18" s="321">
        <f t="shared" ca="1" si="1"/>
        <v>0</v>
      </c>
      <c r="N18" s="322">
        <f t="shared" ca="1" si="2"/>
        <v>0</v>
      </c>
      <c r="O18" s="323">
        <f t="shared" ca="1" si="3"/>
        <v>0</v>
      </c>
      <c r="P18" s="410">
        <f t="shared" ca="1" si="4"/>
        <v>0</v>
      </c>
      <c r="R18" s="409">
        <f ca="1">ROUND(IF($C18="Automático",AC18+AJ18,$Y18*IF(ISERROR(QCI!$AA18/QCI!$O18),0,QCI!$AA18/QCI!$O18)),2)</f>
        <v>0</v>
      </c>
      <c r="S18" s="409">
        <f ca="1">ROUND(IF($C18="Automático",AD18+AK18,$Y18*IF(ISERROR(QCI!$AB18/QCI!$O18),0,QCI!$AB18/QCI!$O18)),2)</f>
        <v>0</v>
      </c>
      <c r="T18" s="409">
        <f ca="1">ROUND(IF($C18="Automático",AF18+AM18,$Z18*IF(ISERROR(QCI!$AA18/QCI!$O18),0,QCI!$AA18/QCI!$O18)),2)</f>
        <v>0</v>
      </c>
      <c r="U18" s="409">
        <f ca="1">ROUND(IF($C18="Automático",AG18+AN18,$Z18*IF(ISERROR(QCI!$AB18/QCI!$O18),0,QCI!$AB18/QCI!$O18)),2)</f>
        <v>0</v>
      </c>
      <c r="V18" s="537">
        <f ca="1">IF(AND($L18&gt;0,$J18&lt;&gt;0,$J18&lt;&gt;"",COUNTIF($J$13:$J18,$J18)=1),OFFSET(V18,-1,0)+1,OFFSET(V18,-1,0))</f>
        <v>0</v>
      </c>
      <c r="X18" s="325"/>
      <c r="Y18" s="326"/>
      <c r="Z18" s="328"/>
      <c r="AC18" s="196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196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196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196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196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196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196" t="e">
        <f ca="1">IF(ACOMPANHAMENTO&lt;&gt;"BM",0,SUMPRODUCT(OFFSET(BM!$M$15,$A18,0,$B18)*(OFFSET(BM!$A$15,$A18,0,$B18)="S")*OFFSET(ORÇAMENTO!AA$15,$A18,0,$B18)/(OFFSET(ORÇAMENTO!$X$15,$A18,0,$B18)+10^-12)))</f>
        <v>#N/A</v>
      </c>
      <c r="AK18" s="196" t="e">
        <f ca="1">IF(ACOMPANHAMENTO&lt;&gt;"BM",0,SUMPRODUCT(OFFSET(BM!$M$15,$A18,0,$B18)*(OFFSET(BM!$A$15,$A18,0,$B18)="S")*OFFSET(ORÇAMENTO!AB$15,$A18,0,$B18)/(OFFSET(ORÇAMENTO!$X$15,$A18,0,$B18)+10^-12)))</f>
        <v>#N/A</v>
      </c>
      <c r="AL18" s="196" t="e">
        <f ca="1">IF(ACOMPANHAMENTO&lt;&gt;"BM",0,OFFSET(BM!$M$15,$A18,0))</f>
        <v>#N/A</v>
      </c>
      <c r="AM18" s="196" t="e">
        <f ca="1">IF(ACOMPANHAMENTO&lt;&gt;"BM",0,SUMPRODUCT(OFFSET(BM!$O$15,$A18,0,$B18)*(OFFSET(BM!$A$15,$A18,0,$B18)="S")*OFFSET(ORÇAMENTO!AA$15,$A18,0,$B18)/(OFFSET(ORÇAMENTO!$X$15,$A18,0,$B18)+10^-12)))</f>
        <v>#N/A</v>
      </c>
      <c r="AN18" s="196" t="e">
        <f ca="1">IF(ACOMPANHAMENTO&lt;&gt;"BM",0,SUMPRODUCT(OFFSET(BM!$O$15,$A18,0,$B18)*(OFFSET(BM!$A$15,$A18,0,$B18)="S")*OFFSET(ORÇAMENTO!AB$15,$A18,0,$B18)/(OFFSET(ORÇAMENTO!$X$15,$A18,0,$B18)+10^-12)))</f>
        <v>#N/A</v>
      </c>
      <c r="AO18" s="196" t="e">
        <f ca="1">IF(ACOMPANHAMENTO&lt;&gt;"BM",0,OFFSET(BM!$O$15,$A18,0))</f>
        <v>#N/A</v>
      </c>
    </row>
    <row r="19" spans="1:41" x14ac:dyDescent="0.2">
      <c r="A19" t="e">
        <f ca="1">MATCH(E19,ORÇAMENTO!$E$15:$E$120,0)-1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319">
        <f>QCI!D19</f>
        <v>6</v>
      </c>
      <c r="F19" s="405" t="str">
        <f ca="1">QCI!G19</f>
        <v/>
      </c>
      <c r="G19" s="406">
        <f>QCI!H19</f>
        <v>0</v>
      </c>
      <c r="H19" s="284">
        <f>QCI!I19</f>
        <v>0</v>
      </c>
      <c r="I19" s="320" t="str">
        <f ca="1">QCI!J19</f>
        <v/>
      </c>
      <c r="J19" s="407" t="str">
        <f ca="1">QCI!K19</f>
        <v/>
      </c>
      <c r="K19" s="408" t="str">
        <f ca="1">IF($C19="Automático",IF(ACOMPANHAMENTO="BM",BM.medicao,PLE.Medicao),IF(ISBLANK($X19),"",$X19))</f>
        <v/>
      </c>
      <c r="L19" s="324">
        <f ca="1">QCI!$O19</f>
        <v>0</v>
      </c>
      <c r="M19" s="321">
        <f t="shared" ca="1" si="1"/>
        <v>0</v>
      </c>
      <c r="N19" s="322">
        <f t="shared" ca="1" si="2"/>
        <v>0</v>
      </c>
      <c r="O19" s="323">
        <f t="shared" ca="1" si="3"/>
        <v>0</v>
      </c>
      <c r="P19" s="410">
        <f t="shared" ca="1" si="4"/>
        <v>0</v>
      </c>
      <c r="R19" s="409">
        <f ca="1">ROUND(IF($C19="Automático",AC19+AJ19,$Y19*IF(ISERROR(QCI!$AA19/QCI!$O19),0,QCI!$AA19/QCI!$O19)),2)</f>
        <v>0</v>
      </c>
      <c r="S19" s="409">
        <f ca="1">ROUND(IF($C19="Automático",AD19+AK19,$Y19*IF(ISERROR(QCI!$AB19/QCI!$O19),0,QCI!$AB19/QCI!$O19)),2)</f>
        <v>0</v>
      </c>
      <c r="T19" s="409">
        <f ca="1">ROUND(IF($C19="Automático",AF19+AM19,$Z19*IF(ISERROR(QCI!$AA19/QCI!$O19),0,QCI!$AA19/QCI!$O19)),2)</f>
        <v>0</v>
      </c>
      <c r="U19" s="409">
        <f ca="1">ROUND(IF($C19="Automático",AG19+AN19,$Z19*IF(ISERROR(QCI!$AB19/QCI!$O19),0,QCI!$AB19/QCI!$O19)),2)</f>
        <v>0</v>
      </c>
      <c r="V19" s="537">
        <f ca="1">IF(AND($L19&gt;0,$J19&lt;&gt;0,$J19&lt;&gt;"",COUNTIF($J$13:$J19,$J19)=1),OFFSET(V19,-1,0)+1,OFFSET(V19,-1,0))</f>
        <v>0</v>
      </c>
      <c r="X19" s="325"/>
      <c r="Y19" s="326"/>
      <c r="Z19" s="328"/>
      <c r="AC19" s="196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196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196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196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196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196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196" t="e">
        <f ca="1">IF(ACOMPANHAMENTO&lt;&gt;"BM",0,SUMPRODUCT(OFFSET(BM!$M$15,$A19,0,$B19)*(OFFSET(BM!$A$15,$A19,0,$B19)="S")*OFFSET(ORÇAMENTO!AA$15,$A19,0,$B19)/(OFFSET(ORÇAMENTO!$X$15,$A19,0,$B19)+10^-12)))</f>
        <v>#N/A</v>
      </c>
      <c r="AK19" s="196" t="e">
        <f ca="1">IF(ACOMPANHAMENTO&lt;&gt;"BM",0,SUMPRODUCT(OFFSET(BM!$M$15,$A19,0,$B19)*(OFFSET(BM!$A$15,$A19,0,$B19)="S")*OFFSET(ORÇAMENTO!AB$15,$A19,0,$B19)/(OFFSET(ORÇAMENTO!$X$15,$A19,0,$B19)+10^-12)))</f>
        <v>#N/A</v>
      </c>
      <c r="AL19" s="196" t="e">
        <f ca="1">IF(ACOMPANHAMENTO&lt;&gt;"BM",0,OFFSET(BM!$M$15,$A19,0))</f>
        <v>#N/A</v>
      </c>
      <c r="AM19" s="196" t="e">
        <f ca="1">IF(ACOMPANHAMENTO&lt;&gt;"BM",0,SUMPRODUCT(OFFSET(BM!$O$15,$A19,0,$B19)*(OFFSET(BM!$A$15,$A19,0,$B19)="S")*OFFSET(ORÇAMENTO!AA$15,$A19,0,$B19)/(OFFSET(ORÇAMENTO!$X$15,$A19,0,$B19)+10^-12)))</f>
        <v>#N/A</v>
      </c>
      <c r="AN19" s="196" t="e">
        <f ca="1">IF(ACOMPANHAMENTO&lt;&gt;"BM",0,SUMPRODUCT(OFFSET(BM!$O$15,$A19,0,$B19)*(OFFSET(BM!$A$15,$A19,0,$B19)="S")*OFFSET(ORÇAMENTO!AB$15,$A19,0,$B19)/(OFFSET(ORÇAMENTO!$X$15,$A19,0,$B19)+10^-12)))</f>
        <v>#N/A</v>
      </c>
      <c r="AO19" s="196" t="e">
        <f ca="1">IF(ACOMPANHAMENTO&lt;&gt;"BM",0,OFFSET(BM!$O$15,$A19,0))</f>
        <v>#N/A</v>
      </c>
    </row>
    <row r="20" spans="1:41" x14ac:dyDescent="0.2">
      <c r="A20" t="e">
        <f ca="1">MATCH(E20,ORÇAMENTO!$E$15:$E$120,0)-1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319">
        <f>QCI!D20</f>
        <v>7</v>
      </c>
      <c r="F20" s="405" t="str">
        <f ca="1">QCI!G20</f>
        <v/>
      </c>
      <c r="G20" s="406">
        <f>QCI!H20</f>
        <v>0</v>
      </c>
      <c r="H20" s="284">
        <f>QCI!I20</f>
        <v>0</v>
      </c>
      <c r="I20" s="320" t="str">
        <f ca="1">QCI!J20</f>
        <v/>
      </c>
      <c r="J20" s="407" t="str">
        <f ca="1">QCI!K20</f>
        <v/>
      </c>
      <c r="K20" s="408" t="str">
        <f ca="1">IF($C20="Automático",IF(ACOMPANHAMENTO="BM",BM.medicao,PLE.Medicao),IF(ISBLANK($X20),"",$X20))</f>
        <v/>
      </c>
      <c r="L20" s="324">
        <f ca="1">QCI!$O20</f>
        <v>0</v>
      </c>
      <c r="M20" s="321">
        <f t="shared" ca="1" si="1"/>
        <v>0</v>
      </c>
      <c r="N20" s="322">
        <f t="shared" ca="1" si="2"/>
        <v>0</v>
      </c>
      <c r="O20" s="323">
        <f t="shared" ca="1" si="3"/>
        <v>0</v>
      </c>
      <c r="P20" s="410">
        <f t="shared" ca="1" si="4"/>
        <v>0</v>
      </c>
      <c r="R20" s="409">
        <f ca="1">ROUND(IF($C20="Automático",AC20+AJ20,$Y20*IF(ISERROR(QCI!$AA20/QCI!$O20),0,QCI!$AA20/QCI!$O20)),2)</f>
        <v>0</v>
      </c>
      <c r="S20" s="409">
        <f ca="1">ROUND(IF($C20="Automático",AD20+AK20,$Y20*IF(ISERROR(QCI!$AB20/QCI!$O20),0,QCI!$AB20/QCI!$O20)),2)</f>
        <v>0</v>
      </c>
      <c r="T20" s="409">
        <f ca="1">ROUND(IF($C20="Automático",AF20+AM20,$Z20*IF(ISERROR(QCI!$AA20/QCI!$O20),0,QCI!$AA20/QCI!$O20)),2)</f>
        <v>0</v>
      </c>
      <c r="U20" s="409">
        <f ca="1">ROUND(IF($C20="Automático",AG20+AN20,$Z20*IF(ISERROR(QCI!$AB20/QCI!$O20),0,QCI!$AB20/QCI!$O20)),2)</f>
        <v>0</v>
      </c>
      <c r="V20" s="537">
        <f ca="1">IF(AND($L20&gt;0,$J20&lt;&gt;0,$J20&lt;&gt;"",COUNTIF($J$13:$J20,$J20)=1),OFFSET(V20,-1,0)+1,OFFSET(V20,-1,0))</f>
        <v>0</v>
      </c>
      <c r="X20" s="325"/>
      <c r="Y20" s="326"/>
      <c r="Z20" s="328"/>
      <c r="AC20" s="196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196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196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196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196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196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196" t="e">
        <f ca="1">IF(ACOMPANHAMENTO&lt;&gt;"BM",0,SUMPRODUCT(OFFSET(BM!$M$15,$A20,0,$B20)*(OFFSET(BM!$A$15,$A20,0,$B20)="S")*OFFSET(ORÇAMENTO!AA$15,$A20,0,$B20)/(OFFSET(ORÇAMENTO!$X$15,$A20,0,$B20)+10^-12)))</f>
        <v>#N/A</v>
      </c>
      <c r="AK20" s="196" t="e">
        <f ca="1">IF(ACOMPANHAMENTO&lt;&gt;"BM",0,SUMPRODUCT(OFFSET(BM!$M$15,$A20,0,$B20)*(OFFSET(BM!$A$15,$A20,0,$B20)="S")*OFFSET(ORÇAMENTO!AB$15,$A20,0,$B20)/(OFFSET(ORÇAMENTO!$X$15,$A20,0,$B20)+10^-12)))</f>
        <v>#N/A</v>
      </c>
      <c r="AL20" s="196" t="e">
        <f ca="1">IF(ACOMPANHAMENTO&lt;&gt;"BM",0,OFFSET(BM!$M$15,$A20,0))</f>
        <v>#N/A</v>
      </c>
      <c r="AM20" s="196" t="e">
        <f ca="1">IF(ACOMPANHAMENTO&lt;&gt;"BM",0,SUMPRODUCT(OFFSET(BM!$O$15,$A20,0,$B20)*(OFFSET(BM!$A$15,$A20,0,$B20)="S")*OFFSET(ORÇAMENTO!AA$15,$A20,0,$B20)/(OFFSET(ORÇAMENTO!$X$15,$A20,0,$B20)+10^-12)))</f>
        <v>#N/A</v>
      </c>
      <c r="AN20" s="196" t="e">
        <f ca="1">IF(ACOMPANHAMENTO&lt;&gt;"BM",0,SUMPRODUCT(OFFSET(BM!$O$15,$A20,0,$B20)*(OFFSET(BM!$A$15,$A20,0,$B20)="S")*OFFSET(ORÇAMENTO!AB$15,$A20,0,$B20)/(OFFSET(ORÇAMENTO!$X$15,$A20,0,$B20)+10^-12)))</f>
        <v>#N/A</v>
      </c>
      <c r="AO20" s="196" t="e">
        <f ca="1">IF(ACOMPANHAMENTO&lt;&gt;"BM",0,OFFSET(BM!$O$15,$A20,0))</f>
        <v>#N/A</v>
      </c>
    </row>
    <row r="21" spans="1:41" x14ac:dyDescent="0.2">
      <c r="A21" t="e">
        <f ca="1">MATCH(E21,ORÇAMENTO!$E$15:$E$120,0)-1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319">
        <f>QCI!D21</f>
        <v>8</v>
      </c>
      <c r="F21" s="405" t="str">
        <f ca="1">QCI!G21</f>
        <v/>
      </c>
      <c r="G21" s="406">
        <f>QCI!H21</f>
        <v>0</v>
      </c>
      <c r="H21" s="284">
        <f>QCI!I21</f>
        <v>0</v>
      </c>
      <c r="I21" s="320" t="str">
        <f ca="1">QCI!J21</f>
        <v/>
      </c>
      <c r="J21" s="407" t="str">
        <f ca="1">QCI!K21</f>
        <v/>
      </c>
      <c r="K21" s="408" t="str">
        <f ca="1">IF($C21="Automático",IF(ACOMPANHAMENTO="BM",BM.medicao,PLE.Medicao),IF(ISBLANK($X21),"",$X21))</f>
        <v/>
      </c>
      <c r="L21" s="324">
        <f ca="1">QCI!$O21</f>
        <v>0</v>
      </c>
      <c r="M21" s="321">
        <f t="shared" ca="1" si="1"/>
        <v>0</v>
      </c>
      <c r="N21" s="322">
        <f t="shared" ca="1" si="2"/>
        <v>0</v>
      </c>
      <c r="O21" s="323">
        <f t="shared" ca="1" si="3"/>
        <v>0</v>
      </c>
      <c r="P21" s="410">
        <f t="shared" ca="1" si="4"/>
        <v>0</v>
      </c>
      <c r="R21" s="409">
        <f ca="1">ROUND(IF($C21="Automático",AC21+AJ21,$Y21*IF(ISERROR(QCI!$AA21/QCI!$O21),0,QCI!$AA21/QCI!$O21)),2)</f>
        <v>0</v>
      </c>
      <c r="S21" s="409">
        <f ca="1">ROUND(IF($C21="Automático",AD21+AK21,$Y21*IF(ISERROR(QCI!$AB21/QCI!$O21),0,QCI!$AB21/QCI!$O21)),2)</f>
        <v>0</v>
      </c>
      <c r="T21" s="409">
        <f ca="1">ROUND(IF($C21="Automático",AF21+AM21,$Z21*IF(ISERROR(QCI!$AA21/QCI!$O21),0,QCI!$AA21/QCI!$O21)),2)</f>
        <v>0</v>
      </c>
      <c r="U21" s="409">
        <f ca="1">ROUND(IF($C21="Automático",AG21+AN21,$Z21*IF(ISERROR(QCI!$AB21/QCI!$O21),0,QCI!$AB21/QCI!$O21)),2)</f>
        <v>0</v>
      </c>
      <c r="V21" s="537">
        <f ca="1">IF(AND($L21&gt;0,$J21&lt;&gt;0,$J21&lt;&gt;"",COUNTIF($J$13:$J21,$J21)=1),OFFSET(V21,-1,0)+1,OFFSET(V21,-1,0))</f>
        <v>0</v>
      </c>
      <c r="X21" s="325"/>
      <c r="Y21" s="326"/>
      <c r="Z21" s="328"/>
      <c r="AC21" s="196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196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196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196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196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196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196" t="e">
        <f ca="1">IF(ACOMPANHAMENTO&lt;&gt;"BM",0,SUMPRODUCT(OFFSET(BM!$M$15,$A21,0,$B21)*(OFFSET(BM!$A$15,$A21,0,$B21)="S")*OFFSET(ORÇAMENTO!AA$15,$A21,0,$B21)/(OFFSET(ORÇAMENTO!$X$15,$A21,0,$B21)+10^-12)))</f>
        <v>#N/A</v>
      </c>
      <c r="AK21" s="196" t="e">
        <f ca="1">IF(ACOMPANHAMENTO&lt;&gt;"BM",0,SUMPRODUCT(OFFSET(BM!$M$15,$A21,0,$B21)*(OFFSET(BM!$A$15,$A21,0,$B21)="S")*OFFSET(ORÇAMENTO!AB$15,$A21,0,$B21)/(OFFSET(ORÇAMENTO!$X$15,$A21,0,$B21)+10^-12)))</f>
        <v>#N/A</v>
      </c>
      <c r="AL21" s="196" t="e">
        <f ca="1">IF(ACOMPANHAMENTO&lt;&gt;"BM",0,OFFSET(BM!$M$15,$A21,0))</f>
        <v>#N/A</v>
      </c>
      <c r="AM21" s="196" t="e">
        <f ca="1">IF(ACOMPANHAMENTO&lt;&gt;"BM",0,SUMPRODUCT(OFFSET(BM!$O$15,$A21,0,$B21)*(OFFSET(BM!$A$15,$A21,0,$B21)="S")*OFFSET(ORÇAMENTO!AA$15,$A21,0,$B21)/(OFFSET(ORÇAMENTO!$X$15,$A21,0,$B21)+10^-12)))</f>
        <v>#N/A</v>
      </c>
      <c r="AN21" s="196" t="e">
        <f ca="1">IF(ACOMPANHAMENTO&lt;&gt;"BM",0,SUMPRODUCT(OFFSET(BM!$O$15,$A21,0,$B21)*(OFFSET(BM!$A$15,$A21,0,$B21)="S")*OFFSET(ORÇAMENTO!AB$15,$A21,0,$B21)/(OFFSET(ORÇAMENTO!$X$15,$A21,0,$B21)+10^-12)))</f>
        <v>#N/A</v>
      </c>
      <c r="AO21" s="196" t="e">
        <f ca="1">IF(ACOMPANHAMENTO&lt;&gt;"BM",0,OFFSET(BM!$O$15,$A21,0))</f>
        <v>#N/A</v>
      </c>
    </row>
    <row r="22" spans="1:41" x14ac:dyDescent="0.2">
      <c r="A22" t="e">
        <f ca="1">MATCH(E22,ORÇAMENTO!$E$15:$E$120,0)-1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319">
        <f>QCI!D22</f>
        <v>9</v>
      </c>
      <c r="F22" s="405" t="str">
        <f ca="1">QCI!G22</f>
        <v/>
      </c>
      <c r="G22" s="406">
        <f>QCI!H22</f>
        <v>0</v>
      </c>
      <c r="H22" s="284">
        <f>QCI!I22</f>
        <v>0</v>
      </c>
      <c r="I22" s="320" t="str">
        <f ca="1">QCI!J22</f>
        <v/>
      </c>
      <c r="J22" s="407" t="str">
        <f ca="1">QCI!K22</f>
        <v/>
      </c>
      <c r="K22" s="408" t="str">
        <f ca="1">IF($C22="Automático",IF(ACOMPANHAMENTO="BM",BM.medicao,PLE.Medicao),IF(ISBLANK($X22),"",$X22))</f>
        <v/>
      </c>
      <c r="L22" s="324">
        <f ca="1">QCI!$O22</f>
        <v>0</v>
      </c>
      <c r="M22" s="321">
        <f t="shared" ca="1" si="1"/>
        <v>0</v>
      </c>
      <c r="N22" s="322">
        <f t="shared" ca="1" si="2"/>
        <v>0</v>
      </c>
      <c r="O22" s="323">
        <f t="shared" ca="1" si="3"/>
        <v>0</v>
      </c>
      <c r="P22" s="410">
        <f t="shared" ca="1" si="4"/>
        <v>0</v>
      </c>
      <c r="R22" s="409">
        <f ca="1">ROUND(IF($C22="Automático",AC22+AJ22,$Y22*IF(ISERROR(QCI!$AA22/QCI!$O22),0,QCI!$AA22/QCI!$O22)),2)</f>
        <v>0</v>
      </c>
      <c r="S22" s="409">
        <f ca="1">ROUND(IF($C22="Automático",AD22+AK22,$Y22*IF(ISERROR(QCI!$AB22/QCI!$O22),0,QCI!$AB22/QCI!$O22)),2)</f>
        <v>0</v>
      </c>
      <c r="T22" s="409">
        <f ca="1">ROUND(IF($C22="Automático",AF22+AM22,$Z22*IF(ISERROR(QCI!$AA22/QCI!$O22),0,QCI!$AA22/QCI!$O22)),2)</f>
        <v>0</v>
      </c>
      <c r="U22" s="409">
        <f ca="1">ROUND(IF($C22="Automático",AG22+AN22,$Z22*IF(ISERROR(QCI!$AB22/QCI!$O22),0,QCI!$AB22/QCI!$O22)),2)</f>
        <v>0</v>
      </c>
      <c r="V22" s="537">
        <f ca="1">IF(AND($L22&gt;0,$J22&lt;&gt;0,$J22&lt;&gt;"",COUNTIF($J$13:$J22,$J22)=1),OFFSET(V22,-1,0)+1,OFFSET(V22,-1,0))</f>
        <v>0</v>
      </c>
      <c r="X22" s="325"/>
      <c r="Y22" s="326"/>
      <c r="Z22" s="328"/>
      <c r="AC22" s="196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196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196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196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196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196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196" t="e">
        <f ca="1">IF(ACOMPANHAMENTO&lt;&gt;"BM",0,SUMPRODUCT(OFFSET(BM!$M$15,$A22,0,$B22)*(OFFSET(BM!$A$15,$A22,0,$B22)="S")*OFFSET(ORÇAMENTO!AA$15,$A22,0,$B22)/(OFFSET(ORÇAMENTO!$X$15,$A22,0,$B22)+10^-12)))</f>
        <v>#N/A</v>
      </c>
      <c r="AK22" s="196" t="e">
        <f ca="1">IF(ACOMPANHAMENTO&lt;&gt;"BM",0,SUMPRODUCT(OFFSET(BM!$M$15,$A22,0,$B22)*(OFFSET(BM!$A$15,$A22,0,$B22)="S")*OFFSET(ORÇAMENTO!AB$15,$A22,0,$B22)/(OFFSET(ORÇAMENTO!$X$15,$A22,0,$B22)+10^-12)))</f>
        <v>#N/A</v>
      </c>
      <c r="AL22" s="196" t="e">
        <f ca="1">IF(ACOMPANHAMENTO&lt;&gt;"BM",0,OFFSET(BM!$M$15,$A22,0))</f>
        <v>#N/A</v>
      </c>
      <c r="AM22" s="196" t="e">
        <f ca="1">IF(ACOMPANHAMENTO&lt;&gt;"BM",0,SUMPRODUCT(OFFSET(BM!$O$15,$A22,0,$B22)*(OFFSET(BM!$A$15,$A22,0,$B22)="S")*OFFSET(ORÇAMENTO!AA$15,$A22,0,$B22)/(OFFSET(ORÇAMENTO!$X$15,$A22,0,$B22)+10^-12)))</f>
        <v>#N/A</v>
      </c>
      <c r="AN22" s="196" t="e">
        <f ca="1">IF(ACOMPANHAMENTO&lt;&gt;"BM",0,SUMPRODUCT(OFFSET(BM!$O$15,$A22,0,$B22)*(OFFSET(BM!$A$15,$A22,0,$B22)="S")*OFFSET(ORÇAMENTO!AB$15,$A22,0,$B22)/(OFFSET(ORÇAMENTO!$X$15,$A22,0,$B22)+10^-12)))</f>
        <v>#N/A</v>
      </c>
      <c r="AO22" s="196" t="e">
        <f ca="1">IF(ACOMPANHAMENTO&lt;&gt;"BM",0,OFFSET(BM!$O$15,$A22,0))</f>
        <v>#N/A</v>
      </c>
    </row>
    <row r="23" spans="1:41" x14ac:dyDescent="0.2">
      <c r="A23" t="e">
        <f ca="1">MATCH(E23,ORÇAMENTO!$E$15:$E$120,0)-1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319">
        <f>QCI!D23</f>
        <v>10</v>
      </c>
      <c r="F23" s="405" t="str">
        <f ca="1">QCI!G23</f>
        <v/>
      </c>
      <c r="G23" s="406">
        <f>QCI!H23</f>
        <v>0</v>
      </c>
      <c r="H23" s="284">
        <f>QCI!I23</f>
        <v>0</v>
      </c>
      <c r="I23" s="320" t="str">
        <f ca="1">QCI!J23</f>
        <v/>
      </c>
      <c r="J23" s="407" t="str">
        <f ca="1">QCI!K23</f>
        <v/>
      </c>
      <c r="K23" s="408" t="str">
        <f ca="1">IF($C23="Automático",IF(ACOMPANHAMENTO="BM",BM.medicao,PLE.Medicao),IF(ISBLANK($X23),"",$X23))</f>
        <v/>
      </c>
      <c r="L23" s="324">
        <f ca="1">QCI!$O23</f>
        <v>0</v>
      </c>
      <c r="M23" s="321">
        <f ca="1">ROUND(IF(C23="Automático",AE23+AL23,Y23),2)</f>
        <v>0</v>
      </c>
      <c r="N23" s="322">
        <f ca="1">O23-M23</f>
        <v>0</v>
      </c>
      <c r="O23" s="323">
        <f ca="1">ROUND(IF(C23="Automático",AH23+AO23,Z23),2)</f>
        <v>0</v>
      </c>
      <c r="P23" s="410">
        <f ca="1">O23/(L23+10^-12)</f>
        <v>0</v>
      </c>
      <c r="R23" s="409">
        <f ca="1">ROUND(IF($C23="Automático",AC23+AJ23,$Y23*IF(ISERROR(QCI!$AA23/QCI!$O23),0,QCI!$AA23/QCI!$O23)),2)</f>
        <v>0</v>
      </c>
      <c r="S23" s="409">
        <f ca="1">ROUND(IF($C23="Automático",AD23+AK23,$Y23*IF(ISERROR(QCI!$AB23/QCI!$O23),0,QCI!$AB23/QCI!$O23)),2)</f>
        <v>0</v>
      </c>
      <c r="T23" s="409">
        <f ca="1">ROUND(IF($C23="Automático",AF23+AM23,$Z23*IF(ISERROR(QCI!$AA23/QCI!$O23),0,QCI!$AA23/QCI!$O23)),2)</f>
        <v>0</v>
      </c>
      <c r="U23" s="409">
        <f ca="1">ROUND(IF($C23="Automático",AG23+AN23,$Z23*IF(ISERROR(QCI!$AB23/QCI!$O23),0,QCI!$AB23/QCI!$O23)),2)</f>
        <v>0</v>
      </c>
      <c r="V23" s="537">
        <f ca="1">IF(AND($L23&gt;0,$J23&lt;&gt;0,$J23&lt;&gt;"",COUNTIF($J$13:$J23,$J23)=1),OFFSET(V23,-1,0)+1,OFFSET(V23,-1,0))</f>
        <v>0</v>
      </c>
      <c r="X23" s="325"/>
      <c r="Y23" s="326"/>
      <c r="Z23" s="328"/>
      <c r="AC23" s="196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196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196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196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196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196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196" t="e">
        <f ca="1">IF(ACOMPANHAMENTO&lt;&gt;"BM",0,SUMPRODUCT(OFFSET(BM!$M$15,$A23,0,$B23)*(OFFSET(BM!$A$15,$A23,0,$B23)="S")*OFFSET(ORÇAMENTO!AA$15,$A23,0,$B23)/(OFFSET(ORÇAMENTO!$X$15,$A23,0,$B23)+10^-12)))</f>
        <v>#N/A</v>
      </c>
      <c r="AK23" s="196" t="e">
        <f ca="1">IF(ACOMPANHAMENTO&lt;&gt;"BM",0,SUMPRODUCT(OFFSET(BM!$M$15,$A23,0,$B23)*(OFFSET(BM!$A$15,$A23,0,$B23)="S")*OFFSET(ORÇAMENTO!AB$15,$A23,0,$B23)/(OFFSET(ORÇAMENTO!$X$15,$A23,0,$B23)+10^-12)))</f>
        <v>#N/A</v>
      </c>
      <c r="AL23" s="196" t="e">
        <f ca="1">IF(ACOMPANHAMENTO&lt;&gt;"BM",0,OFFSET(BM!$M$15,$A23,0))</f>
        <v>#N/A</v>
      </c>
      <c r="AM23" s="196" t="e">
        <f ca="1">IF(ACOMPANHAMENTO&lt;&gt;"BM",0,SUMPRODUCT(OFFSET(BM!$O$15,$A23,0,$B23)*(OFFSET(BM!$A$15,$A23,0,$B23)="S")*OFFSET(ORÇAMENTO!AA$15,$A23,0,$B23)/(OFFSET(ORÇAMENTO!$X$15,$A23,0,$B23)+10^-12)))</f>
        <v>#N/A</v>
      </c>
      <c r="AN23" s="196" t="e">
        <f ca="1">IF(ACOMPANHAMENTO&lt;&gt;"BM",0,SUMPRODUCT(OFFSET(BM!$O$15,$A23,0,$B23)*(OFFSET(BM!$A$15,$A23,0,$B23)="S")*OFFSET(ORÇAMENTO!AB$15,$A23,0,$B23)/(OFFSET(ORÇAMENTO!$X$15,$A23,0,$B23)+10^-12)))</f>
        <v>#N/A</v>
      </c>
      <c r="AO23" s="196" t="e">
        <f ca="1">IF(ACOMPANHAMENTO&lt;&gt;"BM",0,OFFSET(BM!$O$15,$A23,0))</f>
        <v>#N/A</v>
      </c>
    </row>
    <row r="24" spans="1:41" ht="12.95" customHeight="1" x14ac:dyDescent="0.2">
      <c r="D24" t="s">
        <v>246</v>
      </c>
      <c r="E24" s="1"/>
      <c r="F24" s="1"/>
      <c r="G24" s="1"/>
      <c r="H24" s="1"/>
      <c r="I24" s="2"/>
      <c r="J24" s="710" t="s">
        <v>376</v>
      </c>
      <c r="K24" s="711"/>
      <c r="L24" s="412">
        <f ca="1">IF(ISERROR(L28/$L28),0,ROUND(L28/$L28,4))</f>
        <v>0</v>
      </c>
      <c r="M24" s="414">
        <f ca="1">IF(ISERROR(M28/$L28),0,ROUND(M28/$L28,4))</f>
        <v>0</v>
      </c>
      <c r="N24" s="413">
        <f ca="1">IF(ISERROR(N28/$L28),0,ROUND(N28/$L28,4))</f>
        <v>0</v>
      </c>
      <c r="O24" s="415">
        <f ca="1">IF(ISERROR(O28/$L28),0,ROUND(O28/$L28,4))</f>
        <v>0</v>
      </c>
      <c r="P24" s="712">
        <f ca="1">O28/(L28+10^-12)</f>
        <v>0</v>
      </c>
      <c r="X24" s="344"/>
      <c r="Y24" s="346"/>
      <c r="Z24" s="347"/>
    </row>
    <row r="25" spans="1:41" ht="12.95" customHeight="1" x14ac:dyDescent="0.2">
      <c r="D25" t="s">
        <v>246</v>
      </c>
      <c r="I25" s="4"/>
      <c r="J25" s="713" t="str">
        <f>IF(import.recurso="FGTS","Financiamento","Repasse")</f>
        <v>Repasse</v>
      </c>
      <c r="K25" s="714"/>
      <c r="L25" s="324">
        <f ca="1">QCI!L24</f>
        <v>0</v>
      </c>
      <c r="M25" s="321">
        <f ca="1">M28-M27-M26</f>
        <v>0</v>
      </c>
      <c r="N25" s="322">
        <f ca="1">O25-M25</f>
        <v>0</v>
      </c>
      <c r="O25" s="323">
        <f ca="1">O28-O27-O26</f>
        <v>0</v>
      </c>
      <c r="P25" s="712"/>
      <c r="X25" s="416"/>
      <c r="Y25" s="417" t="s">
        <v>377</v>
      </c>
      <c r="Z25" s="418" t="s">
        <v>378</v>
      </c>
      <c r="AC25" s="419" t="s">
        <v>379</v>
      </c>
      <c r="AD25" s="419" t="s">
        <v>380</v>
      </c>
    </row>
    <row r="26" spans="1:41" ht="12.95" customHeight="1" x14ac:dyDescent="0.2">
      <c r="D26" t="s">
        <v>246</v>
      </c>
      <c r="I26" s="4"/>
      <c r="J26" s="715" t="s">
        <v>381</v>
      </c>
      <c r="K26" s="716"/>
      <c r="L26" s="420">
        <f ca="1">QCI!M24</f>
        <v>0</v>
      </c>
      <c r="M26" s="421">
        <f ca="1">ROUND(IF(OFFSET($X$26,0,1)&lt;&gt;"",OFFSET($X$26,0,1),SUM(R13:OFFSET(R24,-1,0))),2)</f>
        <v>0</v>
      </c>
      <c r="N26" s="422">
        <f ca="1">O26-M26</f>
        <v>0</v>
      </c>
      <c r="O26" s="423">
        <f ca="1">IF(OFFSET($X$26,0,2)&lt;&gt;"",OFFSET($X$26,0,2),$AE$3)</f>
        <v>0</v>
      </c>
      <c r="P26" s="712"/>
      <c r="X26" s="424" t="s">
        <v>169</v>
      </c>
      <c r="Y26" s="532"/>
      <c r="Z26" s="533"/>
      <c r="AC26" s="425">
        <f ca="1">MIN($L26,$O$28-OFFSET($X$27,0,1))</f>
        <v>0</v>
      </c>
      <c r="AD26" s="425">
        <f ca="1">MIN($L26,$O$28-OFFSET($X$27,0,2))</f>
        <v>0</v>
      </c>
    </row>
    <row r="27" spans="1:41" ht="12.95" customHeight="1" x14ac:dyDescent="0.2">
      <c r="D27" t="s">
        <v>246</v>
      </c>
      <c r="I27" s="4"/>
      <c r="J27" s="696" t="s">
        <v>358</v>
      </c>
      <c r="K27" s="697"/>
      <c r="L27" s="426">
        <f ca="1">QCI!N24</f>
        <v>0</v>
      </c>
      <c r="M27" s="427">
        <f ca="1">ROUND(IF(OFFSET($X$27,0,1)&lt;&gt;"",OFFSET($X$27,0,1),SUM(S13:OFFSET(S24,-1,0))),2)</f>
        <v>0</v>
      </c>
      <c r="N27" s="428">
        <f ca="1">O27-M27</f>
        <v>0</v>
      </c>
      <c r="O27" s="429">
        <f ca="1">IF(OFFSET($X$27,0,2)&lt;&gt;"",OFFSET($X$27,0,2),$AE$4)</f>
        <v>0</v>
      </c>
      <c r="P27" s="712"/>
      <c r="X27" s="430" t="s">
        <v>278</v>
      </c>
      <c r="Y27" s="534"/>
      <c r="Z27" s="535"/>
      <c r="AC27" s="425">
        <f ca="1">MIN($L27,$O$28-OFFSET($X$26,0,1))</f>
        <v>0</v>
      </c>
      <c r="AD27" s="425">
        <f ca="1">MIN($L27,$O$28-OFFSET($X$26,0,2))</f>
        <v>0</v>
      </c>
    </row>
    <row r="28" spans="1:41" ht="15" x14ac:dyDescent="0.2">
      <c r="D28" t="s">
        <v>246</v>
      </c>
      <c r="I28" s="4"/>
      <c r="J28" s="698" t="s">
        <v>360</v>
      </c>
      <c r="K28" s="699"/>
      <c r="L28" s="431">
        <f ca="1">SUM(L13:OFFSET(L24,-1,0))</f>
        <v>0</v>
      </c>
      <c r="M28" s="432">
        <f ca="1">ROUND(SUM(M13:OFFSET(M24,-1,0)),2)</f>
        <v>0</v>
      </c>
      <c r="N28" s="433">
        <f ca="1">O28-M28</f>
        <v>0</v>
      </c>
      <c r="O28" s="434">
        <f ca="1">SUM(O13:OFFSET(O24,-1,0))</f>
        <v>0</v>
      </c>
      <c r="P28" s="712"/>
      <c r="X28" s="356"/>
      <c r="Y28" s="358"/>
      <c r="Z28" s="359"/>
    </row>
    <row r="29" spans="1:41" x14ac:dyDescent="0.2">
      <c r="O29" s="700" t="str">
        <f ca="1">"Acumulado Anterior:  "&amp;TEXT($M$28/($L$28+10^-12),"0,00%")</f>
        <v>Acumulado Anterior:  0,00%</v>
      </c>
      <c r="P29" s="700"/>
    </row>
    <row r="30" spans="1:41" ht="14.25" x14ac:dyDescent="0.2">
      <c r="E30" s="138" t="s">
        <v>187</v>
      </c>
      <c r="P30" s="473"/>
    </row>
    <row r="31" spans="1:41" ht="12.75" customHeight="1" x14ac:dyDescent="0.2">
      <c r="E31" s="704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6"/>
    </row>
    <row r="32" spans="1:41" ht="12.75" customHeight="1" x14ac:dyDescent="0.2">
      <c r="E32" s="704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6"/>
      <c r="Y32" s="435"/>
      <c r="Z32" s="435"/>
    </row>
    <row r="33" spans="5:16" ht="12.75" customHeight="1" x14ac:dyDescent="0.2">
      <c r="E33" s="707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9"/>
    </row>
    <row r="35" spans="5:16" ht="15" x14ac:dyDescent="0.2">
      <c r="E35" s="615" t="str">
        <f>Import.Município</f>
        <v>LAGES/SC</v>
      </c>
      <c r="F35" s="615"/>
      <c r="G35" s="615"/>
      <c r="I35" s="436"/>
      <c r="L35" s="638">
        <f ca="1">DADOS!$F$25</f>
        <v>45639</v>
      </c>
      <c r="M35" s="638"/>
      <c r="N35" s="638"/>
      <c r="O35" s="638"/>
    </row>
    <row r="36" spans="5:16" x14ac:dyDescent="0.2">
      <c r="E36" s="10" t="s">
        <v>188</v>
      </c>
      <c r="L36" s="10" t="s">
        <v>189</v>
      </c>
    </row>
    <row r="38" spans="5:16" x14ac:dyDescent="0.2">
      <c r="E38" s="191"/>
      <c r="F38" s="191"/>
      <c r="G38" s="191"/>
      <c r="L38" s="191"/>
      <c r="M38" s="191"/>
      <c r="N38" s="191"/>
      <c r="O38" s="191"/>
    </row>
    <row r="39" spans="5:16" x14ac:dyDescent="0.2">
      <c r="E39" s="437" t="str">
        <f>IF(CAIXA.Modo,"Responsável Gerencial CAIXA","Representante Tomador")</f>
        <v>Representante Tomador</v>
      </c>
      <c r="F39" s="7"/>
      <c r="L39" s="437" t="str">
        <f>IF(CAIXA.Modo,"Responsável Técnico CAIXA","Responsável Técnico pela Fiscalização")</f>
        <v>Responsável Técnico pela Fiscalização</v>
      </c>
    </row>
    <row r="40" spans="5:16" x14ac:dyDescent="0.2">
      <c r="E40" s="75" t="s">
        <v>108</v>
      </c>
      <c r="F40" s="309" t="str">
        <f>IF(CAIXA.Modo,DADOS!F60,DADOS!F28)</f>
        <v>ANTÔNIO CERON</v>
      </c>
      <c r="L40" s="75" t="s">
        <v>108</v>
      </c>
      <c r="M40" s="687">
        <f>IF(CAIXA.Modo,BM!X132,DADOS!F51)</f>
        <v>0</v>
      </c>
      <c r="N40" s="687"/>
      <c r="O40" s="687"/>
    </row>
    <row r="41" spans="5:16" x14ac:dyDescent="0.2">
      <c r="E41" s="75" t="str">
        <f>IF(CAIXA.Modo,"Função:","Cargo:")</f>
        <v>Cargo:</v>
      </c>
      <c r="F41" s="309" t="str">
        <f>IF(CAIXA.Modo,DADOS!F61,DADOS!F29)</f>
        <v>PREFEITO MUNICIPAL</v>
      </c>
      <c r="L41" s="75" t="str">
        <f>IF(CAIXA.Modo,"Matrícula:","Profissão:")</f>
        <v>Profissão:</v>
      </c>
      <c r="M41" s="687">
        <f>IF(CAIXA.Modo,BM!X133,DADOS!F52)</f>
        <v>0</v>
      </c>
      <c r="N41" s="687"/>
      <c r="O41" s="687"/>
    </row>
    <row r="42" spans="5:16" x14ac:dyDescent="0.2">
      <c r="L42" s="75" t="s">
        <v>109</v>
      </c>
      <c r="M42" s="687">
        <f>IF(CAIXA.Modo,BM!X134,DADOS!F53)</f>
        <v>0</v>
      </c>
      <c r="N42" s="687"/>
      <c r="O42" s="687"/>
    </row>
    <row r="43" spans="5:16" x14ac:dyDescent="0.2">
      <c r="L43" s="75" t="str">
        <f>IF(CAIXA.Modo,"","ART/RRT:")</f>
        <v>ART/RRT:</v>
      </c>
      <c r="M43" s="13">
        <f>IF(CAIXA.Modo,"",DADOS!F54)</f>
        <v>0</v>
      </c>
    </row>
    <row r="45" spans="5:16" x14ac:dyDescent="0.2">
      <c r="E45" s="191"/>
      <c r="F45" s="191"/>
      <c r="G45" s="191"/>
      <c r="L45" s="191"/>
      <c r="M45" s="191"/>
      <c r="N45" s="191"/>
      <c r="O45" s="191"/>
    </row>
    <row r="46" spans="5:16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</row>
    <row r="47" spans="5:16" x14ac:dyDescent="0.2">
      <c r="E47" s="75" t="s">
        <v>108</v>
      </c>
      <c r="F47" s="686"/>
      <c r="G47" s="686"/>
      <c r="L47" s="75" t="s">
        <v>108</v>
      </c>
      <c r="M47" s="686"/>
      <c r="N47" s="686"/>
      <c r="O47" s="686"/>
    </row>
    <row r="48" spans="5:16" x14ac:dyDescent="0.2">
      <c r="E48" s="75" t="str">
        <f>IF(CAIXA.Modo,"Função:","Cargo:")</f>
        <v>Cargo:</v>
      </c>
      <c r="F48" s="686"/>
      <c r="G48" s="686"/>
      <c r="L48" s="75" t="str">
        <f>IF(CAIXA.Modo,"Função:","Cargo:")</f>
        <v>Cargo:</v>
      </c>
      <c r="M48" s="686"/>
      <c r="N48" s="686"/>
      <c r="O48" s="686"/>
    </row>
    <row r="49" spans="5:15" x14ac:dyDescent="0.2">
      <c r="E49" s="75" t="str">
        <f>IF(CAIXA.Modo,"Matr:","")</f>
        <v/>
      </c>
      <c r="F49" s="686"/>
      <c r="G49" s="686"/>
      <c r="L49" s="75" t="str">
        <f>IF(CAIXA.Modo,"Matrícula:","")</f>
        <v/>
      </c>
      <c r="M49" s="686"/>
      <c r="N49" s="686"/>
      <c r="O49" s="686"/>
    </row>
  </sheetData>
  <sheetProtection algorithmName="SHA-512" hashValue="I6ui0OAbI/I6mThkHzSiOMiN8nUu01QJUCVX9Lf+cPsFBZSWV+lOeqm0JNiXIJqHSOtfxCUZzQWR3ahPkury6Q==" saltValue="EaSx+KXwPUiUa7L/4awxLg==" spinCount="100000"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8" type="noConversion"/>
  <conditionalFormatting sqref="X12:Z12">
    <cfRule type="expression" dxfId="8" priority="82" stopIfTrue="1">
      <formula>OR($C12="Automático",$C12="Branco")</formula>
    </cfRule>
  </conditionalFormatting>
  <conditionalFormatting sqref="F49:G49 M49:O49">
    <cfRule type="expression" dxfId="7" priority="83" stopIfTrue="1">
      <formula>CAIXA.Modo=FALSE</formula>
    </cfRule>
  </conditionalFormatting>
  <conditionalFormatting sqref="M12 M25:M28 O12 O25:O28">
    <cfRule type="cellIs" dxfId="6" priority="84" stopIfTrue="1" operator="notBetween">
      <formula>0</formula>
      <formula>$L12</formula>
    </cfRule>
  </conditionalFormatting>
  <conditionalFormatting sqref="M10:N10">
    <cfRule type="cellIs" dxfId="5" priority="85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B1:Q56"/>
  <sheetViews>
    <sheetView showGridLines="0" zoomScale="90" zoomScaleNormal="90" zoomScaleSheetLayoutView="100" workbookViewId="0"/>
  </sheetViews>
  <sheetFormatPr defaultRowHeight="12.75" x14ac:dyDescent="0.2"/>
  <cols>
    <col min="1" max="1" width="2" customWidth="1"/>
    <col min="2" max="2" width="15.7109375" customWidth="1"/>
    <col min="3" max="3" width="6.7109375" customWidth="1"/>
    <col min="4" max="5" width="20.7109375" customWidth="1"/>
    <col min="6" max="6" width="8.7109375" customWidth="1"/>
    <col min="7" max="7" width="12.710937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722"/>
      <c r="C1" s="722"/>
      <c r="D1" s="47"/>
      <c r="E1" s="47"/>
      <c r="F1" s="47"/>
      <c r="G1" s="50" t="s">
        <v>140</v>
      </c>
    </row>
    <row r="2" spans="2:17" x14ac:dyDescent="0.2">
      <c r="B2" s="722"/>
      <c r="C2" s="722"/>
      <c r="D2" s="47"/>
      <c r="E2" s="47"/>
      <c r="F2" s="47"/>
      <c r="G2" s="12" t="s">
        <v>382</v>
      </c>
    </row>
    <row r="3" spans="2:17" ht="26.1" customHeight="1" thickBot="1" x14ac:dyDescent="0.25">
      <c r="B3" s="722"/>
      <c r="C3" s="722"/>
      <c r="D3" s="47"/>
      <c r="E3" s="47"/>
      <c r="F3" s="47"/>
      <c r="G3" s="438"/>
      <c r="I3" s="439" t="s">
        <v>383</v>
      </c>
    </row>
    <row r="4" spans="2:17" ht="12.75" customHeight="1" x14ac:dyDescent="0.2">
      <c r="B4" s="722"/>
      <c r="C4" s="722"/>
      <c r="D4" s="47"/>
      <c r="E4" s="47"/>
      <c r="F4" s="47"/>
      <c r="G4" s="47"/>
      <c r="I4" s="723" t="s">
        <v>384</v>
      </c>
      <c r="J4" s="725" t="s">
        <v>385</v>
      </c>
      <c r="K4" s="725" t="s">
        <v>386</v>
      </c>
      <c r="L4" s="717" t="s">
        <v>387</v>
      </c>
    </row>
    <row r="5" spans="2:17" x14ac:dyDescent="0.2">
      <c r="I5" s="724"/>
      <c r="J5" s="726"/>
      <c r="K5" s="726"/>
      <c r="L5" s="718"/>
    </row>
    <row r="6" spans="2:17" x14ac:dyDescent="0.2">
      <c r="B6" s="440" t="s">
        <v>388</v>
      </c>
      <c r="C6" s="719"/>
      <c r="D6" s="719"/>
      <c r="E6" s="440"/>
      <c r="F6" s="440"/>
      <c r="G6" s="47"/>
      <c r="I6" s="520" t="str">
        <f ca="1">IF(ROW(I6)-ROW(L$5)&gt;MAX(RRE!$V$13:$V$24),"",INDEX(RRE!$J$13:$J$24,MATCH(ROW(I6)-ROW(I$5),RRE!$V$13:$V$24,0)))</f>
        <v/>
      </c>
      <c r="J6" s="521" t="str">
        <f ca="1">IF(I6="","",SUMIF(RRE!$J$13:$J$24,OFÍCIO!$I6,RRE!$L$13:$L$24))</f>
        <v/>
      </c>
      <c r="K6" s="521" t="str">
        <f ca="1">IF(J6="","",SUMIF(RRE!$J$13:$J$24,OFÍCIO!$I6,RRE!$N$13:$N$24))</f>
        <v/>
      </c>
      <c r="L6" s="522" t="str">
        <f ca="1">IF(K6="","",SUMIF(RRE!$J$13:$J$24,OFÍCIO!$I6,RRE!$O$13:$O$24))</f>
        <v/>
      </c>
      <c r="N6" s="10"/>
    </row>
    <row r="7" spans="2:17" x14ac:dyDescent="0.2">
      <c r="B7" s="47"/>
      <c r="C7" s="47"/>
      <c r="D7" s="47"/>
      <c r="E7" s="47"/>
      <c r="F7" s="47"/>
      <c r="G7" s="47"/>
      <c r="I7" s="514" t="str">
        <f ca="1">IF(ROW(I7)-ROW(L$5)&gt;MAX(RRE!$V$13:$V$24),"",INDEX(RRE!$J$13:$J$24,MATCH(ROW(I7)-ROW(I$5),RRE!$V$13:$V$24,0)))</f>
        <v/>
      </c>
      <c r="J7" s="515" t="str">
        <f ca="1">IF(I7="","",SUMIF(RRE!$J$13:$J$24,OFÍCIO!$I7,RRE!$L$13:$L$24))</f>
        <v/>
      </c>
      <c r="K7" s="515" t="str">
        <f ca="1">IF(J7="","",SUMIF(RRE!$J$13:$J$24,OFÍCIO!$I7,RRE!$N$13:$N$24))</f>
        <v/>
      </c>
      <c r="L7" s="516" t="str">
        <f ca="1">IF(K7="","",SUMIF(RRE!$J$13:$J$24,OFÍCIO!$I7,RRE!$O$13:$O$24))</f>
        <v/>
      </c>
    </row>
    <row r="8" spans="2:17" x14ac:dyDescent="0.2">
      <c r="B8" s="720" t="str">
        <f ca="1">CONCATENATE(RRE!$E$35,", ",TEXT(RRE!$L$35,"dd"" de ""mmmm"" de ""aaaa"))</f>
        <v>LAGES/SC, 13 de dezembro de 2024</v>
      </c>
      <c r="C8" s="720"/>
      <c r="D8" s="720"/>
      <c r="E8" s="720"/>
      <c r="F8" s="720"/>
      <c r="G8" s="720"/>
      <c r="H8" s="441"/>
      <c r="I8" s="514" t="str">
        <f ca="1">IF(ROW(I8)-ROW(L$5)&gt;MAX(RRE!$V$13:$V$24),"",INDEX(RRE!$J$13:$J$24,MATCH(ROW(I8)-ROW(I$5),RRE!$V$13:$V$24,0)))</f>
        <v/>
      </c>
      <c r="J8" s="515" t="str">
        <f ca="1">IF(I8="","",SUMIF(RRE!$J$13:$J$24,OFÍCIO!$I8,RRE!$L$13:$L$24))</f>
        <v/>
      </c>
      <c r="K8" s="515" t="str">
        <f ca="1">IF(J8="","",SUMIF(RRE!$J$13:$J$24,OFÍCIO!$I8,RRE!$N$13:$N$24))</f>
        <v/>
      </c>
      <c r="L8" s="516" t="str">
        <f ca="1">IF(K8="","",SUMIF(RRE!$J$13:$J$24,OFÍCIO!$I8,RRE!$O$13:$O$24))</f>
        <v/>
      </c>
      <c r="N8" s="441"/>
      <c r="O8" s="441"/>
      <c r="P8" s="441"/>
      <c r="Q8" s="441"/>
    </row>
    <row r="9" spans="2:17" x14ac:dyDescent="0.2">
      <c r="B9" s="442" t="s">
        <v>389</v>
      </c>
      <c r="C9" s="47"/>
      <c r="D9" s="47"/>
      <c r="G9" s="47"/>
      <c r="H9" s="441"/>
      <c r="I9" s="514" t="str">
        <f ca="1">IF(ROW(I9)-ROW(L$5)&gt;MAX(RRE!$V$13:$V$24),"",INDEX(RRE!$J$13:$J$24,MATCH(ROW(I9)-ROW(I$5),RRE!$V$13:$V$24,0)))</f>
        <v/>
      </c>
      <c r="J9" s="515" t="str">
        <f ca="1">IF(I9="","",SUMIF(RRE!$J$13:$J$24,OFÍCIO!$I9,RRE!$L$13:$L$24))</f>
        <v/>
      </c>
      <c r="K9" s="515" t="str">
        <f ca="1">IF(J9="","",SUMIF(RRE!$J$13:$J$24,OFÍCIO!$I9,RRE!$N$13:$N$24))</f>
        <v/>
      </c>
      <c r="L9" s="516" t="str">
        <f ca="1">IF(K9="","",SUMIF(RRE!$J$13:$J$24,OFÍCIO!$I9,RRE!$O$13:$O$24))</f>
        <v/>
      </c>
      <c r="N9" s="441"/>
      <c r="O9" s="441"/>
      <c r="P9" s="441"/>
      <c r="Q9" s="441"/>
    </row>
    <row r="10" spans="2:17" x14ac:dyDescent="0.2">
      <c r="B10" s="721" t="s">
        <v>390</v>
      </c>
      <c r="C10" s="721"/>
      <c r="D10" s="721"/>
      <c r="G10" s="47"/>
      <c r="H10" s="441"/>
      <c r="I10" s="514" t="str">
        <f ca="1">IF(ROW(I10)-ROW(L$5)&gt;MAX(RRE!$V$13:$V$24),"",INDEX(RRE!$J$13:$J$24,MATCH(ROW(I10)-ROW(I$5),RRE!$V$13:$V$24,0)))</f>
        <v/>
      </c>
      <c r="J10" s="515" t="str">
        <f ca="1">IF(I10="","",SUMIF(RRE!$J$13:$J$24,OFÍCIO!$I10,RRE!$L$13:$L$24))</f>
        <v/>
      </c>
      <c r="K10" s="515" t="str">
        <f ca="1">IF(J10="","",SUMIF(RRE!$J$13:$J$24,OFÍCIO!$I10,RRE!$N$13:$N$24))</f>
        <v/>
      </c>
      <c r="L10" s="516" t="str">
        <f ca="1">IF(K10="","",SUMIF(RRE!$J$13:$J$24,OFÍCIO!$I10,RRE!$O$13:$O$24))</f>
        <v/>
      </c>
      <c r="N10" s="441"/>
      <c r="O10" s="441"/>
      <c r="P10" s="441"/>
      <c r="Q10" s="441"/>
    </row>
    <row r="11" spans="2:17" x14ac:dyDescent="0.2">
      <c r="B11" s="443" t="s">
        <v>410</v>
      </c>
      <c r="C11" s="686"/>
      <c r="D11" s="686"/>
      <c r="G11" s="47"/>
      <c r="H11" s="441"/>
      <c r="I11" s="514" t="str">
        <f ca="1">IF(ROW(I11)-ROW(L$5)&gt;MAX(RRE!$V$13:$V$24),"",INDEX(RRE!$J$13:$J$24,MATCH(ROW(I11)-ROW(I$5),RRE!$V$13:$V$24,0)))</f>
        <v/>
      </c>
      <c r="J11" s="515" t="str">
        <f ca="1">IF(I11="","",SUMIF(RRE!$J$13:$J$24,OFÍCIO!$I11,RRE!$L$13:$L$24))</f>
        <v/>
      </c>
      <c r="K11" s="515" t="str">
        <f ca="1">IF(J11="","",SUMIF(RRE!$J$13:$J$24,OFÍCIO!$I11,RRE!$N$13:$N$24))</f>
        <v/>
      </c>
      <c r="L11" s="516" t="str">
        <f ca="1">IF(K11="","",SUMIF(RRE!$J$13:$J$24,OFÍCIO!$I11,RRE!$O$13:$O$24))</f>
        <v/>
      </c>
      <c r="N11" s="441"/>
      <c r="O11" s="441"/>
      <c r="P11" s="441"/>
      <c r="Q11" s="441"/>
    </row>
    <row r="12" spans="2:17" x14ac:dyDescent="0.2">
      <c r="B12" s="444"/>
      <c r="C12" s="444"/>
      <c r="D12" s="444"/>
      <c r="E12" s="444"/>
      <c r="F12" s="444"/>
      <c r="G12" s="47"/>
      <c r="H12" s="441"/>
      <c r="I12" s="514" t="str">
        <f ca="1">IF(ROW(I12)-ROW(L$5)&gt;MAX(RRE!$V$13:$V$24),"",INDEX(RRE!$J$13:$J$24,MATCH(ROW(I12)-ROW(I$5),RRE!$V$13:$V$24,0)))</f>
        <v/>
      </c>
      <c r="J12" s="515" t="str">
        <f ca="1">IF(I12="","",SUMIF(RRE!$J$13:$J$24,OFÍCIO!$I12,RRE!$L$13:$L$24))</f>
        <v/>
      </c>
      <c r="K12" s="515" t="str">
        <f ca="1">IF(J12="","",SUMIF(RRE!$J$13:$J$24,OFÍCIO!$I12,RRE!$N$13:$N$24))</f>
        <v/>
      </c>
      <c r="L12" s="516" t="str">
        <f ca="1">IF(K12="","",SUMIF(RRE!$J$13:$J$24,OFÍCIO!$I12,RRE!$O$13:$O$24))</f>
        <v/>
      </c>
      <c r="N12" s="441"/>
      <c r="O12" s="441"/>
      <c r="P12" s="441"/>
      <c r="Q12" s="441"/>
    </row>
    <row r="13" spans="2:17" x14ac:dyDescent="0.2">
      <c r="B13" s="47"/>
      <c r="C13" s="47"/>
      <c r="D13" s="47"/>
      <c r="E13" s="47"/>
      <c r="F13" s="47"/>
      <c r="G13" s="47"/>
      <c r="I13" s="514" t="str">
        <f ca="1">IF(ROW(I13)-ROW(L$5)&gt;MAX(RRE!$V$13:$V$24),"",INDEX(RRE!$J$13:$J$24,MATCH(ROW(I13)-ROW(I$5),RRE!$V$13:$V$24,0)))</f>
        <v/>
      </c>
      <c r="J13" s="515" t="str">
        <f ca="1">IF(I13="","",SUMIF(RRE!$J$13:$J$24,OFÍCIO!$I13,RRE!$L$13:$L$24))</f>
        <v/>
      </c>
      <c r="K13" s="515" t="str">
        <f ca="1">IF(J13="","",SUMIF(RRE!$J$13:$J$24,OFÍCIO!$I13,RRE!$N$13:$N$24))</f>
        <v/>
      </c>
      <c r="L13" s="516" t="str">
        <f ca="1">IF(K13="","",SUMIF(RRE!$J$13:$J$24,OFÍCIO!$I13,RRE!$O$13:$O$24))</f>
        <v/>
      </c>
    </row>
    <row r="14" spans="2:17" x14ac:dyDescent="0.2">
      <c r="B14" s="442" t="s">
        <v>391</v>
      </c>
      <c r="C14" s="721" t="str">
        <f ca="1">CONCATENATE(RRE.Numero,"ª"," Solicitação de ",IF(import.recurso="OGU","Desbloqueio","Desembolso")," de Recursos.")</f>
        <v>1ª Solicitação de Desembolso de Recursos.</v>
      </c>
      <c r="D14" s="721"/>
      <c r="E14" s="721"/>
      <c r="F14" s="721"/>
      <c r="G14" s="721"/>
      <c r="I14" s="514" t="str">
        <f ca="1">IF(ROW(I14)-ROW(L$5)&gt;MAX(RRE!$V$13:$V$24),"",INDEX(RRE!$J$13:$J$24,MATCH(ROW(I14)-ROW(I$5),RRE!$V$13:$V$24,0)))</f>
        <v/>
      </c>
      <c r="J14" s="515" t="str">
        <f ca="1">IF(I14="","",SUMIF(RRE!$J$13:$J$24,OFÍCIO!$I14,RRE!$L$13:$L$24))</f>
        <v/>
      </c>
      <c r="K14" s="515" t="str">
        <f ca="1">IF(J14="","",SUMIF(RRE!$J$13:$J$24,OFÍCIO!$I14,RRE!$N$13:$N$24))</f>
        <v/>
      </c>
      <c r="L14" s="516" t="str">
        <f ca="1">IF(K14="","",SUMIF(RRE!$J$13:$J$24,OFÍCIO!$I14,RRE!$O$13:$O$24))</f>
        <v/>
      </c>
    </row>
    <row r="15" spans="2:17" ht="12.75" customHeight="1" x14ac:dyDescent="0.2">
      <c r="B15" s="442" t="s">
        <v>392</v>
      </c>
      <c r="C15" s="731" t="str">
        <f>CONCATENATE("Contrato de ",IF(import.recurso="OGU","Repasse","Financiamento")," - Operação nº ",Import.CR,IF(Import.TransfereGOV="","",CONCATENATE(" - TransfereGOV nº ",Import.TransfereGOV)))</f>
        <v xml:space="preserve">Contrato de Financiamento - Operação nº </v>
      </c>
      <c r="D15" s="731"/>
      <c r="E15" s="731"/>
      <c r="F15" s="731"/>
      <c r="G15" s="731"/>
      <c r="I15" s="514" t="str">
        <f ca="1">IF(ROW(I15)-ROW(L$5)&gt;MAX(RRE!$V$13:$V$24),"",INDEX(RRE!$J$13:$J$24,MATCH(ROW(I15)-ROW(I$5),RRE!$V$13:$V$24,0)))</f>
        <v/>
      </c>
      <c r="J15" s="515" t="str">
        <f ca="1">IF(I15="","",SUMIF(RRE!$J$13:$J$24,OFÍCIO!$I15,RRE!$L$13:$L$24))</f>
        <v/>
      </c>
      <c r="K15" s="515" t="str">
        <f ca="1">IF(J15="","",SUMIF(RRE!$J$13:$J$24,OFÍCIO!$I15,RRE!$N$13:$N$24))</f>
        <v/>
      </c>
      <c r="L15" s="516" t="str">
        <f ca="1">IF(K15="","",SUMIF(RRE!$J$13:$J$24,OFÍCIO!$I15,RRE!$O$13:$O$24))</f>
        <v/>
      </c>
    </row>
    <row r="16" spans="2:17" x14ac:dyDescent="0.2">
      <c r="B16" s="442"/>
      <c r="C16" s="731"/>
      <c r="D16" s="731"/>
      <c r="E16" s="731"/>
      <c r="F16" s="731"/>
      <c r="G16" s="731"/>
      <c r="I16" s="514" t="str">
        <f ca="1">IF(ROW(I16)-ROW(L$5)&gt;MAX(RRE!$V$13:$V$24),"",INDEX(RRE!$J$13:$J$24,MATCH(ROW(I16)-ROW(I$5),RRE!$V$13:$V$24,0)))</f>
        <v/>
      </c>
      <c r="J16" s="515" t="str">
        <f ca="1">IF(I16="","",SUMIF(RRE!$J$13:$J$24,OFÍCIO!$I16,RRE!$L$13:$L$24))</f>
        <v/>
      </c>
      <c r="K16" s="515" t="str">
        <f ca="1">IF(J16="","",SUMIF(RRE!$J$13:$J$24,OFÍCIO!$I16,RRE!$N$13:$N$24))</f>
        <v/>
      </c>
      <c r="L16" s="516" t="str">
        <f ca="1">IF(K16="","",SUMIF(RRE!$J$13:$J$24,OFÍCIO!$I16,RRE!$O$13:$O$24))</f>
        <v/>
      </c>
    </row>
    <row r="17" spans="2:12" x14ac:dyDescent="0.2">
      <c r="B17" s="47"/>
      <c r="C17" s="47"/>
      <c r="D17" s="47"/>
      <c r="E17" s="47"/>
      <c r="F17" s="47"/>
      <c r="G17" s="47"/>
      <c r="I17" s="514" t="str">
        <f ca="1">IF(ROW(I17)-ROW(L$5)&gt;MAX(RRE!$V$13:$V$24),"",INDEX(RRE!$J$13:$J$24,MATCH(ROW(I17)-ROW(I$5),RRE!$V$13:$V$24,0)))</f>
        <v/>
      </c>
      <c r="J17" s="515" t="str">
        <f ca="1">IF(I17="","",SUMIF(RRE!$J$13:$J$24,OFÍCIO!$I17,RRE!$L$13:$L$24))</f>
        <v/>
      </c>
      <c r="K17" s="515" t="str">
        <f ca="1">IF(J17="","",SUMIF(RRE!$J$13:$J$24,OFÍCIO!$I17,RRE!$N$13:$N$24))</f>
        <v/>
      </c>
      <c r="L17" s="516" t="str">
        <f ca="1">IF(K17="","",SUMIF(RRE!$J$13:$J$24,OFÍCIO!$I17,RRE!$O$13:$O$24))</f>
        <v/>
      </c>
    </row>
    <row r="18" spans="2:12" ht="12.75" customHeight="1" x14ac:dyDescent="0.2">
      <c r="B18" s="309" t="s">
        <v>393</v>
      </c>
      <c r="C18" s="727" t="str">
        <f>Import.DescLote</f>
        <v>IMPLANTAÇÃO DE VESTIÁRIOS</v>
      </c>
      <c r="D18" s="727"/>
      <c r="E18" s="727"/>
      <c r="F18" s="727"/>
      <c r="G18" s="727"/>
      <c r="I18" s="514" t="str">
        <f ca="1">IF(ROW(I18)-ROW(L$5)&gt;MAX(RRE!$V$13:$V$24),"",INDEX(RRE!$J$13:$J$24,MATCH(ROW(I18)-ROW(I$5),RRE!$V$13:$V$24,0)))</f>
        <v/>
      </c>
      <c r="J18" s="515" t="str">
        <f ca="1">IF(I18="","",SUMIF(RRE!$J$13:$J$24,OFÍCIO!$I18,RRE!$L$13:$L$24))</f>
        <v/>
      </c>
      <c r="K18" s="515" t="str">
        <f ca="1">IF(J18="","",SUMIF(RRE!$J$13:$J$24,OFÍCIO!$I18,RRE!$N$13:$N$24))</f>
        <v/>
      </c>
      <c r="L18" s="516" t="str">
        <f ca="1">IF(K18="","",SUMIF(RRE!$J$13:$J$24,OFÍCIO!$I18,RRE!$O$13:$O$24))</f>
        <v/>
      </c>
    </row>
    <row r="19" spans="2:12" ht="12.75" customHeight="1" x14ac:dyDescent="0.2">
      <c r="B19" s="729" t="s">
        <v>394</v>
      </c>
      <c r="C19" s="730" t="str">
        <f>Import.Proponente</f>
        <v>PREFEITURA MUNICIPAL DE LAGES</v>
      </c>
      <c r="D19" s="730"/>
      <c r="E19" s="730"/>
      <c r="F19" s="730"/>
      <c r="G19" s="730"/>
      <c r="I19" s="514" t="str">
        <f ca="1">IF(ROW(I19)-ROW(L$5)&gt;MAX(RRE!$V$13:$V$24),"",INDEX(RRE!$J$13:$J$24,MATCH(ROW(I19)-ROW(I$5),RRE!$V$13:$V$24,0)))</f>
        <v/>
      </c>
      <c r="J19" s="515" t="str">
        <f ca="1">IF(I19="","",SUMIF(RRE!$J$13:$J$24,OFÍCIO!$I19,RRE!$L$13:$L$24))</f>
        <v/>
      </c>
      <c r="K19" s="515" t="str">
        <f ca="1">IF(J19="","",SUMIF(RRE!$J$13:$J$24,OFÍCIO!$I19,RRE!$N$13:$N$24))</f>
        <v/>
      </c>
      <c r="L19" s="516" t="str">
        <f ca="1">IF(K19="","",SUMIF(RRE!$J$13:$J$24,OFÍCIO!$I19,RRE!$O$13:$O$24))</f>
        <v/>
      </c>
    </row>
    <row r="20" spans="2:12" x14ac:dyDescent="0.2">
      <c r="B20" s="729"/>
      <c r="C20" s="730"/>
      <c r="D20" s="730"/>
      <c r="E20" s="730"/>
      <c r="F20" s="730"/>
      <c r="G20" s="730"/>
      <c r="I20" s="514" t="str">
        <f ca="1">IF(ROW(I20)-ROW(L$5)&gt;MAX(RRE!$V$13:$V$24),"",INDEX(RRE!$J$13:$J$24,MATCH(ROW(I20)-ROW(I$5),RRE!$V$13:$V$24,0)))</f>
        <v/>
      </c>
      <c r="J20" s="515" t="str">
        <f ca="1">IF(I20="","",SUMIF(RRE!$J$13:$J$24,OFÍCIO!$I20,RRE!$L$13:$L$24))</f>
        <v/>
      </c>
      <c r="K20" s="515" t="str">
        <f ca="1">IF(J20="","",SUMIF(RRE!$J$13:$J$24,OFÍCIO!$I20,RRE!$N$13:$N$24))</f>
        <v/>
      </c>
      <c r="L20" s="516" t="str">
        <f ca="1">IF(K20="","",SUMIF(RRE!$J$13:$J$24,OFÍCIO!$I20,RRE!$O$13:$O$24))</f>
        <v/>
      </c>
    </row>
    <row r="21" spans="2:12" x14ac:dyDescent="0.2">
      <c r="B21" s="47"/>
      <c r="C21" s="47"/>
      <c r="D21" s="47"/>
      <c r="E21" s="47"/>
      <c r="F21" s="47"/>
      <c r="G21" s="47"/>
      <c r="I21" s="514" t="str">
        <f ca="1">IF(ROW(I21)-ROW(L$5)&gt;MAX(RRE!$V$13:$V$24),"",INDEX(RRE!$J$13:$J$24,MATCH(ROW(I21)-ROW(I$5),RRE!$V$13:$V$24,0)))</f>
        <v/>
      </c>
      <c r="J21" s="515" t="str">
        <f ca="1">IF(I21="","",SUMIF(RRE!$J$13:$J$24,OFÍCIO!$I21,RRE!$L$13:$L$24))</f>
        <v/>
      </c>
      <c r="K21" s="515" t="str">
        <f ca="1">IF(J21="","",SUMIF(RRE!$J$13:$J$24,OFÍCIO!$I21,RRE!$N$13:$N$24))</f>
        <v/>
      </c>
      <c r="L21" s="516" t="str">
        <f ca="1">IF(K21="","",SUMIF(RRE!$J$13:$J$24,OFÍCIO!$I21,RRE!$O$13:$O$24))</f>
        <v/>
      </c>
    </row>
    <row r="22" spans="2:12" x14ac:dyDescent="0.2">
      <c r="B22" t="str">
        <f>IF(B11="GIGOV","Senhor Gerente","Senhor Superintendente")</f>
        <v>Senhor Gerente</v>
      </c>
      <c r="D22" s="47"/>
      <c r="E22" s="47"/>
      <c r="F22" s="47"/>
      <c r="G22" s="47"/>
      <c r="I22" s="514" t="str">
        <f ca="1">IF(ROW(I22)-ROW(L$5)&gt;MAX(RRE!$V$13:$V$24),"",INDEX(RRE!$J$13:$J$24,MATCH(ROW(I22)-ROW(I$5),RRE!$V$13:$V$24,0)))</f>
        <v/>
      </c>
      <c r="J22" s="515" t="str">
        <f ca="1">IF(I22="","",SUMIF(RRE!$J$13:$J$24,OFÍCIO!$I22,RRE!$L$13:$L$24))</f>
        <v/>
      </c>
      <c r="K22" s="515" t="str">
        <f ca="1">IF(J22="","",SUMIF(RRE!$J$13:$J$24,OFÍCIO!$I22,RRE!$N$13:$N$24))</f>
        <v/>
      </c>
      <c r="L22" s="516" t="str">
        <f ca="1">IF(K22="","",SUMIF(RRE!$J$13:$J$24,OFÍCIO!$I22,RRE!$O$13:$O$24))</f>
        <v/>
      </c>
    </row>
    <row r="23" spans="2:12" x14ac:dyDescent="0.2">
      <c r="B23" s="47"/>
      <c r="C23" s="47"/>
      <c r="D23" s="47"/>
      <c r="E23" s="47"/>
      <c r="F23" s="47"/>
      <c r="G23" s="47"/>
      <c r="I23" s="514" t="str">
        <f ca="1">IF(ROW(I23)-ROW(L$5)&gt;MAX(RRE!$V$13:$V$24),"",INDEX(RRE!$J$13:$J$24,MATCH(ROW(I23)-ROW(I$5),RRE!$V$13:$V$24,0)))</f>
        <v/>
      </c>
      <c r="J23" s="515" t="str">
        <f ca="1">IF(I23="","",SUMIF(RRE!$J$13:$J$24,OFÍCIO!$I23,RRE!$L$13:$L$24))</f>
        <v/>
      </c>
      <c r="K23" s="515" t="str">
        <f ca="1">IF(J23="","",SUMIF(RRE!$J$13:$J$24,OFÍCIO!$I23,RRE!$N$13:$N$24))</f>
        <v/>
      </c>
      <c r="L23" s="516" t="str">
        <f ca="1">IF(K23="","",SUMIF(RRE!$J$13:$J$24,OFÍCIO!$I23,RRE!$O$13:$O$24))</f>
        <v/>
      </c>
    </row>
    <row r="24" spans="2:12" ht="12.75" customHeight="1" x14ac:dyDescent="0.2">
      <c r="B24" s="727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727"/>
      <c r="D24" s="727"/>
      <c r="E24" s="727"/>
      <c r="F24" s="727"/>
      <c r="G24" s="727"/>
      <c r="I24" s="514" t="str">
        <f ca="1">IF(ROW(I24)-ROW(L$5)&gt;MAX(RRE!$V$13:$V$24),"",INDEX(RRE!$J$13:$J$24,MATCH(ROW(I24)-ROW(I$5),RRE!$V$13:$V$24,0)))</f>
        <v/>
      </c>
      <c r="J24" s="515" t="str">
        <f ca="1">IF(I24="","",SUMIF(RRE!$J$13:$J$24,OFÍCIO!$I24,RRE!$L$13:$L$24))</f>
        <v/>
      </c>
      <c r="K24" s="515" t="str">
        <f ca="1">IF(J24="","",SUMIF(RRE!$J$13:$J$24,OFÍCIO!$I24,RRE!$N$13:$N$24))</f>
        <v/>
      </c>
      <c r="L24" s="516" t="str">
        <f ca="1">IF(K24="","",SUMIF(RRE!$J$13:$J$24,OFÍCIO!$I24,RRE!$O$13:$O$24))</f>
        <v/>
      </c>
    </row>
    <row r="25" spans="2:12" x14ac:dyDescent="0.2">
      <c r="B25" s="727"/>
      <c r="C25" s="727"/>
      <c r="D25" s="727"/>
      <c r="E25" s="727"/>
      <c r="F25" s="727"/>
      <c r="G25" s="727"/>
      <c r="I25" s="514" t="str">
        <f ca="1">IF(ROW(I25)-ROW(L$5)&gt;MAX(RRE!$V$13:$V$24),"",INDEX(RRE!$J$13:$J$24,MATCH(ROW(I25)-ROW(I$5),RRE!$V$13:$V$24,0)))</f>
        <v/>
      </c>
      <c r="J25" s="515" t="str">
        <f ca="1">IF(I25="","",SUMIF(RRE!$J$13:$J$24,OFÍCIO!$I25,RRE!$L$13:$L$24))</f>
        <v/>
      </c>
      <c r="K25" s="515" t="str">
        <f ca="1">IF(J25="","",SUMIF(RRE!$J$13:$J$24,OFÍCIO!$I25,RRE!$N$13:$N$24))</f>
        <v/>
      </c>
      <c r="L25" s="516" t="str">
        <f ca="1">IF(K25="","",SUMIF(RRE!$J$13:$J$24,OFÍCIO!$I25,RRE!$O$13:$O$24))</f>
        <v/>
      </c>
    </row>
    <row r="26" spans="2:12" x14ac:dyDescent="0.2">
      <c r="B26" s="727"/>
      <c r="C26" s="727"/>
      <c r="D26" s="727"/>
      <c r="E26" s="727"/>
      <c r="F26" s="727"/>
      <c r="G26" s="727"/>
      <c r="I26" s="514" t="str">
        <f ca="1">IF(ROW(I26)-ROW(L$5)&gt;MAX(RRE!$V$13:$V$24),"",INDEX(RRE!$J$13:$J$24,MATCH(ROW(I26)-ROW(I$5),RRE!$V$13:$V$24,0)))</f>
        <v/>
      </c>
      <c r="J26" s="515" t="str">
        <f ca="1">IF(I26="","",SUMIF(RRE!$J$13:$J$24,OFÍCIO!$I26,RRE!$L$13:$L$24))</f>
        <v/>
      </c>
      <c r="K26" s="515" t="str">
        <f ca="1">IF(J26="","",SUMIF(RRE!$J$13:$J$24,OFÍCIO!$I26,RRE!$N$13:$N$24))</f>
        <v/>
      </c>
      <c r="L26" s="516" t="str">
        <f ca="1">IF(K26="","",SUMIF(RRE!$J$13:$J$24,OFÍCIO!$I26,RRE!$O$13:$O$24))</f>
        <v/>
      </c>
    </row>
    <row r="27" spans="2:12" x14ac:dyDescent="0.2">
      <c r="B27" s="47"/>
      <c r="C27" s="47"/>
      <c r="D27" s="47"/>
      <c r="E27" s="47"/>
      <c r="F27" s="47"/>
      <c r="G27" s="47"/>
      <c r="I27" s="514" t="str">
        <f ca="1">IF(ROW(I27)-ROW(L$5)&gt;MAX(RRE!$V$13:$V$24),"",INDEX(RRE!$J$13:$J$24,MATCH(ROW(I27)-ROW(I$5),RRE!$V$13:$V$24,0)))</f>
        <v/>
      </c>
      <c r="J27" s="515" t="str">
        <f ca="1">IF(I27="","",SUMIF(RRE!$J$13:$J$24,OFÍCIO!$I27,RRE!$L$13:$L$24))</f>
        <v/>
      </c>
      <c r="K27" s="515" t="str">
        <f ca="1">IF(J27="","",SUMIF(RRE!$J$13:$J$24,OFÍCIO!$I27,RRE!$N$13:$N$24))</f>
        <v/>
      </c>
      <c r="L27" s="516" t="str">
        <f ca="1">IF(K27="","",SUMIF(RRE!$J$13:$J$24,OFÍCIO!$I27,RRE!$O$13:$O$24))</f>
        <v/>
      </c>
    </row>
    <row r="28" spans="2:12" ht="12.75" customHeight="1" x14ac:dyDescent="0.2">
      <c r="B28" s="728"/>
      <c r="C28" s="728"/>
      <c r="D28" s="732" t="s">
        <v>395</v>
      </c>
      <c r="E28" s="732" t="str">
        <f ca="1">"Evolução da "&amp;RRE.Numero&amp;"ª Medição"</f>
        <v>Evolução da 1ª Medição</v>
      </c>
      <c r="F28" s="733" t="s">
        <v>396</v>
      </c>
      <c r="G28" s="733"/>
      <c r="I28" s="514" t="str">
        <f ca="1">IF(ROW(I28)-ROW(L$5)&gt;MAX(RRE!$V$13:$V$24),"",INDEX(RRE!$J$13:$J$24,MATCH(ROW(I28)-ROW(I$5),RRE!$V$13:$V$24,0)))</f>
        <v/>
      </c>
      <c r="J28" s="515" t="str">
        <f ca="1">IF(I28="","",SUMIF(RRE!$J$13:$J$24,OFÍCIO!$I28,RRE!$L$13:$L$24))</f>
        <v/>
      </c>
      <c r="K28" s="515" t="str">
        <f ca="1">IF(J28="","",SUMIF(RRE!$J$13:$J$24,OFÍCIO!$I28,RRE!$N$13:$N$24))</f>
        <v/>
      </c>
      <c r="L28" s="516" t="str">
        <f ca="1">IF(K28="","",SUMIF(RRE!$J$13:$J$24,OFÍCIO!$I28,RRE!$O$13:$O$24))</f>
        <v/>
      </c>
    </row>
    <row r="29" spans="2:12" x14ac:dyDescent="0.2">
      <c r="B29" s="728"/>
      <c r="C29" s="728"/>
      <c r="D29" s="732"/>
      <c r="E29" s="732"/>
      <c r="F29" s="733"/>
      <c r="G29" s="733"/>
      <c r="I29" s="514" t="str">
        <f ca="1">IF(ROW(I29)-ROW(L$5)&gt;MAX(RRE!$V$13:$V$24),"",INDEX(RRE!$J$13:$J$24,MATCH(ROW(I29)-ROW(I$5),RRE!$V$13:$V$24,0)))</f>
        <v/>
      </c>
      <c r="J29" s="515" t="str">
        <f ca="1">IF(I29="","",SUMIF(RRE!$J$13:$J$24,OFÍCIO!$I29,RRE!$L$13:$L$24))</f>
        <v/>
      </c>
      <c r="K29" s="515" t="str">
        <f ca="1">IF(J29="","",SUMIF(RRE!$J$13:$J$24,OFÍCIO!$I29,RRE!$N$13:$N$24))</f>
        <v/>
      </c>
      <c r="L29" s="516" t="str">
        <f ca="1">IF(K29="","",SUMIF(RRE!$J$13:$J$24,OFÍCIO!$I29,RRE!$O$13:$O$24))</f>
        <v/>
      </c>
    </row>
    <row r="30" spans="2:12" x14ac:dyDescent="0.2">
      <c r="B30" s="734" t="str">
        <f>IF(import.recurso="FGTS","Financiamento:","Repasse:")</f>
        <v>Repasse:</v>
      </c>
      <c r="C30" s="734"/>
      <c r="D30" s="445">
        <f ca="1">RRE!L25</f>
        <v>0</v>
      </c>
      <c r="E30" s="445">
        <f ca="1">RRE!N25</f>
        <v>0</v>
      </c>
      <c r="F30" s="735">
        <f ca="1">RRE!O25</f>
        <v>0</v>
      </c>
      <c r="G30" s="735"/>
      <c r="I30" s="514" t="str">
        <f ca="1">IF(ROW(I30)-ROW(L$5)&gt;MAX(RRE!$V$13:$V$24),"",INDEX(RRE!$J$13:$J$24,MATCH(ROW(I30)-ROW(I$5),RRE!$V$13:$V$24,0)))</f>
        <v/>
      </c>
      <c r="J30" s="515" t="str">
        <f ca="1">IF(I30="","",SUMIF(RRE!$J$13:$J$24,OFÍCIO!$I30,RRE!$L$13:$L$24))</f>
        <v/>
      </c>
      <c r="K30" s="515" t="str">
        <f ca="1">IF(J30="","",SUMIF(RRE!$J$13:$J$24,OFÍCIO!$I30,RRE!$N$13:$N$24))</f>
        <v/>
      </c>
      <c r="L30" s="516" t="str">
        <f ca="1">IF(K30="","",SUMIF(RRE!$J$13:$J$24,OFÍCIO!$I30,RRE!$O$13:$O$24))</f>
        <v/>
      </c>
    </row>
    <row r="31" spans="2:12" x14ac:dyDescent="0.2">
      <c r="B31" s="734" t="s">
        <v>397</v>
      </c>
      <c r="C31" s="734"/>
      <c r="D31" s="445">
        <f ca="1">RRE!L26</f>
        <v>0</v>
      </c>
      <c r="E31" s="445">
        <f ca="1">RRE!N26</f>
        <v>0</v>
      </c>
      <c r="F31" s="735">
        <f ca="1">RRE!O26</f>
        <v>0</v>
      </c>
      <c r="G31" s="735"/>
      <c r="I31" s="514" t="str">
        <f ca="1">IF(ROW(I31)-ROW(L$5)&gt;MAX(RRE!$V$13:$V$24),"",INDEX(RRE!$J$13:$J$24,MATCH(ROW(I31)-ROW(I$5),RRE!$V$13:$V$24,0)))</f>
        <v/>
      </c>
      <c r="J31" s="515" t="str">
        <f ca="1">IF(I31="","",SUMIF(RRE!$J$13:$J$24,OFÍCIO!$I31,RRE!$L$13:$L$24))</f>
        <v/>
      </c>
      <c r="K31" s="515" t="str">
        <f ca="1">IF(J31="","",SUMIF(RRE!$J$13:$J$24,OFÍCIO!$I31,RRE!$N$13:$N$24))</f>
        <v/>
      </c>
      <c r="L31" s="516" t="str">
        <f ca="1">IF(K31="","",SUMIF(RRE!$J$13:$J$24,OFÍCIO!$I31,RRE!$O$13:$O$24))</f>
        <v/>
      </c>
    </row>
    <row r="32" spans="2:12" x14ac:dyDescent="0.2">
      <c r="B32" s="734" t="s">
        <v>285</v>
      </c>
      <c r="C32" s="734"/>
      <c r="D32" s="445">
        <f ca="1">RRE!L27</f>
        <v>0</v>
      </c>
      <c r="E32" s="445">
        <f ca="1">RRE!N27</f>
        <v>0</v>
      </c>
      <c r="F32" s="735">
        <f ca="1">RRE!O27</f>
        <v>0</v>
      </c>
      <c r="G32" s="735"/>
      <c r="I32" s="514" t="str">
        <f ca="1">IF(ROW(I32)-ROW(L$5)&gt;MAX(RRE!$V$13:$V$24),"",INDEX(RRE!$J$13:$J$24,MATCH(ROW(I32)-ROW(I$5),RRE!$V$13:$V$24,0)))</f>
        <v/>
      </c>
      <c r="J32" s="515" t="str">
        <f ca="1">IF(I32="","",SUMIF(RRE!$J$13:$J$24,OFÍCIO!$I32,RRE!$L$13:$L$24))</f>
        <v/>
      </c>
      <c r="K32" s="515" t="str">
        <f ca="1">IF(J32="","",SUMIF(RRE!$J$13:$J$24,OFÍCIO!$I32,RRE!$N$13:$N$24))</f>
        <v/>
      </c>
      <c r="L32" s="516" t="str">
        <f ca="1">IF(K32="","",SUMIF(RRE!$J$13:$J$24,OFÍCIO!$I32,RRE!$O$13:$O$24))</f>
        <v/>
      </c>
    </row>
    <row r="33" spans="2:12" x14ac:dyDescent="0.2">
      <c r="B33" s="734" t="s">
        <v>286</v>
      </c>
      <c r="C33" s="734"/>
      <c r="D33" s="445">
        <f ca="1">RRE!L28</f>
        <v>0</v>
      </c>
      <c r="E33" s="445">
        <f ca="1">RRE!N28</f>
        <v>0</v>
      </c>
      <c r="F33" s="735">
        <f ca="1">RRE!O28</f>
        <v>0</v>
      </c>
      <c r="G33" s="735"/>
      <c r="I33" s="514" t="str">
        <f ca="1">IF(ROW(I33)-ROW(L$5)&gt;MAX(RRE!$V$13:$V$24),"",INDEX(RRE!$J$13:$J$24,MATCH(ROW(I33)-ROW(I$5),RRE!$V$13:$V$24,0)))</f>
        <v/>
      </c>
      <c r="J33" s="515" t="str">
        <f ca="1">IF(I33="","",SUMIF(RRE!$J$13:$J$24,OFÍCIO!$I33,RRE!$L$13:$L$24))</f>
        <v/>
      </c>
      <c r="K33" s="515" t="str">
        <f ca="1">IF(J33="","",SUMIF(RRE!$J$13:$J$24,OFÍCIO!$I33,RRE!$N$13:$N$24))</f>
        <v/>
      </c>
      <c r="L33" s="516" t="str">
        <f ca="1">IF(K33="","",SUMIF(RRE!$J$13:$J$24,OFÍCIO!$I33,RRE!$O$13:$O$24))</f>
        <v/>
      </c>
    </row>
    <row r="34" spans="2:12" x14ac:dyDescent="0.2">
      <c r="B34" s="738" t="s">
        <v>398</v>
      </c>
      <c r="C34" s="738"/>
      <c r="D34" s="446" t="s">
        <v>166</v>
      </c>
      <c r="E34" s="447">
        <f ca="1">RRE!$N$28/(RRE!$L$28+10^-12)</f>
        <v>0</v>
      </c>
      <c r="F34" s="739">
        <f ca="1">RRE!P24</f>
        <v>0</v>
      </c>
      <c r="G34" s="739"/>
      <c r="I34" s="514" t="str">
        <f ca="1">IF(ROW(I34)-ROW(L$5)&gt;MAX(RRE!$V$13:$V$24),"",INDEX(RRE!$J$13:$J$24,MATCH(ROW(I34)-ROW(I$5),RRE!$V$13:$V$24,0)))</f>
        <v/>
      </c>
      <c r="J34" s="515" t="str">
        <f ca="1">IF(I34="","",SUMIF(RRE!$J$13:$J$24,OFÍCIO!$I34,RRE!$L$13:$L$24))</f>
        <v/>
      </c>
      <c r="K34" s="515" t="str">
        <f ca="1">IF(J34="","",SUMIF(RRE!$J$13:$J$24,OFÍCIO!$I34,RRE!$N$13:$N$24))</f>
        <v/>
      </c>
      <c r="L34" s="516" t="str">
        <f ca="1">IF(K34="","",SUMIF(RRE!$J$13:$J$24,OFÍCIO!$I34,RRE!$O$13:$O$24))</f>
        <v/>
      </c>
    </row>
    <row r="35" spans="2:12" x14ac:dyDescent="0.2">
      <c r="B35" s="192"/>
      <c r="C35" s="47"/>
      <c r="D35" s="47"/>
      <c r="E35" s="47"/>
      <c r="F35" s="47"/>
      <c r="G35" s="47"/>
      <c r="I35" s="514" t="str">
        <f ca="1">IF(ROW(I35)-ROW(L$5)&gt;MAX(RRE!$V$13:$V$24),"",INDEX(RRE!$J$13:$J$24,MATCH(ROW(I35)-ROW(I$5),RRE!$V$13:$V$24,0)))</f>
        <v/>
      </c>
      <c r="J35" s="515" t="str">
        <f ca="1">IF(I35="","",SUMIF(RRE!$J$13:$J$24,OFÍCIO!$I35,RRE!$L$13:$L$24))</f>
        <v/>
      </c>
      <c r="K35" s="515" t="str">
        <f ca="1">IF(J35="","",SUMIF(RRE!$J$13:$J$24,OFÍCIO!$I35,RRE!$N$13:$N$24))</f>
        <v/>
      </c>
      <c r="L35" s="516" t="str">
        <f ca="1">IF(K35="","",SUMIF(RRE!$J$13:$J$24,OFÍCIO!$I35,RRE!$O$13:$O$24))</f>
        <v/>
      </c>
    </row>
    <row r="36" spans="2:12" x14ac:dyDescent="0.2">
      <c r="B36" s="192"/>
      <c r="C36" s="192"/>
      <c r="D36" s="192"/>
      <c r="E36" s="192"/>
      <c r="F36" s="192"/>
      <c r="G36" s="47"/>
      <c r="I36" s="514" t="str">
        <f ca="1">IF(ROW(I36)-ROW(L$5)&gt;MAX(RRE!$V$13:$V$24),"",INDEX(RRE!$J$13:$J$24,MATCH(ROW(I36)-ROW(I$5),RRE!$V$13:$V$24,0)))</f>
        <v/>
      </c>
      <c r="J36" s="515" t="str">
        <f ca="1">IF(I36="","",SUMIF(RRE!$J$13:$J$24,OFÍCIO!$I36,RRE!$L$13:$L$24))</f>
        <v/>
      </c>
      <c r="K36" s="515" t="str">
        <f ca="1">IF(J36="","",SUMIF(RRE!$J$13:$J$24,OFÍCIO!$I36,RRE!$N$13:$N$24))</f>
        <v/>
      </c>
      <c r="L36" s="516" t="str">
        <f ca="1">IF(K36="","",SUMIF(RRE!$J$13:$J$24,OFÍCIO!$I36,RRE!$O$13:$O$24))</f>
        <v/>
      </c>
    </row>
    <row r="37" spans="2:12" x14ac:dyDescent="0.2">
      <c r="B37" s="740" t="str">
        <f ca="1">IF(RRE.Numero&gt;1,"2. Encaminhamos ainda a documentação relativa à prestação de contas da etapa físico-financeira anterior.","")</f>
        <v/>
      </c>
      <c r="C37" s="740"/>
      <c r="D37" s="740"/>
      <c r="E37" s="740"/>
      <c r="F37" s="740"/>
      <c r="G37" s="740"/>
      <c r="I37" s="514" t="str">
        <f ca="1">IF(ROW(I37)-ROW(L$5)&gt;MAX(RRE!$V$13:$V$24),"",INDEX(RRE!$J$13:$J$24,MATCH(ROW(I37)-ROW(I$5),RRE!$V$13:$V$24,0)))</f>
        <v/>
      </c>
      <c r="J37" s="515" t="str">
        <f ca="1">IF(I37="","",SUMIF(RRE!$J$13:$J$24,OFÍCIO!$I37,RRE!$L$13:$L$24))</f>
        <v/>
      </c>
      <c r="K37" s="515" t="str">
        <f ca="1">IF(J37="","",SUMIF(RRE!$J$13:$J$24,OFÍCIO!$I37,RRE!$N$13:$N$24))</f>
        <v/>
      </c>
      <c r="L37" s="516" t="str">
        <f ca="1">IF(K37="","",SUMIF(RRE!$J$13:$J$24,OFÍCIO!$I37,RRE!$O$13:$O$24))</f>
        <v/>
      </c>
    </row>
    <row r="38" spans="2:12" x14ac:dyDescent="0.2">
      <c r="B38" s="740"/>
      <c r="C38" s="740"/>
      <c r="D38" s="740"/>
      <c r="E38" s="740"/>
      <c r="F38" s="740"/>
      <c r="G38" s="740"/>
      <c r="I38" s="514" t="str">
        <f ca="1">IF(ROW(I38)-ROW(L$5)&gt;MAX(RRE!$V$13:$V$24),"",INDEX(RRE!$J$13:$J$24,MATCH(ROW(I38)-ROW(I$5),RRE!$V$13:$V$24,0)))</f>
        <v/>
      </c>
      <c r="J38" s="515" t="str">
        <f ca="1">IF(I38="","",SUMIF(RRE!$J$13:$J$24,OFÍCIO!$I38,RRE!$L$13:$L$24))</f>
        <v/>
      </c>
      <c r="K38" s="515" t="str">
        <f ca="1">IF(J38="","",SUMIF(RRE!$J$13:$J$24,OFÍCIO!$I38,RRE!$N$13:$N$24))</f>
        <v/>
      </c>
      <c r="L38" s="516" t="str">
        <f ca="1">IF(K38="","",SUMIF(RRE!$J$13:$J$24,OFÍCIO!$I38,RRE!$O$13:$O$24))</f>
        <v/>
      </c>
    </row>
    <row r="39" spans="2:12" ht="12.75" customHeight="1" x14ac:dyDescent="0.2">
      <c r="B39" s="740" t="str">
        <f ca="1">IF(AND(RRE.Numero&gt;1,NOT(ISBLANK(Import.TransfereGOV))),"3. Na oportunidade, informamos que a execução financeira da parcela anterior está devidamente comprovada no TransfereGOV.","")</f>
        <v/>
      </c>
      <c r="C39" s="740"/>
      <c r="D39" s="740"/>
      <c r="E39" s="740"/>
      <c r="F39" s="740"/>
      <c r="G39" s="740"/>
      <c r="I39" s="514" t="str">
        <f ca="1">IF(ROW(I39)-ROW(L$5)&gt;MAX(RRE!$V$13:$V$24),"",INDEX(RRE!$J$13:$J$24,MATCH(ROW(I39)-ROW(I$5),RRE!$V$13:$V$24,0)))</f>
        <v/>
      </c>
      <c r="J39" s="515" t="str">
        <f ca="1">IF(I39="","",SUMIF(RRE!$J$13:$J$24,OFÍCIO!$I39,RRE!$L$13:$L$24))</f>
        <v/>
      </c>
      <c r="K39" s="515" t="str">
        <f ca="1">IF(J39="","",SUMIF(RRE!$J$13:$J$24,OFÍCIO!$I39,RRE!$N$13:$N$24))</f>
        <v/>
      </c>
      <c r="L39" s="516" t="str">
        <f ca="1">IF(K39="","",SUMIF(RRE!$J$13:$J$24,OFÍCIO!$I39,RRE!$O$13:$O$24))</f>
        <v/>
      </c>
    </row>
    <row r="40" spans="2:12" x14ac:dyDescent="0.2">
      <c r="B40" s="740"/>
      <c r="C40" s="740"/>
      <c r="D40" s="740"/>
      <c r="E40" s="740"/>
      <c r="F40" s="740"/>
      <c r="G40" s="740"/>
      <c r="I40" s="514" t="str">
        <f ca="1">IF(ROW(I40)-ROW(L$5)&gt;MAX(RRE!$V$13:$V$24),"",INDEX(RRE!$J$13:$J$24,MATCH(ROW(I40)-ROW(I$5),RRE!$V$13:$V$24,0)))</f>
        <v/>
      </c>
      <c r="J40" s="515" t="str">
        <f ca="1">IF(I40="","",SUMIF(RRE!$J$13:$J$24,OFÍCIO!$I40,RRE!$L$13:$L$24))</f>
        <v/>
      </c>
      <c r="K40" s="515" t="str">
        <f ca="1">IF(J40="","",SUMIF(RRE!$J$13:$J$24,OFÍCIO!$I40,RRE!$N$13:$N$24))</f>
        <v/>
      </c>
      <c r="L40" s="516" t="str">
        <f ca="1">IF(K40="","",SUMIF(RRE!$J$13:$J$24,OFÍCIO!$I40,RRE!$O$13:$O$24))</f>
        <v/>
      </c>
    </row>
    <row r="41" spans="2:12" x14ac:dyDescent="0.2">
      <c r="B41" s="448"/>
      <c r="C41" s="443"/>
      <c r="D41" s="443"/>
      <c r="E41" s="443"/>
      <c r="F41" s="443"/>
      <c r="G41" s="443"/>
      <c r="I41" s="514" t="str">
        <f ca="1">IF(ROW(I41)-ROW(L$5)&gt;MAX(RRE!$V$13:$V$24),"",INDEX(RRE!$J$13:$J$24,MATCH(ROW(I41)-ROW(I$5),RRE!$V$13:$V$24,0)))</f>
        <v/>
      </c>
      <c r="J41" s="515" t="str">
        <f ca="1">IF(I41="","",SUMIF(RRE!$J$13:$J$24,OFÍCIO!$I41,RRE!$L$13:$L$24))</f>
        <v/>
      </c>
      <c r="K41" s="515" t="str">
        <f ca="1">IF(J41="","",SUMIF(RRE!$J$13:$J$24,OFÍCIO!$I41,RRE!$N$13:$N$24))</f>
        <v/>
      </c>
      <c r="L41" s="516" t="str">
        <f ca="1">IF(K41="","",SUMIF(RRE!$J$13:$J$24,OFÍCIO!$I41,RRE!$O$13:$O$24))</f>
        <v/>
      </c>
    </row>
    <row r="42" spans="2:12" ht="12.75" customHeight="1" x14ac:dyDescent="0.2">
      <c r="B42" s="74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740"/>
      <c r="D42" s="740"/>
      <c r="E42" s="740"/>
      <c r="F42" s="740"/>
      <c r="G42" s="740"/>
      <c r="I42" s="514" t="str">
        <f ca="1">IF(ROW(I42)-ROW(L$5)&gt;MAX(RRE!$V$13:$V$24),"",INDEX(RRE!$J$13:$J$24,MATCH(ROW(I42)-ROW(I$5),RRE!$V$13:$V$24,0)))</f>
        <v/>
      </c>
      <c r="J42" s="515" t="str">
        <f ca="1">IF(I42="","",SUMIF(RRE!$J$13:$J$24,OFÍCIO!$I42,RRE!$L$13:$L$24))</f>
        <v/>
      </c>
      <c r="K42" s="515" t="str">
        <f ca="1">IF(J42="","",SUMIF(RRE!$J$13:$J$24,OFÍCIO!$I42,RRE!$N$13:$N$24))</f>
        <v/>
      </c>
      <c r="L42" s="516" t="str">
        <f ca="1">IF(K42="","",SUMIF(RRE!$J$13:$J$24,OFÍCIO!$I42,RRE!$O$13:$O$24))</f>
        <v/>
      </c>
    </row>
    <row r="43" spans="2:12" x14ac:dyDescent="0.2">
      <c r="B43" s="740"/>
      <c r="C43" s="740"/>
      <c r="D43" s="740"/>
      <c r="E43" s="740"/>
      <c r="F43" s="740"/>
      <c r="G43" s="740"/>
      <c r="I43" s="514" t="str">
        <f ca="1">IF(ROW(I43)-ROW(L$5)&gt;MAX(RRE!$V$13:$V$24),"",INDEX(RRE!$J$13:$J$24,MATCH(ROW(I43)-ROW(I$5),RRE!$V$13:$V$24,0)))</f>
        <v/>
      </c>
      <c r="J43" s="515" t="str">
        <f ca="1">IF(I43="","",SUMIF(RRE!$J$13:$J$24,OFÍCIO!$I43,RRE!$L$13:$L$24))</f>
        <v/>
      </c>
      <c r="K43" s="515" t="str">
        <f ca="1">IF(J43="","",SUMIF(RRE!$J$13:$J$24,OFÍCIO!$I43,RRE!$N$13:$N$24))</f>
        <v/>
      </c>
      <c r="L43" s="516" t="str">
        <f ca="1">IF(K43="","",SUMIF(RRE!$J$13:$J$24,OFÍCIO!$I43,RRE!$O$13:$O$24))</f>
        <v/>
      </c>
    </row>
    <row r="44" spans="2:12" x14ac:dyDescent="0.2">
      <c r="B44" s="740"/>
      <c r="C44" s="740"/>
      <c r="D44" s="740"/>
      <c r="E44" s="740"/>
      <c r="F44" s="740"/>
      <c r="G44" s="740"/>
      <c r="I44" s="514" t="str">
        <f ca="1">IF(ROW(I44)-ROW(L$5)&gt;MAX(RRE!$V$13:$V$24),"",INDEX(RRE!$J$13:$J$24,MATCH(ROW(I44)-ROW(I$5),RRE!$V$13:$V$24,0)))</f>
        <v/>
      </c>
      <c r="J44" s="515" t="str">
        <f ca="1">IF(I44="","",SUMIF(RRE!$J$13:$J$24,OFÍCIO!$I44,RRE!$L$13:$L$24))</f>
        <v/>
      </c>
      <c r="K44" s="515" t="str">
        <f ca="1">IF(J44="","",SUMIF(RRE!$J$13:$J$24,OFÍCIO!$I44,RRE!$N$13:$N$24))</f>
        <v/>
      </c>
      <c r="L44" s="516" t="str">
        <f ca="1">IF(K44="","",SUMIF(RRE!$J$13:$J$24,OFÍCIO!$I44,RRE!$O$13:$O$24))</f>
        <v/>
      </c>
    </row>
    <row r="45" spans="2:12" x14ac:dyDescent="0.2">
      <c r="B45" s="740"/>
      <c r="C45" s="740"/>
      <c r="D45" s="740"/>
      <c r="E45" s="740"/>
      <c r="F45" s="740"/>
      <c r="G45" s="740"/>
      <c r="I45" s="514" t="str">
        <f ca="1">IF(ROW(I45)-ROW(L$5)&gt;MAX(RRE!$V$13:$V$24),"",INDEX(RRE!$J$13:$J$24,MATCH(ROW(I45)-ROW(I$5),RRE!$V$13:$V$24,0)))</f>
        <v/>
      </c>
      <c r="J45" s="515" t="str">
        <f ca="1">IF(I45="","",SUMIF(RRE!$J$13:$J$24,OFÍCIO!$I45,RRE!$L$13:$L$24))</f>
        <v/>
      </c>
      <c r="K45" s="515" t="str">
        <f ca="1">IF(J45="","",SUMIF(RRE!$J$13:$J$24,OFÍCIO!$I45,RRE!$N$13:$N$24))</f>
        <v/>
      </c>
      <c r="L45" s="516" t="str">
        <f ca="1">IF(K45="","",SUMIF(RRE!$J$13:$J$24,OFÍCIO!$I45,RRE!$O$13:$O$24))</f>
        <v/>
      </c>
    </row>
    <row r="46" spans="2:12" ht="13.5" thickBot="1" x14ac:dyDescent="0.25">
      <c r="B46" s="740"/>
      <c r="C46" s="740"/>
      <c r="D46" s="740"/>
      <c r="E46" s="740"/>
      <c r="F46" s="740"/>
      <c r="G46" s="740"/>
      <c r="I46" s="517" t="str">
        <f ca="1">IF(ROW(I46)-ROW(L$5)&gt;MAX(RRE!$V$13:$V$24),"",INDEX(RRE!$J$13:$J$24,MATCH(ROW(I46)-ROW(I$5),RRE!$V$13:$V$24,0)))</f>
        <v/>
      </c>
      <c r="J46" s="518" t="str">
        <f ca="1">IF(I46="","",SUMIF(RRE!$J$13:$J$24,OFÍCIO!$I46,RRE!$L$13:$L$24))</f>
        <v/>
      </c>
      <c r="K46" s="518" t="str">
        <f ca="1">IF(J46="","",SUMIF(RRE!$J$13:$J$24,OFÍCIO!$I46,RRE!$N$13:$N$24))</f>
        <v/>
      </c>
      <c r="L46" s="519" t="str">
        <f ca="1">IF(K46="","",SUMIF(RRE!$J$13:$J$24,OFÍCIO!$I46,RRE!$O$13:$O$24))</f>
        <v/>
      </c>
    </row>
    <row r="47" spans="2:12" x14ac:dyDescent="0.2">
      <c r="G47" s="315"/>
    </row>
    <row r="48" spans="2:12" x14ac:dyDescent="0.2">
      <c r="G48" s="315"/>
    </row>
    <row r="49" spans="2:7" x14ac:dyDescent="0.2">
      <c r="B49" s="47" t="s">
        <v>399</v>
      </c>
      <c r="G49" s="315"/>
    </row>
    <row r="50" spans="2:7" x14ac:dyDescent="0.2">
      <c r="B50" s="315"/>
      <c r="C50" s="315"/>
      <c r="D50" s="315"/>
      <c r="E50" s="315"/>
      <c r="F50" s="315"/>
      <c r="G50" s="315"/>
    </row>
    <row r="51" spans="2:7" x14ac:dyDescent="0.2">
      <c r="B51" s="47"/>
      <c r="C51" s="47"/>
      <c r="D51" s="47"/>
      <c r="E51" s="47"/>
      <c r="F51" s="47"/>
      <c r="G51" s="47"/>
    </row>
    <row r="52" spans="2:7" x14ac:dyDescent="0.2">
      <c r="B52" s="47"/>
      <c r="C52" s="47"/>
      <c r="D52" s="47"/>
      <c r="E52" s="47"/>
      <c r="F52" s="47"/>
      <c r="G52" s="47"/>
    </row>
    <row r="53" spans="2:7" x14ac:dyDescent="0.2">
      <c r="B53" s="449"/>
      <c r="C53" s="449"/>
      <c r="D53" s="449"/>
      <c r="E53" s="47"/>
      <c r="F53" s="47"/>
      <c r="G53" s="47"/>
    </row>
    <row r="54" spans="2:7" x14ac:dyDescent="0.2">
      <c r="B54" s="736" t="str">
        <f>DADOS!$F$28</f>
        <v>ANTÔNIO CERON</v>
      </c>
      <c r="C54" s="736"/>
      <c r="D54" s="736"/>
      <c r="E54" s="736"/>
      <c r="F54" s="736"/>
      <c r="G54" s="736"/>
    </row>
    <row r="55" spans="2:7" x14ac:dyDescent="0.2">
      <c r="B55" s="736" t="str">
        <f>DADOS!$F$29</f>
        <v>PREFEITO MUNICIPAL</v>
      </c>
      <c r="C55" s="736"/>
      <c r="D55" s="736"/>
      <c r="E55" s="736"/>
      <c r="F55" s="736"/>
      <c r="G55" s="736"/>
    </row>
    <row r="56" spans="2:7" x14ac:dyDescent="0.2">
      <c r="B56" s="737"/>
      <c r="C56" s="737"/>
      <c r="D56" s="737"/>
      <c r="E56" s="737"/>
      <c r="F56" s="737"/>
      <c r="G56" s="737"/>
    </row>
  </sheetData>
  <sheetProtection algorithmName="SHA-512" hashValue="YjMpdP9dKpnIqsVwTsTIA5x706cY8tKJvN7tE5lyTjtIcQSlcjNYzn6xcO0VKi49G5iTMh9nnmrNB7ZnZ/SpZg==" saltValue="QTskv9jCpvOmE7LhXhCtgw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8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Licitacao36</cp:lastModifiedBy>
  <cp:revision>5</cp:revision>
  <cp:lastPrinted>2024-07-03T18:14:29Z</cp:lastPrinted>
  <dcterms:created xsi:type="dcterms:W3CDTF">1997-01-10T22:22:50Z</dcterms:created>
  <dcterms:modified xsi:type="dcterms:W3CDTF">2024-12-13T13:18:42Z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2023-11-21T19:16:23Z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a35afa61-0e86-4f3f-84ac-6edb60dde1d6</vt:lpwstr>
  </property>
  <property fmtid="{D5CDD505-2E9C-101B-9397-08002B2CF9AE}" pid="8" name="MSIP_Label_fde7aacd-7cc4-4c31-9e6f-7ef306428f09_ContentBits">
    <vt:lpwstr>1</vt:lpwstr>
  </property>
</Properties>
</file>