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0" windowWidth="22995" windowHeight="9120" tabRatio="613" activeTab="2"/>
  </bookViews>
  <sheets>
    <sheet name="Dados iniciais " sheetId="1" r:id="rId1"/>
    <sheet name="Orçamento" sheetId="2" r:id="rId2"/>
    <sheet name="Cronograma" sheetId="4" r:id="rId3"/>
  </sheets>
  <definedNames>
    <definedName name="_xlnm.Print_Area" localSheetId="2">Cronograma!$A$1:$T$67</definedName>
    <definedName name="_xlnm.Print_Area" localSheetId="0">'Dados iniciais '!$A$1:$K$41</definedName>
    <definedName name="_xlnm.Print_Area" localSheetId="1">Orçamento!$A$1:$M$65</definedName>
    <definedName name="_xlnm.Print_Titles" localSheetId="2">Cronograma!$1:$9</definedName>
    <definedName name="_xlnm.Print_Titles" localSheetId="1">Orçamento!$1:$9</definedName>
  </definedNames>
  <calcPr calcId="124519"/>
</workbook>
</file>

<file path=xl/calcChain.xml><?xml version="1.0" encoding="utf-8"?>
<calcChain xmlns="http://schemas.openxmlformats.org/spreadsheetml/2006/main">
  <c r="H31" i="2"/>
  <c r="B13" i="4" l="1"/>
  <c r="B21"/>
  <c r="T12" l="1"/>
  <c r="T14"/>
  <c r="T15"/>
  <c r="T16"/>
  <c r="T17"/>
  <c r="T18"/>
  <c r="T19"/>
  <c r="T20"/>
  <c r="T22"/>
  <c r="T23"/>
  <c r="T24"/>
  <c r="T25"/>
  <c r="T26"/>
  <c r="T27"/>
  <c r="T28"/>
  <c r="T29"/>
  <c r="T30"/>
  <c r="T31"/>
  <c r="T33"/>
  <c r="T34"/>
  <c r="T35"/>
  <c r="T36"/>
  <c r="T37"/>
  <c r="T39"/>
  <c r="T40"/>
  <c r="T41"/>
  <c r="T42"/>
  <c r="T43"/>
  <c r="T44"/>
  <c r="T45"/>
  <c r="F12"/>
  <c r="K12" s="1"/>
  <c r="F14"/>
  <c r="O14" s="1"/>
  <c r="F15"/>
  <c r="K15" s="1"/>
  <c r="F16"/>
  <c r="G16" s="1"/>
  <c r="F17"/>
  <c r="K17" s="1"/>
  <c r="F18"/>
  <c r="O18" s="1"/>
  <c r="F19"/>
  <c r="K19" s="1"/>
  <c r="F20"/>
  <c r="G20" s="1"/>
  <c r="F22"/>
  <c r="I22" s="1"/>
  <c r="F23"/>
  <c r="M23" s="1"/>
  <c r="F24"/>
  <c r="Q24" s="1"/>
  <c r="F25"/>
  <c r="G25" s="1"/>
  <c r="F26"/>
  <c r="I26" s="1"/>
  <c r="F27"/>
  <c r="M27" s="1"/>
  <c r="F28"/>
  <c r="G28" s="1"/>
  <c r="F31"/>
  <c r="K31" s="1"/>
  <c r="F33"/>
  <c r="O33" s="1"/>
  <c r="F34"/>
  <c r="K34" s="1"/>
  <c r="F35"/>
  <c r="G35" s="1"/>
  <c r="F36"/>
  <c r="I36" s="1"/>
  <c r="F37"/>
  <c r="I37" s="1"/>
  <c r="F39"/>
  <c r="Q39" s="1"/>
  <c r="F40"/>
  <c r="G40" s="1"/>
  <c r="F41"/>
  <c r="I41" s="1"/>
  <c r="F42"/>
  <c r="M42" s="1"/>
  <c r="F43"/>
  <c r="Q43" s="1"/>
  <c r="F44"/>
  <c r="G44" s="1"/>
  <c r="F45"/>
  <c r="G45" s="1"/>
  <c r="F11"/>
  <c r="B11"/>
  <c r="B12"/>
  <c r="B14"/>
  <c r="B15"/>
  <c r="B16"/>
  <c r="B17"/>
  <c r="B18"/>
  <c r="B19"/>
  <c r="B20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10"/>
  <c r="H44" i="2"/>
  <c r="H43"/>
  <c r="H40"/>
  <c r="H39"/>
  <c r="H36"/>
  <c r="H38" s="1"/>
  <c r="H33"/>
  <c r="L26"/>
  <c r="L25"/>
  <c r="I20" i="4" l="1"/>
  <c r="O24"/>
  <c r="M43"/>
  <c r="Q15"/>
  <c r="K40"/>
  <c r="O39"/>
  <c r="M24"/>
  <c r="M22"/>
  <c r="Q28"/>
  <c r="O37"/>
  <c r="M28"/>
  <c r="Q12"/>
  <c r="O43"/>
  <c r="K37"/>
  <c r="K28"/>
  <c r="Q19"/>
  <c r="I12"/>
  <c r="I28"/>
  <c r="I19"/>
  <c r="M39"/>
  <c r="G24"/>
  <c r="M16"/>
  <c r="G37"/>
  <c r="O19"/>
  <c r="M19"/>
  <c r="G39"/>
  <c r="O22"/>
  <c r="K16"/>
  <c r="Q37"/>
  <c r="O34"/>
  <c r="O26"/>
  <c r="O15"/>
  <c r="K42"/>
  <c r="I34"/>
  <c r="G26"/>
  <c r="I15"/>
  <c r="I42"/>
  <c r="M37"/>
  <c r="G34"/>
  <c r="Q25"/>
  <c r="G22"/>
  <c r="G19"/>
  <c r="G15"/>
  <c r="M35"/>
  <c r="G43"/>
  <c r="Q42"/>
  <c r="Q20"/>
  <c r="Q34"/>
  <c r="Q44"/>
  <c r="M33"/>
  <c r="K25"/>
  <c r="Q17"/>
  <c r="I44"/>
  <c r="I40"/>
  <c r="K33"/>
  <c r="O28"/>
  <c r="I25"/>
  <c r="K20"/>
  <c r="I17"/>
  <c r="O12"/>
  <c r="G41"/>
  <c r="G36"/>
  <c r="I31"/>
  <c r="K27"/>
  <c r="K23"/>
  <c r="M18"/>
  <c r="M14"/>
  <c r="O44"/>
  <c r="Q40"/>
  <c r="G31"/>
  <c r="I27"/>
  <c r="I23"/>
  <c r="K18"/>
  <c r="G17"/>
  <c r="K14"/>
  <c r="G12"/>
  <c r="Q45"/>
  <c r="M44"/>
  <c r="K43"/>
  <c r="G42"/>
  <c r="O40"/>
  <c r="K39"/>
  <c r="Q35"/>
  <c r="M34"/>
  <c r="I33"/>
  <c r="G27"/>
  <c r="O25"/>
  <c r="K24"/>
  <c r="G23"/>
  <c r="O20"/>
  <c r="I18"/>
  <c r="Q16"/>
  <c r="M15"/>
  <c r="I14"/>
  <c r="O45"/>
  <c r="K44"/>
  <c r="I43"/>
  <c r="Q41"/>
  <c r="M40"/>
  <c r="I39"/>
  <c r="Q36"/>
  <c r="O35"/>
  <c r="G33"/>
  <c r="Q26"/>
  <c r="M25"/>
  <c r="I24"/>
  <c r="Q22"/>
  <c r="M20"/>
  <c r="G18"/>
  <c r="O16"/>
  <c r="G14"/>
  <c r="O36"/>
  <c r="K45"/>
  <c r="M41"/>
  <c r="M36"/>
  <c r="K35"/>
  <c r="O31"/>
  <c r="Q27"/>
  <c r="I45"/>
  <c r="O42"/>
  <c r="K41"/>
  <c r="K36"/>
  <c r="I35"/>
  <c r="Q33"/>
  <c r="M31"/>
  <c r="O27"/>
  <c r="K26"/>
  <c r="O23"/>
  <c r="K22"/>
  <c r="Q18"/>
  <c r="M17"/>
  <c r="I16"/>
  <c r="Q14"/>
  <c r="M12"/>
  <c r="M45"/>
  <c r="O41"/>
  <c r="Q31"/>
  <c r="M26"/>
  <c r="Q23"/>
  <c r="O17"/>
  <c r="H16" i="2"/>
  <c r="S22" i="4" l="1"/>
  <c r="S39"/>
  <c r="S16"/>
  <c r="S37"/>
  <c r="S28"/>
  <c r="S19"/>
  <c r="S15"/>
  <c r="S40"/>
  <c r="S44"/>
  <c r="S31"/>
  <c r="S45"/>
  <c r="S25"/>
  <c r="S34"/>
  <c r="S26"/>
  <c r="S43"/>
  <c r="S35"/>
  <c r="S12"/>
  <c r="S33"/>
  <c r="S17"/>
  <c r="S41"/>
  <c r="S18"/>
  <c r="S27"/>
  <c r="S36"/>
  <c r="S20"/>
  <c r="S42"/>
  <c r="S23"/>
  <c r="S14"/>
  <c r="S24"/>
  <c r="K64"/>
  <c r="H49" i="2" l="1"/>
  <c r="H48"/>
  <c r="H11"/>
  <c r="H47" l="1"/>
  <c r="H46"/>
  <c r="H37"/>
  <c r="H21"/>
  <c r="H20"/>
  <c r="H17"/>
  <c r="H18" s="1"/>
  <c r="L18" l="1"/>
  <c r="K17"/>
  <c r="M17" s="1"/>
  <c r="L17"/>
  <c r="K18" l="1"/>
  <c r="M18" s="1"/>
  <c r="K21"/>
  <c r="M21" s="1"/>
  <c r="L21"/>
  <c r="K47" l="1"/>
  <c r="M47" s="1"/>
  <c r="L47"/>
  <c r="L28"/>
  <c r="L27"/>
  <c r="H24"/>
  <c r="H27" l="1"/>
  <c r="H25"/>
  <c r="H32"/>
  <c r="H29"/>
  <c r="H30"/>
  <c r="K25" l="1"/>
  <c r="M25" s="1"/>
  <c r="H26"/>
  <c r="K26" s="1"/>
  <c r="M26" s="1"/>
  <c r="H28"/>
  <c r="K28" s="1"/>
  <c r="M28" s="1"/>
  <c r="K27"/>
  <c r="M27" s="1"/>
  <c r="K39" l="1"/>
  <c r="K40"/>
  <c r="K38"/>
  <c r="L38"/>
  <c r="M38" s="1"/>
  <c r="L39"/>
  <c r="M39" s="1"/>
  <c r="L40"/>
  <c r="M40" s="1"/>
  <c r="J64" i="4" l="1"/>
  <c r="F61"/>
  <c r="F59"/>
  <c r="T11"/>
  <c r="T6"/>
  <c r="E6"/>
  <c r="A6"/>
  <c r="E5"/>
  <c r="E4"/>
  <c r="D2"/>
  <c r="D1"/>
  <c r="G62" i="2"/>
  <c r="G60"/>
  <c r="B53"/>
  <c r="L49"/>
  <c r="K49"/>
  <c r="M49" s="1"/>
  <c r="L48"/>
  <c r="K48"/>
  <c r="M48" s="1"/>
  <c r="L46"/>
  <c r="K46"/>
  <c r="M46" s="1"/>
  <c r="L45"/>
  <c r="K45"/>
  <c r="M45" s="1"/>
  <c r="L44"/>
  <c r="K44"/>
  <c r="M44" s="1"/>
  <c r="L43"/>
  <c r="K43"/>
  <c r="M43" s="1"/>
  <c r="L37"/>
  <c r="K37"/>
  <c r="M37" s="1"/>
  <c r="L36"/>
  <c r="M36" s="1"/>
  <c r="K36"/>
  <c r="L33"/>
  <c r="K33"/>
  <c r="M33" s="1"/>
  <c r="L32"/>
  <c r="L31"/>
  <c r="K32"/>
  <c r="L30"/>
  <c r="K30"/>
  <c r="M30" s="1"/>
  <c r="L29"/>
  <c r="K29"/>
  <c r="M29" s="1"/>
  <c r="L24"/>
  <c r="K24"/>
  <c r="M24" s="1"/>
  <c r="L20"/>
  <c r="L19"/>
  <c r="K19"/>
  <c r="M19" s="1"/>
  <c r="L16"/>
  <c r="K20"/>
  <c r="M20" s="1"/>
  <c r="L15"/>
  <c r="K15"/>
  <c r="M15" s="1"/>
  <c r="L12"/>
  <c r="K12"/>
  <c r="M12" s="1"/>
  <c r="L11"/>
  <c r="K11"/>
  <c r="M11" s="1"/>
  <c r="M6"/>
  <c r="F6"/>
  <c r="A6"/>
  <c r="F5"/>
  <c r="F4"/>
  <c r="E2"/>
  <c r="E1"/>
  <c r="C34" i="1"/>
  <c r="E31"/>
  <c r="M41" i="2" l="1"/>
  <c r="M50"/>
  <c r="M13"/>
  <c r="G11" i="4"/>
  <c r="M32" i="2"/>
  <c r="F30" i="4" s="1"/>
  <c r="K16" i="2"/>
  <c r="M16" s="1"/>
  <c r="K31"/>
  <c r="M31" s="1"/>
  <c r="F29" i="4" s="1"/>
  <c r="G30" l="1"/>
  <c r="M30"/>
  <c r="K30"/>
  <c r="Q30"/>
  <c r="I30"/>
  <c r="O30"/>
  <c r="K29"/>
  <c r="Q29"/>
  <c r="I29"/>
  <c r="S47"/>
  <c r="G29"/>
  <c r="M29"/>
  <c r="O29"/>
  <c r="Q11"/>
  <c r="I11"/>
  <c r="K11"/>
  <c r="M11"/>
  <c r="O11"/>
  <c r="M34" i="2"/>
  <c r="M22"/>
  <c r="S29" i="4" l="1"/>
  <c r="K46"/>
  <c r="S30"/>
  <c r="I46"/>
  <c r="G46"/>
  <c r="M51" i="2"/>
  <c r="O52" s="1"/>
  <c r="S11" i="4"/>
  <c r="Q46"/>
  <c r="M46"/>
  <c r="O46"/>
  <c r="S46" l="1"/>
  <c r="T47" s="1"/>
  <c r="L46"/>
  <c r="P46"/>
  <c r="J46"/>
  <c r="N46"/>
  <c r="H46"/>
  <c r="G47" l="1"/>
  <c r="I47" s="1"/>
  <c r="K47" s="1"/>
  <c r="M47" s="1"/>
  <c r="O47" s="1"/>
  <c r="Q47" s="1"/>
  <c r="B49"/>
  <c r="T46"/>
  <c r="H47"/>
  <c r="J47" s="1"/>
  <c r="L47" s="1"/>
  <c r="N47" s="1"/>
  <c r="P47" s="1"/>
</calcChain>
</file>

<file path=xl/comments1.xml><?xml version="1.0" encoding="utf-8"?>
<comments xmlns="http://schemas.openxmlformats.org/spreadsheetml/2006/main">
  <authors>
    <author>cliente</author>
  </authors>
  <commentList>
    <comment ref="M7" authorId="0">
      <text>
        <r>
          <rPr>
            <sz val="9"/>
            <color indexed="81"/>
            <rFont val="Tahoma"/>
            <family val="2"/>
          </rPr>
          <t xml:space="preserve">INSERIR O BDI
</t>
        </r>
      </text>
    </comment>
  </commentList>
</comments>
</file>

<file path=xl/comments2.xml><?xml version="1.0" encoding="utf-8"?>
<comments xmlns="http://schemas.openxmlformats.org/spreadsheetml/2006/main">
  <authors>
    <author>cliente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 xml:space="preserve">Inserir os codigos do Orçamento </t>
        </r>
      </text>
    </comment>
  </commentList>
</comments>
</file>

<file path=xl/sharedStrings.xml><?xml version="1.0" encoding="utf-8"?>
<sst xmlns="http://schemas.openxmlformats.org/spreadsheetml/2006/main" count="191" uniqueCount="139">
  <si>
    <t>Numero do contrato/Ano</t>
  </si>
  <si>
    <t>PREFEITURA MUNICIPAL DE LAGES</t>
  </si>
  <si>
    <t>PAVIMENTAÇAO E DRENAGEM URBANA</t>
  </si>
  <si>
    <t xml:space="preserve">Dados Iniciais </t>
  </si>
  <si>
    <t>Dados Municipio</t>
  </si>
  <si>
    <t>OBRA:</t>
  </si>
  <si>
    <t>LOCALIZAÇÃO:</t>
  </si>
  <si>
    <t>EXTENSÃO:</t>
  </si>
  <si>
    <t>Data:</t>
  </si>
  <si>
    <t xml:space="preserve">Codigo </t>
  </si>
  <si>
    <t>Descrição</t>
  </si>
  <si>
    <t xml:space="preserve">Referencial </t>
  </si>
  <si>
    <t>Unidade</t>
  </si>
  <si>
    <t>Quantidade</t>
  </si>
  <si>
    <t xml:space="preserve">PREFEITO: </t>
  </si>
  <si>
    <t>Dados da obra</t>
  </si>
  <si>
    <t>Responsavel Municipio</t>
  </si>
  <si>
    <t xml:space="preserve"> Projeto </t>
  </si>
  <si>
    <t xml:space="preserve">Lages, </t>
  </si>
  <si>
    <t>TOTAL</t>
  </si>
  <si>
    <t>SERVIÇOS INICIAIS</t>
  </si>
  <si>
    <t>1.1</t>
  </si>
  <si>
    <t>m2</t>
  </si>
  <si>
    <t>74209/001</t>
  </si>
  <si>
    <t>LOCACAO DA OBRA, COM USO DE EQUIPAMENTOS TOPOGRAFICOS, INCLUSIVE TOPOGRAFO  E NIVELADOR</t>
  </si>
  <si>
    <t>1.2</t>
  </si>
  <si>
    <t>REGULARIZACAO E= +- 20cm E PREPARO DA CANCHA COMPACTADA</t>
  </si>
  <si>
    <t>PINTURA DE LIGAÇÃO COM RR-2C COM TAXA DE 0,6 L/M2EXEC.E TRANSP.</t>
  </si>
  <si>
    <t>PAVIMENTAÇÃO</t>
  </si>
  <si>
    <t>PASSEIOS</t>
  </si>
  <si>
    <t>REGULARIZAÇÃO E COMPACTAÇÃO MANUAL DO TERRENO.</t>
  </si>
  <si>
    <t>PISO PODOTÁTIL DIRECIONAL (0,20 X 0,20)CM - FCK= 20MPA - E= 6,0 CM</t>
  </si>
  <si>
    <t>PISO PODOTÁTIL ALERTA (0,20 X 0,20)CM - FCK= 20MPA - E= 6,0 CM</t>
  </si>
  <si>
    <t>SINALIZAÇÃO</t>
  </si>
  <si>
    <t>PLACA DE RUA FORN. E IMPLANTAÇÃO PLACA SINALIZ. SEMI-REFLETIVA 25X50CM</t>
  </si>
  <si>
    <t>PLACA DE REGULAMENTAÇÃO FORN. E IMPLANTAÇÃO PLACA SINALIZ. SEMI-REFLETIVA DN=60CM</t>
  </si>
  <si>
    <t>3.3</t>
  </si>
  <si>
    <t>3.4</t>
  </si>
  <si>
    <t>3.5</t>
  </si>
  <si>
    <t>3.6</t>
  </si>
  <si>
    <t>3.7</t>
  </si>
  <si>
    <t>3.8</t>
  </si>
  <si>
    <t>4.1</t>
  </si>
  <si>
    <t>4.2</t>
  </si>
  <si>
    <t>4.3</t>
  </si>
  <si>
    <t>4.4</t>
  </si>
  <si>
    <t>4.5</t>
  </si>
  <si>
    <t>5.1</t>
  </si>
  <si>
    <t>5.2</t>
  </si>
  <si>
    <t>5.3</t>
  </si>
  <si>
    <t>5.4</t>
  </si>
  <si>
    <t>Data Referencial:</t>
  </si>
  <si>
    <t>m</t>
  </si>
  <si>
    <t>m3xkm</t>
  </si>
  <si>
    <t>m3</t>
  </si>
  <si>
    <t>Observações:</t>
  </si>
  <si>
    <t xml:space="preserve">Responsavel Tecnico Projeto </t>
  </si>
  <si>
    <t>Mês 01</t>
  </si>
  <si>
    <t>Mês 02</t>
  </si>
  <si>
    <t>Mês 03</t>
  </si>
  <si>
    <t>Mês 04</t>
  </si>
  <si>
    <t>Mês 05</t>
  </si>
  <si>
    <t>Mês 06</t>
  </si>
  <si>
    <t>Valor Total</t>
  </si>
  <si>
    <t xml:space="preserve">Valor </t>
  </si>
  <si>
    <t>%</t>
  </si>
  <si>
    <t xml:space="preserve">ORÇAMENTO </t>
  </si>
  <si>
    <t xml:space="preserve">CRONOGRAMA FISICO FINANCEIRO </t>
  </si>
  <si>
    <t>Observações</t>
  </si>
  <si>
    <t xml:space="preserve"> *Prefeitura</t>
  </si>
  <si>
    <t>*Descrição da obra</t>
  </si>
  <si>
    <t>*Nome da Rua</t>
  </si>
  <si>
    <t>*Localização da Obra</t>
  </si>
  <si>
    <t xml:space="preserve">*Extensão </t>
  </si>
  <si>
    <t>*Prefeito</t>
  </si>
  <si>
    <t>*Responsavel Tecnico</t>
  </si>
  <si>
    <t xml:space="preserve">*Crea </t>
  </si>
  <si>
    <t>4 S 06 200 01</t>
  </si>
  <si>
    <t>* CAMPOS OBRIGATORIOS</t>
  </si>
  <si>
    <t>3.2</t>
  </si>
  <si>
    <t>PLACA DE OBRA COM DIMENSÕES DE 2,0m X 1,25m COM PINTURA CONFORME ESPECIFICAÇÃO DO PROGRAMA</t>
  </si>
  <si>
    <t>DRENAGEM</t>
  </si>
  <si>
    <t>74206/001</t>
  </si>
  <si>
    <t>5.5</t>
  </si>
  <si>
    <t>2.1</t>
  </si>
  <si>
    <t>2.2</t>
  </si>
  <si>
    <t>Valor Unitario Sem BDI:</t>
  </si>
  <si>
    <t>BDI</t>
  </si>
  <si>
    <t>Valor Total com BDI</t>
  </si>
  <si>
    <t>ENCARGOS SOCIAIS DESONERADOS: 85,75%(HORA) 49,10%(MÊS)</t>
  </si>
  <si>
    <t>ANTONIO CERON</t>
  </si>
  <si>
    <t>Valor sem BDI:</t>
  </si>
  <si>
    <t>Valor com BDI:</t>
  </si>
  <si>
    <t>BDI%</t>
  </si>
  <si>
    <t>CAMADA DRENANTE COM BRITA N. 2, E= 5,0 cm</t>
  </si>
  <si>
    <t>TUBO ACO GALV C/ COSTURA DIN 2440/NBR 5580 CLASSE MEDIA DN 2" (50MM) E=2,65MM - 5,10KG/M COMP= 3,5M</t>
  </si>
  <si>
    <t>3.1</t>
  </si>
  <si>
    <t>PLACA DE ADVERTÊNCIA FORN. E IMPLANTAÇÃO PLACA SINALIZ. SEMI-REFLETIVA LADO MINIMO 60cm</t>
  </si>
  <si>
    <t>COMPOSIÇÃO 01</t>
  </si>
  <si>
    <t xml:space="preserve">WILSON TADEU BESEN </t>
  </si>
  <si>
    <t>5807-4</t>
  </si>
  <si>
    <t xml:space="preserve">ESC. MEC. DE VALAS P/OBRAS DE ARTE CORRENTES EM SOLO </t>
  </si>
  <si>
    <t>TUBOS DE CONCRETO: FORNECIMENTO, CARGA, TRANSPORTE E REJUNTE INT. PARA DIAMENTRO DE 40cm</t>
  </si>
  <si>
    <t>COMPOSIÇÃO 02</t>
  </si>
  <si>
    <t xml:space="preserve">PINTURA DE LINHA SIMPLES SECCIONADA RETRORREFLETIVA A BASE DE RESINA ACRILICA
COM MICROESFERAS DE VIDRO - AMARELA </t>
  </si>
  <si>
    <t xml:space="preserve">PINTURA DE LINHA SIMPLES SECCIONADA RETRORREFLETIVA A BASE DE RESINA ACRILICA
COM MICROESFERAS DE VIDRO - BRANCA </t>
  </si>
  <si>
    <t>73916/2</t>
  </si>
  <si>
    <t xml:space="preserve">LONA PRETA </t>
  </si>
  <si>
    <t>TRANSPORTE COMERCIAL DE BRITA 2 - 15KM</t>
  </si>
  <si>
    <t>TRANSPORTE COMERCIAL DE BRITA GRADUADA 15Km</t>
  </si>
  <si>
    <t>TRANSPORTE LOCAL DE MASSA ASFALTICA - PAVIMENTACAO URBANA DMT 15Km</t>
  </si>
  <si>
    <t>MEIO FIO DE CONCRETO CONFORME PROJETO (25 MPa) COM ASSENTAMENTO</t>
  </si>
  <si>
    <t xml:space="preserve">CONCRETO FCK = 15Mpa, PREPARO MANUAL </t>
  </si>
  <si>
    <t>Unid.</t>
  </si>
  <si>
    <t/>
  </si>
  <si>
    <t xml:space="preserve">CAIXAS DE CAPTAÇÃO COMPLETA PARA TUBOS DE DIAMETRO 40cm </t>
  </si>
  <si>
    <t>SUBTOTAL</t>
  </si>
  <si>
    <t>ENVOLVIMENTO DA TUBULAÇÃO COM BRITA 2 / CAMADA DRENANTE COM BRITA 2, ESPESSURA 10Cm</t>
  </si>
  <si>
    <t>IMPRIMAÇÃO COM EMULSÃO ASFALTICA TIPO EAI COM TAXA DE 0,9 A 1,71/m² EXECUÇÃO E TRANSP.</t>
  </si>
  <si>
    <t>2.3</t>
  </si>
  <si>
    <t>2.4</t>
  </si>
  <si>
    <t>2.5</t>
  </si>
  <si>
    <t>2.6</t>
  </si>
  <si>
    <t>2.7</t>
  </si>
  <si>
    <t>5.6</t>
  </si>
  <si>
    <t>5.7</t>
  </si>
  <si>
    <t xml:space="preserve">SINAPI 4/2018 SICRO 09/2016 DESONERADO E DEINFRA </t>
  </si>
  <si>
    <t>REATERRO E COMPACTACAO MECANICO DE VALA COM COMPACTADOR MECANICO TIPO SOQUETE VIBRATORIO EM CAMADAS DE 20CM</t>
  </si>
  <si>
    <t>CONSTRUÇÃO DE PAVIMENTO COM APLICAÇÃO DE CONCRETO BETUMINOSO USINADO  A QUENTE - E=4cm</t>
  </si>
  <si>
    <t>RUA GUERINO OMIZOLO</t>
  </si>
  <si>
    <t>BAIRRO CARAVÁGIO - LAGES</t>
  </si>
  <si>
    <t>CAMADA DE MACADAME (E=10cm)</t>
  </si>
  <si>
    <t>3.9</t>
  </si>
  <si>
    <t>3.10</t>
  </si>
  <si>
    <t>TRANSPORTE COMERCIAL DE MACADAME 15KM</t>
  </si>
  <si>
    <t>EXECUÇÃO E COMPACTAÇÃO DE BASE E OU SUB BASE COM BRITA GRADUADA SIMPLES E=0,15m</t>
  </si>
  <si>
    <t>EXECUÇÃO DE PASSEIO (CALÇADA) OU PISO DE CONCRETO COM CONCRETO MOLDADO IN LOCO, FEITO EM OBRA, ACABAMENTO CONVENCIONAL, NÃO ARMADO. E=0,05cm</t>
  </si>
  <si>
    <t>A4</t>
  </si>
  <si>
    <t>Lages, 13 de junho de 2018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</si>
</sst>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F800]dddd\,\ mmmm\ dd\,\ yyyy"/>
    <numFmt numFmtId="165" formatCode="h:mm;@"/>
    <numFmt numFmtId="166" formatCode="[$-F400]h:mm:ss\ AM/PM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28"/>
      <color theme="1"/>
      <name val="Arial Narrow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u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3">
    <xf numFmtId="0" fontId="0" fillId="0" borderId="0" xfId="0"/>
    <xf numFmtId="0" fontId="8" fillId="0" borderId="1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7" fillId="0" borderId="14" xfId="0" applyFont="1" applyBorder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9" fillId="0" borderId="3" xfId="0" applyFont="1" applyBorder="1" applyAlignment="1"/>
    <xf numFmtId="0" fontId="9" fillId="0" borderId="4" xfId="0" applyFont="1" applyBorder="1" applyAlignment="1"/>
    <xf numFmtId="14" fontId="3" fillId="0" borderId="13" xfId="0" applyNumberFormat="1" applyFont="1" applyBorder="1"/>
    <xf numFmtId="10" fontId="11" fillId="0" borderId="13" xfId="2" applyNumberFormat="1" applyFont="1" applyBorder="1" applyAlignment="1">
      <alignment horizontal="left"/>
    </xf>
    <xf numFmtId="164" fontId="0" fillId="0" borderId="0" xfId="0" applyNumberFormat="1" applyAlignment="1"/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center"/>
    </xf>
    <xf numFmtId="0" fontId="3" fillId="4" borderId="6" xfId="0" applyFont="1" applyFill="1" applyBorder="1"/>
    <xf numFmtId="0" fontId="3" fillId="4" borderId="7" xfId="0" applyFont="1" applyFill="1" applyBorder="1"/>
    <xf numFmtId="0" fontId="9" fillId="0" borderId="7" xfId="0" applyFont="1" applyBorder="1" applyAlignment="1"/>
    <xf numFmtId="0" fontId="9" fillId="0" borderId="12" xfId="0" applyFont="1" applyBorder="1" applyAlignment="1"/>
    <xf numFmtId="0" fontId="3" fillId="4" borderId="2" xfId="0" applyFont="1" applyFill="1" applyBorder="1" applyAlignment="1">
      <alignment horizontal="left"/>
    </xf>
    <xf numFmtId="43" fontId="3" fillId="0" borderId="1" xfId="3" applyFont="1" applyFill="1" applyBorder="1" applyAlignment="1">
      <alignment horizontal="center" vertical="center"/>
    </xf>
    <xf numFmtId="9" fontId="3" fillId="4" borderId="6" xfId="2" applyFont="1" applyFill="1" applyBorder="1"/>
    <xf numFmtId="9" fontId="0" fillId="0" borderId="0" xfId="2" applyFont="1"/>
    <xf numFmtId="9" fontId="0" fillId="0" borderId="0" xfId="2" applyFont="1" applyAlignment="1"/>
    <xf numFmtId="43" fontId="12" fillId="0" borderId="1" xfId="3" applyFont="1" applyFill="1" applyBorder="1" applyAlignment="1">
      <alignment horizontal="center" vertical="center"/>
    </xf>
    <xf numFmtId="44" fontId="12" fillId="0" borderId="1" xfId="1" applyNumberFormat="1" applyFont="1" applyFill="1" applyBorder="1" applyAlignment="1">
      <alignment horizontal="center" vertical="center"/>
    </xf>
    <xf numFmtId="44" fontId="12" fillId="0" borderId="1" xfId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4" fontId="2" fillId="6" borderId="1" xfId="1" applyFont="1" applyFill="1" applyBorder="1" applyAlignment="1">
      <alignment horizontal="center" vertical="center"/>
    </xf>
    <xf numFmtId="0" fontId="9" fillId="0" borderId="5" xfId="0" applyFont="1" applyBorder="1" applyAlignment="1"/>
    <xf numFmtId="0" fontId="9" fillId="0" borderId="6" xfId="0" applyFont="1" applyBorder="1" applyAlignment="1"/>
    <xf numFmtId="0" fontId="9" fillId="0" borderId="8" xfId="0" applyFont="1" applyBorder="1" applyAlignment="1"/>
    <xf numFmtId="0" fontId="9" fillId="0" borderId="0" xfId="0" applyFont="1" applyBorder="1" applyAlignment="1"/>
    <xf numFmtId="0" fontId="9" fillId="0" borderId="9" xfId="0" applyFont="1" applyBorder="1" applyAlignment="1"/>
    <xf numFmtId="0" fontId="9" fillId="0" borderId="10" xfId="0" applyFont="1" applyBorder="1" applyAlignment="1"/>
    <xf numFmtId="0" fontId="9" fillId="0" borderId="1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6" fillId="0" borderId="7" xfId="0" applyFont="1" applyBorder="1" applyAlignment="1">
      <alignment horizontal="center"/>
    </xf>
    <xf numFmtId="43" fontId="7" fillId="6" borderId="1" xfId="3" applyFont="1" applyFill="1" applyBorder="1" applyAlignment="1">
      <alignment horizontal="center" vertical="center"/>
    </xf>
    <xf numFmtId="10" fontId="7" fillId="6" borderId="1" xfId="2" applyNumberFormat="1" applyFont="1" applyFill="1" applyBorder="1" applyAlignment="1">
      <alignment horizontal="center" vertical="center"/>
    </xf>
    <xf numFmtId="44" fontId="7" fillId="6" borderId="1" xfId="1" applyFont="1" applyFill="1" applyBorder="1" applyAlignment="1">
      <alignment horizontal="center" vertical="center"/>
    </xf>
    <xf numFmtId="9" fontId="7" fillId="6" borderId="1" xfId="2" applyFont="1" applyFill="1" applyBorder="1" applyAlignment="1">
      <alignment horizontal="center" vertical="center"/>
    </xf>
    <xf numFmtId="9" fontId="13" fillId="6" borderId="1" xfId="2" applyFont="1" applyFill="1" applyBorder="1" applyAlignment="1">
      <alignment horizontal="left" vertical="center"/>
    </xf>
    <xf numFmtId="44" fontId="13" fillId="6" borderId="1" xfId="1" applyFont="1" applyFill="1" applyBorder="1" applyAlignment="1">
      <alignment horizontal="center" vertical="center"/>
    </xf>
    <xf numFmtId="9" fontId="13" fillId="6" borderId="1" xfId="2" applyFont="1" applyFill="1" applyBorder="1" applyAlignment="1">
      <alignment horizontal="center" vertical="center"/>
    </xf>
    <xf numFmtId="43" fontId="13" fillId="6" borderId="1" xfId="0" applyNumberFormat="1" applyFont="1" applyFill="1" applyBorder="1" applyAlignment="1">
      <alignment vertical="center"/>
    </xf>
    <xf numFmtId="44" fontId="13" fillId="6" borderId="1" xfId="0" applyNumberFormat="1" applyFont="1" applyFill="1" applyBorder="1" applyAlignment="1">
      <alignment vertical="center"/>
    </xf>
    <xf numFmtId="44" fontId="13" fillId="6" borderId="1" xfId="0" applyNumberFormat="1" applyFont="1" applyFill="1" applyBorder="1" applyAlignment="1">
      <alignment horizontal="left" vertical="center"/>
    </xf>
    <xf numFmtId="10" fontId="13" fillId="6" borderId="1" xfId="0" applyNumberFormat="1" applyFont="1" applyFill="1" applyBorder="1" applyAlignment="1">
      <alignment vertical="center"/>
    </xf>
    <xf numFmtId="0" fontId="3" fillId="4" borderId="2" xfId="0" applyFont="1" applyFill="1" applyBorder="1" applyAlignment="1"/>
    <xf numFmtId="44" fontId="2" fillId="6" borderId="1" xfId="1" applyNumberFormat="1" applyFont="1" applyFill="1" applyBorder="1" applyAlignment="1">
      <alignment horizontal="center" vertical="center"/>
    </xf>
    <xf numFmtId="44" fontId="7" fillId="6" borderId="1" xfId="1" applyNumberFormat="1" applyFont="1" applyFill="1" applyBorder="1" applyAlignment="1">
      <alignment horizontal="center" vertical="center"/>
    </xf>
    <xf numFmtId="0" fontId="3" fillId="0" borderId="6" xfId="0" applyFont="1" applyFill="1" applyBorder="1"/>
    <xf numFmtId="0" fontId="3" fillId="0" borderId="2" xfId="0" applyFont="1" applyFill="1" applyBorder="1" applyAlignment="1">
      <alignment horizontal="left"/>
    </xf>
    <xf numFmtId="10" fontId="11" fillId="5" borderId="13" xfId="2" applyNumberFormat="1" applyFont="1" applyFill="1" applyBorder="1" applyAlignment="1" applyProtection="1">
      <alignment horizontal="left"/>
      <protection locked="0"/>
    </xf>
    <xf numFmtId="9" fontId="7" fillId="6" borderId="1" xfId="1" applyNumberFormat="1" applyFont="1" applyFill="1" applyBorder="1" applyAlignment="1">
      <alignment horizontal="center" vertical="center"/>
    </xf>
    <xf numFmtId="9" fontId="12" fillId="5" borderId="1" xfId="2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/>
    <xf numFmtId="0" fontId="12" fillId="0" borderId="5" xfId="0" applyFont="1" applyBorder="1" applyProtection="1"/>
    <xf numFmtId="0" fontId="12" fillId="0" borderId="6" xfId="0" applyFont="1" applyBorder="1" applyProtection="1"/>
    <xf numFmtId="0" fontId="12" fillId="0" borderId="7" xfId="0" applyFont="1" applyBorder="1" applyProtection="1"/>
    <xf numFmtId="0" fontId="12" fillId="0" borderId="8" xfId="0" applyFont="1" applyBorder="1" applyProtection="1"/>
    <xf numFmtId="0" fontId="12" fillId="0" borderId="0" xfId="0" applyFont="1" applyBorder="1" applyProtection="1"/>
    <xf numFmtId="0" fontId="12" fillId="0" borderId="9" xfId="0" applyFont="1" applyBorder="1" applyProtection="1"/>
    <xf numFmtId="0" fontId="12" fillId="0" borderId="10" xfId="0" applyFont="1" applyBorder="1" applyProtection="1"/>
    <xf numFmtId="0" fontId="12" fillId="0" borderId="11" xfId="0" applyFont="1" applyBorder="1" applyProtection="1"/>
    <xf numFmtId="0" fontId="12" fillId="0" borderId="12" xfId="0" applyFont="1" applyBorder="1" applyProtection="1"/>
    <xf numFmtId="0" fontId="12" fillId="0" borderId="0" xfId="0" applyFont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0" fontId="12" fillId="0" borderId="11" xfId="0" applyFont="1" applyBorder="1"/>
    <xf numFmtId="0" fontId="12" fillId="0" borderId="12" xfId="0" applyFont="1" applyBorder="1"/>
    <xf numFmtId="0" fontId="12" fillId="0" borderId="0" xfId="0" applyFont="1" applyAlignment="1">
      <alignment horizontal="right"/>
    </xf>
    <xf numFmtId="0" fontId="12" fillId="0" borderId="5" xfId="0" applyFont="1" applyBorder="1" applyAlignment="1">
      <alignment horizontal="right"/>
    </xf>
    <xf numFmtId="0" fontId="12" fillId="0" borderId="7" xfId="0" applyFont="1" applyBorder="1"/>
    <xf numFmtId="0" fontId="12" fillId="0" borderId="5" xfId="0" applyFont="1" applyBorder="1"/>
    <xf numFmtId="0" fontId="12" fillId="0" borderId="10" xfId="0" applyFont="1" applyBorder="1"/>
    <xf numFmtId="0" fontId="12" fillId="0" borderId="11" xfId="0" applyFont="1" applyBorder="1" applyAlignment="1"/>
    <xf numFmtId="0" fontId="12" fillId="0" borderId="11" xfId="0" applyFont="1" applyFill="1" applyBorder="1" applyAlignment="1"/>
    <xf numFmtId="0" fontId="12" fillId="0" borderId="11" xfId="0" applyFont="1" applyFill="1" applyBorder="1" applyAlignment="1">
      <alignment horizontal="left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9" fontId="5" fillId="3" borderId="1" xfId="2" applyFont="1" applyFill="1" applyBorder="1" applyAlignment="1">
      <alignment horizontal="center" vertical="center"/>
    </xf>
    <xf numFmtId="166" fontId="9" fillId="0" borderId="0" xfId="0" applyNumberFormat="1" applyFont="1" applyBorder="1" applyAlignment="1"/>
    <xf numFmtId="44" fontId="0" fillId="0" borderId="0" xfId="0" applyNumberFormat="1"/>
    <xf numFmtId="0" fontId="7" fillId="5" borderId="4" xfId="0" applyFont="1" applyFill="1" applyBorder="1" applyAlignment="1" applyProtection="1"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3" fontId="6" fillId="0" borderId="1" xfId="3" applyFont="1" applyFill="1" applyBorder="1" applyAlignment="1" applyProtection="1">
      <alignment horizontal="center" vertical="center"/>
      <protection locked="0"/>
    </xf>
    <xf numFmtId="44" fontId="6" fillId="0" borderId="1" xfId="1" applyNumberFormat="1" applyFont="1" applyFill="1" applyBorder="1" applyAlignment="1" applyProtection="1">
      <alignment horizontal="center" vertical="center"/>
      <protection locked="0"/>
    </xf>
    <xf numFmtId="10" fontId="6" fillId="0" borderId="1" xfId="2" applyNumberFormat="1" applyFont="1" applyFill="1" applyBorder="1" applyAlignment="1" applyProtection="1">
      <alignment horizontal="center" vertical="center"/>
      <protection locked="0"/>
    </xf>
    <xf numFmtId="44" fontId="6" fillId="0" borderId="1" xfId="1" applyFont="1" applyFill="1" applyBorder="1" applyAlignment="1">
      <alignment horizontal="center" vertical="center"/>
    </xf>
    <xf numFmtId="0" fontId="0" fillId="0" borderId="0" xfId="0" applyFill="1"/>
    <xf numFmtId="43" fontId="6" fillId="0" borderId="1" xfId="3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4" fontId="6" fillId="0" borderId="1" xfId="1" applyFont="1" applyFill="1" applyBorder="1" applyAlignment="1" applyProtection="1">
      <alignment horizontal="center" vertical="center"/>
      <protection locked="0"/>
    </xf>
    <xf numFmtId="10" fontId="13" fillId="6" borderId="1" xfId="0" applyNumberFormat="1" applyFont="1" applyFill="1" applyBorder="1" applyAlignment="1">
      <alignment horizontal="center" vertical="center"/>
    </xf>
    <xf numFmtId="10" fontId="0" fillId="0" borderId="0" xfId="0" applyNumberFormat="1"/>
    <xf numFmtId="0" fontId="0" fillId="0" borderId="0" xfId="0" applyFont="1" applyFill="1"/>
    <xf numFmtId="0" fontId="20" fillId="0" borderId="1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/>
    <xf numFmtId="0" fontId="6" fillId="0" borderId="13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 applyFill="1"/>
    <xf numFmtId="0" fontId="0" fillId="0" borderId="0" xfId="0" applyNumberFormat="1"/>
    <xf numFmtId="0" fontId="5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43" fontId="6" fillId="3" borderId="1" xfId="3" applyFont="1" applyFill="1" applyBorder="1" applyAlignment="1" applyProtection="1">
      <alignment horizontal="center" vertical="center"/>
      <protection locked="0"/>
    </xf>
    <xf numFmtId="44" fontId="6" fillId="3" borderId="1" xfId="1" applyFont="1" applyFill="1" applyBorder="1" applyAlignment="1">
      <alignment horizontal="center" vertical="center"/>
    </xf>
    <xf numFmtId="44" fontId="6" fillId="3" borderId="1" xfId="1" applyNumberFormat="1" applyFont="1" applyFill="1" applyBorder="1" applyAlignment="1" applyProtection="1">
      <alignment horizontal="center" vertical="center"/>
      <protection locked="0"/>
    </xf>
    <xf numFmtId="10" fontId="6" fillId="3" borderId="1" xfId="2" applyNumberFormat="1" applyFont="1" applyFill="1" applyBorder="1" applyAlignment="1" applyProtection="1">
      <alignment horizontal="center" vertical="center"/>
      <protection locked="0"/>
    </xf>
    <xf numFmtId="44" fontId="5" fillId="7" borderId="1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22" fillId="0" borderId="7" xfId="0" applyFont="1" applyFill="1" applyBorder="1"/>
    <xf numFmtId="0" fontId="0" fillId="0" borderId="0" xfId="0" applyFill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17" fillId="0" borderId="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/>
    </xf>
    <xf numFmtId="0" fontId="12" fillId="0" borderId="3" xfId="0" applyFont="1" applyBorder="1" applyAlignment="1" applyProtection="1">
      <alignment horizontal="center"/>
    </xf>
    <xf numFmtId="0" fontId="12" fillId="0" borderId="4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17" fontId="12" fillId="2" borderId="2" xfId="0" applyNumberFormat="1" applyFont="1" applyFill="1" applyBorder="1" applyAlignment="1" applyProtection="1">
      <alignment horizontal="left"/>
      <protection locked="0"/>
    </xf>
    <xf numFmtId="0" fontId="12" fillId="2" borderId="3" xfId="0" applyFont="1" applyFill="1" applyBorder="1" applyAlignment="1" applyProtection="1">
      <alignment horizontal="left"/>
      <protection locked="0"/>
    </xf>
    <xf numFmtId="0" fontId="12" fillId="2" borderId="4" xfId="0" applyFont="1" applyFill="1" applyBorder="1" applyAlignment="1" applyProtection="1">
      <alignment horizontal="left"/>
      <protection locked="0"/>
    </xf>
    <xf numFmtId="0" fontId="12" fillId="2" borderId="2" xfId="0" applyFont="1" applyFill="1" applyBorder="1" applyAlignment="1" applyProtection="1">
      <alignment horizontal="left"/>
      <protection locked="0"/>
    </xf>
    <xf numFmtId="0" fontId="7" fillId="0" borderId="3" xfId="0" applyFont="1" applyBorder="1" applyAlignment="1">
      <alignment horizontal="center"/>
    </xf>
    <xf numFmtId="164" fontId="12" fillId="0" borderId="0" xfId="0" applyNumberFormat="1" applyFont="1" applyAlignment="1">
      <alignment horizontal="left"/>
    </xf>
    <xf numFmtId="0" fontId="12" fillId="0" borderId="6" xfId="0" applyFont="1" applyBorder="1" applyAlignment="1">
      <alignment horizontal="left"/>
    </xf>
    <xf numFmtId="2" fontId="12" fillId="2" borderId="2" xfId="0" applyNumberFormat="1" applyFont="1" applyFill="1" applyBorder="1" applyAlignment="1" applyProtection="1">
      <alignment horizontal="left"/>
      <protection locked="0"/>
    </xf>
    <xf numFmtId="2" fontId="12" fillId="2" borderId="3" xfId="0" applyNumberFormat="1" applyFont="1" applyFill="1" applyBorder="1" applyAlignment="1" applyProtection="1">
      <alignment horizontal="left"/>
      <protection locked="0"/>
    </xf>
    <xf numFmtId="2" fontId="12" fillId="2" borderId="4" xfId="0" applyNumberFormat="1" applyFont="1" applyFill="1" applyBorder="1" applyAlignment="1" applyProtection="1">
      <alignment horizontal="left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9" fontId="7" fillId="3" borderId="14" xfId="2" applyFont="1" applyFill="1" applyBorder="1" applyAlignment="1">
      <alignment horizontal="center" vertical="center"/>
    </xf>
    <xf numFmtId="9" fontId="7" fillId="3" borderId="13" xfId="2" applyFont="1" applyFill="1" applyBorder="1" applyAlignment="1">
      <alignment horizontal="center" vertical="center"/>
    </xf>
    <xf numFmtId="0" fontId="7" fillId="5" borderId="2" xfId="0" applyFont="1" applyFill="1" applyBorder="1" applyAlignment="1" applyProtection="1">
      <alignment horizontal="center"/>
      <protection locked="0"/>
    </xf>
    <xf numFmtId="0" fontId="7" fillId="5" borderId="4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21" fillId="7" borderId="2" xfId="0" applyFont="1" applyFill="1" applyBorder="1" applyAlignment="1" applyProtection="1">
      <alignment horizontal="left" vertical="center" wrapText="1"/>
      <protection locked="0"/>
    </xf>
    <xf numFmtId="0" fontId="21" fillId="7" borderId="3" xfId="0" applyFont="1" applyFill="1" applyBorder="1" applyAlignment="1" applyProtection="1">
      <alignment horizontal="left" vertical="center" wrapText="1"/>
      <protection locked="0"/>
    </xf>
    <xf numFmtId="0" fontId="21" fillId="7" borderId="4" xfId="0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4" borderId="3" xfId="0" quotePrefix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3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</cellXfs>
  <cellStyles count="4">
    <cellStyle name="Moeda" xfId="1" builtinId="4"/>
    <cellStyle name="Normal" xfId="0" builtinId="0"/>
    <cellStyle name="Porcentagem" xfId="2" builtinId="5"/>
    <cellStyle name="Separador de milhares" xfId="3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1501587</xdr:colOff>
      <xdr:row>0</xdr:row>
      <xdr:rowOff>78441</xdr:rowOff>
    </xdr:from>
    <xdr:to>
      <xdr:col>5</xdr:col>
      <xdr:colOff>347381</xdr:colOff>
      <xdr:row>4</xdr:row>
      <xdr:rowOff>145676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20469" y="78441"/>
          <a:ext cx="1669677" cy="8292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212911</xdr:colOff>
      <xdr:row>0</xdr:row>
      <xdr:rowOff>112058</xdr:rowOff>
    </xdr:from>
    <xdr:to>
      <xdr:col>2</xdr:col>
      <xdr:colOff>404211</xdr:colOff>
      <xdr:row>3</xdr:row>
      <xdr:rowOff>124229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27529" y="112058"/>
          <a:ext cx="1323094" cy="6509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367394</xdr:colOff>
      <xdr:row>0</xdr:row>
      <xdr:rowOff>108856</xdr:rowOff>
    </xdr:from>
    <xdr:to>
      <xdr:col>2</xdr:col>
      <xdr:colOff>425024</xdr:colOff>
      <xdr:row>3</xdr:row>
      <xdr:rowOff>120226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7394" y="108856"/>
          <a:ext cx="1323094" cy="6509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1"/>
  <sheetViews>
    <sheetView showGridLines="0" showRowColHeaders="0" view="pageBreakPreview" zoomScale="85" zoomScaleNormal="70" zoomScaleSheetLayoutView="85" workbookViewId="0">
      <selection activeCell="E20" sqref="E20"/>
    </sheetView>
  </sheetViews>
  <sheetFormatPr defaultRowHeight="15"/>
  <cols>
    <col min="1" max="2" width="2.42578125" customWidth="1"/>
    <col min="4" max="4" width="22.85546875" customWidth="1"/>
    <col min="5" max="5" width="19.5703125" customWidth="1"/>
    <col min="9" max="9" width="9.140625" customWidth="1"/>
    <col min="10" max="10" width="2.140625" customWidth="1"/>
    <col min="11" max="11" width="1.7109375" customWidth="1"/>
  </cols>
  <sheetData>
    <row r="1" spans="1:11">
      <c r="A1" s="58"/>
      <c r="B1" s="59"/>
      <c r="C1" s="60"/>
      <c r="D1" s="60"/>
      <c r="E1" s="60"/>
      <c r="F1" s="60"/>
      <c r="G1" s="60"/>
      <c r="H1" s="60"/>
      <c r="I1" s="60"/>
      <c r="J1" s="61"/>
      <c r="K1" s="58"/>
    </row>
    <row r="2" spans="1:11">
      <c r="A2" s="58"/>
      <c r="B2" s="62"/>
      <c r="C2" s="63"/>
      <c r="D2" s="63"/>
      <c r="E2" s="63"/>
      <c r="F2" s="63"/>
      <c r="G2" s="63"/>
      <c r="H2" s="63"/>
      <c r="I2" s="63"/>
      <c r="J2" s="64"/>
      <c r="K2" s="58"/>
    </row>
    <row r="3" spans="1:11">
      <c r="A3" s="58"/>
      <c r="B3" s="62"/>
      <c r="C3" s="63"/>
      <c r="D3" s="63"/>
      <c r="E3" s="63"/>
      <c r="F3" s="63"/>
      <c r="G3" s="63"/>
      <c r="H3" s="63"/>
      <c r="I3" s="63"/>
      <c r="J3" s="64"/>
      <c r="K3" s="58"/>
    </row>
    <row r="4" spans="1:11">
      <c r="A4" s="58"/>
      <c r="B4" s="62"/>
      <c r="C4" s="63"/>
      <c r="D4" s="63"/>
      <c r="E4" s="63"/>
      <c r="F4" s="63"/>
      <c r="G4" s="63"/>
      <c r="H4" s="63"/>
      <c r="I4" s="63"/>
      <c r="J4" s="64"/>
      <c r="K4" s="58"/>
    </row>
    <row r="5" spans="1:11">
      <c r="A5" s="58"/>
      <c r="B5" s="65"/>
      <c r="C5" s="66"/>
      <c r="D5" s="66"/>
      <c r="E5" s="66"/>
      <c r="F5" s="66"/>
      <c r="G5" s="66"/>
      <c r="H5" s="66"/>
      <c r="I5" s="66"/>
      <c r="J5" s="67"/>
      <c r="K5" s="58"/>
    </row>
    <row r="6" spans="1:11">
      <c r="A6" s="58"/>
      <c r="B6" s="63"/>
      <c r="C6" s="63"/>
      <c r="D6" s="63"/>
      <c r="E6" s="63"/>
      <c r="F6" s="63"/>
      <c r="G6" s="63"/>
      <c r="H6" s="63"/>
      <c r="I6" s="63"/>
      <c r="J6" s="63"/>
      <c r="K6" s="58"/>
    </row>
    <row r="7" spans="1:11">
      <c r="A7" s="58"/>
      <c r="B7" s="132" t="s">
        <v>3</v>
      </c>
      <c r="C7" s="133"/>
      <c r="D7" s="133"/>
      <c r="E7" s="133"/>
      <c r="F7" s="133"/>
      <c r="G7" s="133"/>
      <c r="H7" s="133"/>
      <c r="I7" s="133"/>
      <c r="J7" s="134"/>
      <c r="K7" s="58"/>
    </row>
    <row r="8" spans="1:11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1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1:11">
      <c r="A10" s="58"/>
      <c r="B10" s="59"/>
      <c r="C10" s="135" t="s">
        <v>4</v>
      </c>
      <c r="D10" s="135"/>
      <c r="E10" s="135"/>
      <c r="F10" s="135"/>
      <c r="G10" s="135"/>
      <c r="H10" s="135"/>
      <c r="I10" s="135"/>
      <c r="J10" s="61"/>
      <c r="K10" s="58"/>
    </row>
    <row r="11" spans="1:11">
      <c r="A11" s="68"/>
      <c r="B11" s="69"/>
      <c r="C11" s="128" t="s">
        <v>69</v>
      </c>
      <c r="D11" s="129"/>
      <c r="E11" s="139" t="s">
        <v>1</v>
      </c>
      <c r="F11" s="137"/>
      <c r="G11" s="137"/>
      <c r="H11" s="137"/>
      <c r="I11" s="138"/>
      <c r="J11" s="70"/>
      <c r="K11" s="68"/>
    </row>
    <row r="12" spans="1:11">
      <c r="A12" s="68"/>
      <c r="B12" s="69"/>
      <c r="C12" s="128" t="s">
        <v>70</v>
      </c>
      <c r="D12" s="129"/>
      <c r="E12" s="139" t="s">
        <v>2</v>
      </c>
      <c r="F12" s="137"/>
      <c r="G12" s="137"/>
      <c r="H12" s="137"/>
      <c r="I12" s="138"/>
      <c r="J12" s="70"/>
      <c r="K12" s="68"/>
    </row>
    <row r="13" spans="1:11">
      <c r="A13" s="68"/>
      <c r="B13" s="69"/>
      <c r="C13" s="128" t="s">
        <v>0</v>
      </c>
      <c r="D13" s="129"/>
      <c r="E13" s="136"/>
      <c r="F13" s="137"/>
      <c r="G13" s="137"/>
      <c r="H13" s="137"/>
      <c r="I13" s="138"/>
      <c r="J13" s="70"/>
      <c r="K13" s="68"/>
    </row>
    <row r="14" spans="1:11" ht="12" customHeight="1">
      <c r="A14" s="68"/>
      <c r="B14" s="71"/>
      <c r="C14" s="72"/>
      <c r="D14" s="72"/>
      <c r="E14" s="73"/>
      <c r="F14" s="73"/>
      <c r="G14" s="73"/>
      <c r="H14" s="73"/>
      <c r="I14" s="73"/>
      <c r="J14" s="74"/>
      <c r="K14" s="68"/>
    </row>
    <row r="15" spans="1:11">
      <c r="A15" s="68"/>
      <c r="B15" s="75"/>
      <c r="C15" s="75"/>
      <c r="D15" s="75"/>
      <c r="E15" s="68"/>
      <c r="F15" s="68"/>
      <c r="G15" s="68"/>
      <c r="H15" s="68"/>
      <c r="I15" s="68"/>
      <c r="J15" s="68"/>
      <c r="K15" s="68"/>
    </row>
    <row r="16" spans="1:11">
      <c r="A16" s="68"/>
      <c r="B16" s="76"/>
      <c r="C16" s="140" t="s">
        <v>15</v>
      </c>
      <c r="D16" s="140"/>
      <c r="E16" s="140"/>
      <c r="F16" s="140"/>
      <c r="G16" s="140"/>
      <c r="H16" s="140"/>
      <c r="I16" s="140"/>
      <c r="J16" s="77"/>
      <c r="K16" s="68"/>
    </row>
    <row r="17" spans="1:11">
      <c r="A17" s="68"/>
      <c r="B17" s="69"/>
      <c r="C17" s="128" t="s">
        <v>71</v>
      </c>
      <c r="D17" s="129"/>
      <c r="E17" s="139" t="s">
        <v>129</v>
      </c>
      <c r="F17" s="137"/>
      <c r="G17" s="137"/>
      <c r="H17" s="137"/>
      <c r="I17" s="138"/>
      <c r="J17" s="70"/>
      <c r="K17" s="68"/>
    </row>
    <row r="18" spans="1:11">
      <c r="A18" s="68"/>
      <c r="B18" s="69"/>
      <c r="C18" s="128" t="s">
        <v>72</v>
      </c>
      <c r="D18" s="129"/>
      <c r="E18" s="139" t="s">
        <v>130</v>
      </c>
      <c r="F18" s="137"/>
      <c r="G18" s="137"/>
      <c r="H18" s="137"/>
      <c r="I18" s="138"/>
      <c r="J18" s="70"/>
      <c r="K18" s="68"/>
    </row>
    <row r="19" spans="1:11">
      <c r="A19" s="68"/>
      <c r="B19" s="69"/>
      <c r="C19" s="128" t="s">
        <v>73</v>
      </c>
      <c r="D19" s="129"/>
      <c r="E19" s="143">
        <v>140</v>
      </c>
      <c r="F19" s="144"/>
      <c r="G19" s="144"/>
      <c r="H19" s="144"/>
      <c r="I19" s="145"/>
      <c r="J19" s="70"/>
      <c r="K19" s="68"/>
    </row>
    <row r="20" spans="1:11">
      <c r="A20" s="68"/>
      <c r="B20" s="71"/>
      <c r="C20" s="72"/>
      <c r="D20" s="72"/>
      <c r="E20" s="73"/>
      <c r="F20" s="73"/>
      <c r="G20" s="73"/>
      <c r="H20" s="73"/>
      <c r="I20" s="73"/>
      <c r="J20" s="74"/>
      <c r="K20" s="68"/>
    </row>
    <row r="21" spans="1:11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</row>
    <row r="22" spans="1:11">
      <c r="A22" s="68"/>
      <c r="B22" s="78"/>
      <c r="C22" s="140" t="s">
        <v>16</v>
      </c>
      <c r="D22" s="140"/>
      <c r="E22" s="140"/>
      <c r="F22" s="140"/>
      <c r="G22" s="140"/>
      <c r="H22" s="140"/>
      <c r="I22" s="140"/>
      <c r="J22" s="77"/>
      <c r="K22" s="68"/>
    </row>
    <row r="23" spans="1:11">
      <c r="A23" s="68"/>
      <c r="B23" s="69"/>
      <c r="C23" s="128" t="s">
        <v>74</v>
      </c>
      <c r="D23" s="129"/>
      <c r="E23" s="139" t="s">
        <v>90</v>
      </c>
      <c r="F23" s="137"/>
      <c r="G23" s="137"/>
      <c r="H23" s="137"/>
      <c r="I23" s="138"/>
      <c r="J23" s="70"/>
      <c r="K23" s="68"/>
    </row>
    <row r="24" spans="1:11">
      <c r="A24" s="68"/>
      <c r="B24" s="79"/>
      <c r="C24" s="80"/>
      <c r="D24" s="81"/>
      <c r="E24" s="82"/>
      <c r="F24" s="82"/>
      <c r="G24" s="82"/>
      <c r="H24" s="82"/>
      <c r="I24" s="82"/>
      <c r="J24" s="74"/>
      <c r="K24" s="68"/>
    </row>
    <row r="25" spans="1:11">
      <c r="A25" s="68"/>
      <c r="B25" s="75"/>
      <c r="C25" s="75"/>
      <c r="D25" s="75"/>
      <c r="E25" s="68"/>
      <c r="F25" s="68"/>
      <c r="G25" s="68"/>
      <c r="H25" s="68"/>
      <c r="I25" s="68"/>
      <c r="J25" s="68"/>
      <c r="K25" s="68"/>
    </row>
    <row r="26" spans="1:11">
      <c r="A26" s="68"/>
      <c r="B26" s="76"/>
      <c r="C26" s="140" t="s">
        <v>17</v>
      </c>
      <c r="D26" s="140"/>
      <c r="E26" s="140"/>
      <c r="F26" s="140"/>
      <c r="G26" s="140"/>
      <c r="H26" s="140"/>
      <c r="I26" s="140"/>
      <c r="J26" s="77"/>
      <c r="K26" s="68"/>
    </row>
    <row r="27" spans="1:11">
      <c r="A27" s="68"/>
      <c r="B27" s="69"/>
      <c r="C27" s="128" t="s">
        <v>75</v>
      </c>
      <c r="D27" s="129"/>
      <c r="E27" s="139" t="s">
        <v>99</v>
      </c>
      <c r="F27" s="137"/>
      <c r="G27" s="137"/>
      <c r="H27" s="137"/>
      <c r="I27" s="138"/>
      <c r="J27" s="70"/>
      <c r="K27" s="68"/>
    </row>
    <row r="28" spans="1:11">
      <c r="A28" s="68"/>
      <c r="B28" s="69"/>
      <c r="C28" s="128" t="s">
        <v>76</v>
      </c>
      <c r="D28" s="129"/>
      <c r="E28" s="139" t="s">
        <v>100</v>
      </c>
      <c r="F28" s="137"/>
      <c r="G28" s="137"/>
      <c r="H28" s="137"/>
      <c r="I28" s="138"/>
      <c r="J28" s="70"/>
      <c r="K28" s="68"/>
    </row>
    <row r="29" spans="1:11">
      <c r="A29" s="68"/>
      <c r="B29" s="79"/>
      <c r="C29" s="73"/>
      <c r="D29" s="73"/>
      <c r="E29" s="73"/>
      <c r="F29" s="73"/>
      <c r="G29" s="73"/>
      <c r="H29" s="73"/>
      <c r="I29" s="73"/>
      <c r="J29" s="74"/>
      <c r="K29" s="68"/>
    </row>
    <row r="30" spans="1:11">
      <c r="A30" s="68"/>
      <c r="B30" s="68"/>
      <c r="C30" s="142" t="s">
        <v>78</v>
      </c>
      <c r="D30" s="142"/>
      <c r="E30" s="142"/>
      <c r="F30" s="142"/>
      <c r="G30" s="142"/>
      <c r="H30" s="142"/>
      <c r="I30" s="142"/>
      <c r="J30" s="68"/>
      <c r="K30" s="68"/>
    </row>
    <row r="31" spans="1:11">
      <c r="A31" s="68"/>
      <c r="B31" s="68"/>
      <c r="C31" s="68"/>
      <c r="D31" s="75" t="s">
        <v>18</v>
      </c>
      <c r="E31" s="141">
        <f ca="1">TODAY()</f>
        <v>43307</v>
      </c>
      <c r="F31" s="141"/>
      <c r="G31" s="141"/>
      <c r="H31" s="68"/>
      <c r="I31" s="68"/>
      <c r="J31" s="68"/>
      <c r="K31" s="68"/>
    </row>
    <row r="32" spans="1:11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</row>
    <row r="33" spans="1:11">
      <c r="A33" s="68"/>
      <c r="B33" s="78"/>
      <c r="C33" s="130" t="s">
        <v>68</v>
      </c>
      <c r="D33" s="130"/>
      <c r="E33" s="130"/>
      <c r="F33" s="130"/>
      <c r="G33" s="130"/>
      <c r="H33" s="130"/>
      <c r="I33" s="130"/>
      <c r="J33" s="131"/>
      <c r="K33" s="68"/>
    </row>
    <row r="34" spans="1:11">
      <c r="A34" s="68"/>
      <c r="B34" s="69">
        <v>1</v>
      </c>
      <c r="C34" s="126" t="str">
        <f>IF(OR(E11=0,E12=0,E17=0,E18=0,E19=0,E23=0,E27=0,E28=0),"FALTA PREENCHER DADOS DOS CAMPOS OBRIGATÓRIOS", "")</f>
        <v/>
      </c>
      <c r="D34" s="126"/>
      <c r="E34" s="126"/>
      <c r="F34" s="126"/>
      <c r="G34" s="126"/>
      <c r="H34" s="126"/>
      <c r="I34" s="126"/>
      <c r="J34" s="70"/>
      <c r="K34" s="68"/>
    </row>
    <row r="35" spans="1:11">
      <c r="A35" s="68"/>
      <c r="B35" s="69">
        <v>2</v>
      </c>
      <c r="C35" s="126"/>
      <c r="D35" s="126"/>
      <c r="E35" s="126"/>
      <c r="F35" s="126"/>
      <c r="G35" s="126"/>
      <c r="H35" s="126"/>
      <c r="I35" s="126"/>
      <c r="J35" s="70"/>
      <c r="K35" s="68"/>
    </row>
    <row r="36" spans="1:11">
      <c r="A36" s="68"/>
      <c r="B36" s="69">
        <v>3</v>
      </c>
      <c r="C36" s="126"/>
      <c r="D36" s="126"/>
      <c r="E36" s="126"/>
      <c r="F36" s="126"/>
      <c r="G36" s="126"/>
      <c r="H36" s="126"/>
      <c r="I36" s="126"/>
      <c r="J36" s="70"/>
      <c r="K36" s="68"/>
    </row>
    <row r="37" spans="1:11">
      <c r="A37" s="68"/>
      <c r="B37" s="69">
        <v>4</v>
      </c>
      <c r="C37" s="126"/>
      <c r="D37" s="126"/>
      <c r="E37" s="126"/>
      <c r="F37" s="126"/>
      <c r="G37" s="126"/>
      <c r="H37" s="126"/>
      <c r="I37" s="126"/>
      <c r="J37" s="70"/>
      <c r="K37" s="68"/>
    </row>
    <row r="38" spans="1:11">
      <c r="A38" s="68"/>
      <c r="B38" s="69">
        <v>5</v>
      </c>
      <c r="C38" s="126"/>
      <c r="D38" s="126"/>
      <c r="E38" s="126"/>
      <c r="F38" s="126"/>
      <c r="G38" s="126"/>
      <c r="H38" s="126"/>
      <c r="I38" s="126"/>
      <c r="J38" s="70"/>
      <c r="K38" s="68"/>
    </row>
    <row r="39" spans="1:11">
      <c r="A39" s="68"/>
      <c r="B39" s="69">
        <v>6</v>
      </c>
      <c r="C39" s="126"/>
      <c r="D39" s="126"/>
      <c r="E39" s="126"/>
      <c r="F39" s="126"/>
      <c r="G39" s="126"/>
      <c r="H39" s="126"/>
      <c r="I39" s="126"/>
      <c r="J39" s="70"/>
      <c r="K39" s="68"/>
    </row>
    <row r="40" spans="1:11">
      <c r="A40" s="68"/>
      <c r="B40" s="79">
        <v>7</v>
      </c>
      <c r="C40" s="127"/>
      <c r="D40" s="127"/>
      <c r="E40" s="127"/>
      <c r="F40" s="127"/>
      <c r="G40" s="127"/>
      <c r="H40" s="127"/>
      <c r="I40" s="127"/>
      <c r="J40" s="74"/>
      <c r="K40" s="68"/>
    </row>
    <row r="41" spans="1:11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</row>
  </sheetData>
  <sheetProtection selectLockedCells="1"/>
  <mergeCells count="33">
    <mergeCell ref="C16:I16"/>
    <mergeCell ref="C22:I22"/>
    <mergeCell ref="C26:I26"/>
    <mergeCell ref="C36:I36"/>
    <mergeCell ref="C37:I37"/>
    <mergeCell ref="E31:G31"/>
    <mergeCell ref="E17:I17"/>
    <mergeCell ref="C30:I30"/>
    <mergeCell ref="E27:I27"/>
    <mergeCell ref="E28:I28"/>
    <mergeCell ref="E19:I19"/>
    <mergeCell ref="E18:I18"/>
    <mergeCell ref="E23:I23"/>
    <mergeCell ref="B7:J7"/>
    <mergeCell ref="C10:I10"/>
    <mergeCell ref="C13:D13"/>
    <mergeCell ref="C12:D12"/>
    <mergeCell ref="C11:D11"/>
    <mergeCell ref="E13:I13"/>
    <mergeCell ref="E12:I12"/>
    <mergeCell ref="E11:I11"/>
    <mergeCell ref="C38:I38"/>
    <mergeCell ref="C39:I39"/>
    <mergeCell ref="C40:I40"/>
    <mergeCell ref="C17:D17"/>
    <mergeCell ref="C18:D18"/>
    <mergeCell ref="C19:D19"/>
    <mergeCell ref="C23:D23"/>
    <mergeCell ref="C27:D27"/>
    <mergeCell ref="C28:D28"/>
    <mergeCell ref="C33:J33"/>
    <mergeCell ref="C34:I34"/>
    <mergeCell ref="C35:I35"/>
  </mergeCells>
  <pageMargins left="0.511811024" right="0.511811024" top="0.78740157499999996" bottom="0.78740157499999996" header="0.31496062000000002" footer="0.31496062000000002"/>
  <pageSetup paperSize="9" scale="9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8"/>
  <sheetViews>
    <sheetView showGridLines="0" view="pageBreakPreview" topLeftCell="A44" zoomScale="85" zoomScaleNormal="55" zoomScaleSheetLayoutView="85" workbookViewId="0">
      <selection activeCell="H32" sqref="H32"/>
    </sheetView>
  </sheetViews>
  <sheetFormatPr defaultRowHeight="15"/>
  <cols>
    <col min="1" max="1" width="6.140625" customWidth="1"/>
    <col min="2" max="2" width="17" customWidth="1"/>
    <col min="4" max="4" width="7.42578125" customWidth="1"/>
    <col min="5" max="5" width="14.28515625" bestFit="1" customWidth="1"/>
    <col min="6" max="6" width="22.28515625" customWidth="1"/>
    <col min="7" max="7" width="8" customWidth="1"/>
    <col min="8" max="8" width="12.42578125" customWidth="1"/>
    <col min="9" max="9" width="15.28515625" customWidth="1"/>
    <col min="10" max="10" width="11.5703125" customWidth="1"/>
    <col min="11" max="11" width="15.85546875" customWidth="1"/>
    <col min="12" max="12" width="15" customWidth="1"/>
    <col min="13" max="13" width="27" customWidth="1"/>
    <col min="14" max="14" width="3.42578125" customWidth="1"/>
    <col min="15" max="15" width="15.85546875" customWidth="1"/>
    <col min="16" max="16" width="12.7109375" bestFit="1" customWidth="1"/>
  </cols>
  <sheetData>
    <row r="1" spans="1:15" ht="20.25">
      <c r="A1" s="152"/>
      <c r="B1" s="152"/>
      <c r="C1" s="152"/>
      <c r="D1" s="152"/>
      <c r="E1" s="150" t="str">
        <f>'Dados iniciais '!$E$11</f>
        <v>PREFEITURA MUNICIPAL DE LAGES</v>
      </c>
      <c r="F1" s="150"/>
      <c r="G1" s="150"/>
      <c r="H1" s="150"/>
      <c r="I1" s="150"/>
      <c r="J1" s="150"/>
      <c r="K1" s="150"/>
      <c r="L1" s="90"/>
      <c r="M1" s="179" t="s">
        <v>137</v>
      </c>
    </row>
    <row r="2" spans="1:15">
      <c r="A2" s="152"/>
      <c r="B2" s="152"/>
      <c r="C2" s="152"/>
      <c r="D2" s="152"/>
      <c r="E2" s="151" t="str">
        <f>'Dados iniciais '!$E$12</f>
        <v>PAVIMENTAÇAO E DRENAGEM URBANA</v>
      </c>
      <c r="F2" s="151"/>
      <c r="G2" s="151"/>
      <c r="H2" s="151"/>
      <c r="I2" s="151"/>
      <c r="J2" s="151"/>
      <c r="K2" s="151"/>
      <c r="L2" s="91"/>
      <c r="M2" s="179"/>
    </row>
    <row r="3" spans="1:15">
      <c r="A3" s="153"/>
      <c r="B3" s="153"/>
      <c r="C3" s="153"/>
      <c r="D3" s="154"/>
      <c r="E3" s="161" t="s">
        <v>66</v>
      </c>
      <c r="F3" s="162"/>
      <c r="G3" s="162"/>
      <c r="H3" s="162"/>
      <c r="I3" s="162"/>
      <c r="J3" s="162"/>
      <c r="K3" s="163"/>
      <c r="L3" s="92"/>
      <c r="M3" s="180"/>
    </row>
    <row r="4" spans="1:15">
      <c r="A4" s="153"/>
      <c r="B4" s="153"/>
      <c r="C4" s="153"/>
      <c r="D4" s="154"/>
      <c r="E4" s="1" t="s">
        <v>5</v>
      </c>
      <c r="F4" s="172" t="str">
        <f>'Dados iniciais '!$E$17</f>
        <v>RUA GUERINO OMIZOLO</v>
      </c>
      <c r="G4" s="172"/>
      <c r="H4" s="172"/>
      <c r="I4" s="8"/>
      <c r="J4" s="7"/>
      <c r="K4" s="8"/>
      <c r="L4" s="16"/>
      <c r="M4" s="180"/>
    </row>
    <row r="5" spans="1:15">
      <c r="A5" s="158" t="s">
        <v>14</v>
      </c>
      <c r="B5" s="159"/>
      <c r="C5" s="159"/>
      <c r="D5" s="160"/>
      <c r="E5" s="2" t="s">
        <v>6</v>
      </c>
      <c r="F5" s="172" t="str">
        <f>'Dados iniciais '!$E$18</f>
        <v>BAIRRO CARAVÁGIO - LAGES</v>
      </c>
      <c r="G5" s="172"/>
      <c r="H5" s="172"/>
      <c r="J5" s="7"/>
      <c r="K5" s="8"/>
      <c r="L5" s="16"/>
      <c r="M5" s="3" t="s">
        <v>8</v>
      </c>
    </row>
    <row r="6" spans="1:15">
      <c r="A6" s="155" t="str">
        <f>'Dados iniciais '!E23</f>
        <v>ANTONIO CERON</v>
      </c>
      <c r="B6" s="156"/>
      <c r="C6" s="156"/>
      <c r="D6" s="157"/>
      <c r="E6" s="2" t="s">
        <v>7</v>
      </c>
      <c r="F6" s="172" t="str">
        <f>CONCATENATE('Dados iniciais '!$E$19," ","m")</f>
        <v>140 m</v>
      </c>
      <c r="G6" s="172"/>
      <c r="H6" s="172"/>
      <c r="I6" s="6" t="s">
        <v>51</v>
      </c>
      <c r="J6" s="7"/>
      <c r="K6" s="8"/>
      <c r="L6" s="17"/>
      <c r="M6" s="9">
        <f ca="1">TODAY()</f>
        <v>43307</v>
      </c>
    </row>
    <row r="7" spans="1:15">
      <c r="A7" s="35"/>
      <c r="B7" s="36"/>
      <c r="C7" s="36"/>
      <c r="D7" s="36"/>
      <c r="E7" s="36"/>
      <c r="F7" s="187" t="s">
        <v>126</v>
      </c>
      <c r="G7" s="187"/>
      <c r="H7" s="187"/>
      <c r="I7" s="187"/>
      <c r="J7" s="88"/>
      <c r="K7" s="168" t="s">
        <v>87</v>
      </c>
      <c r="L7" s="169"/>
      <c r="M7" s="55">
        <v>0.26850000000000002</v>
      </c>
    </row>
    <row r="8" spans="1:15">
      <c r="A8" s="149" t="s">
        <v>9</v>
      </c>
      <c r="B8" s="149" t="s">
        <v>11</v>
      </c>
      <c r="C8" s="149" t="s">
        <v>10</v>
      </c>
      <c r="D8" s="149"/>
      <c r="E8" s="149"/>
      <c r="F8" s="149"/>
      <c r="G8" s="149" t="s">
        <v>12</v>
      </c>
      <c r="H8" s="149" t="s">
        <v>13</v>
      </c>
      <c r="I8" s="164" t="s">
        <v>86</v>
      </c>
      <c r="J8" s="166" t="s">
        <v>93</v>
      </c>
      <c r="K8" s="170" t="s">
        <v>91</v>
      </c>
      <c r="L8" s="170" t="s">
        <v>92</v>
      </c>
      <c r="M8" s="149" t="s">
        <v>88</v>
      </c>
    </row>
    <row r="9" spans="1:15">
      <c r="A9" s="149"/>
      <c r="B9" s="149"/>
      <c r="C9" s="149"/>
      <c r="D9" s="149"/>
      <c r="E9" s="149"/>
      <c r="F9" s="149"/>
      <c r="G9" s="149"/>
      <c r="H9" s="149"/>
      <c r="I9" s="165"/>
      <c r="J9" s="167"/>
      <c r="K9" s="171"/>
      <c r="L9" s="171"/>
      <c r="M9" s="149"/>
    </row>
    <row r="10" spans="1:15">
      <c r="A10" s="100">
        <v>1</v>
      </c>
      <c r="B10" s="101"/>
      <c r="C10" s="181" t="s">
        <v>20</v>
      </c>
      <c r="D10" s="182"/>
      <c r="E10" s="182"/>
      <c r="F10" s="183"/>
      <c r="G10" s="93"/>
      <c r="H10" s="94"/>
      <c r="I10" s="102"/>
      <c r="J10" s="102"/>
      <c r="K10" s="97"/>
      <c r="L10" s="97"/>
      <c r="M10" s="97"/>
    </row>
    <row r="11" spans="1:15" s="98" customFormat="1" ht="40.5" customHeight="1">
      <c r="A11" s="93" t="s">
        <v>21</v>
      </c>
      <c r="B11" s="89" t="s">
        <v>23</v>
      </c>
      <c r="C11" s="146" t="s">
        <v>80</v>
      </c>
      <c r="D11" s="147"/>
      <c r="E11" s="147"/>
      <c r="F11" s="148"/>
      <c r="G11" s="93" t="s">
        <v>22</v>
      </c>
      <c r="H11" s="94">
        <f>(2*1.25)*2</f>
        <v>5</v>
      </c>
      <c r="I11" s="95">
        <v>314.24</v>
      </c>
      <c r="J11" s="96">
        <v>0.26850000000000002</v>
      </c>
      <c r="K11" s="97">
        <f>ROUND(H11*I11,2)</f>
        <v>1571.2</v>
      </c>
      <c r="L11" s="97">
        <f>SUM(I11*26.85/100+I11)</f>
        <v>398.61344000000003</v>
      </c>
      <c r="M11" s="97">
        <f>ROUND(K11*(1+J11),2)</f>
        <v>1993.07</v>
      </c>
    </row>
    <row r="12" spans="1:15" s="98" customFormat="1" ht="38.25" customHeight="1">
      <c r="A12" s="93" t="s">
        <v>25</v>
      </c>
      <c r="B12" s="89">
        <v>78472</v>
      </c>
      <c r="C12" s="146" t="s">
        <v>24</v>
      </c>
      <c r="D12" s="147"/>
      <c r="E12" s="147"/>
      <c r="F12" s="148"/>
      <c r="G12" s="93" t="s">
        <v>22</v>
      </c>
      <c r="H12" s="94">
        <v>1160.2</v>
      </c>
      <c r="I12" s="95">
        <v>0.28000000000000003</v>
      </c>
      <c r="J12" s="96">
        <v>0.26850000000000002</v>
      </c>
      <c r="K12" s="97">
        <f t="shared" ref="K12:K49" si="0">ROUND(H12*I12,2)</f>
        <v>324.86</v>
      </c>
      <c r="L12" s="97">
        <f>SUM(I12*26.85/100+I12)</f>
        <v>0.35518000000000005</v>
      </c>
      <c r="M12" s="97">
        <f>ROUND(K12*(1+J12),2)</f>
        <v>412.08</v>
      </c>
    </row>
    <row r="13" spans="1:15" s="107" customFormat="1" ht="18.75" customHeight="1">
      <c r="A13" s="106"/>
      <c r="B13" s="173" t="s">
        <v>116</v>
      </c>
      <c r="C13" s="174"/>
      <c r="D13" s="174"/>
      <c r="E13" s="174"/>
      <c r="F13" s="174"/>
      <c r="G13" s="174"/>
      <c r="H13" s="174"/>
      <c r="I13" s="174"/>
      <c r="J13" s="174"/>
      <c r="K13" s="174"/>
      <c r="L13" s="175"/>
      <c r="M13" s="120">
        <f>SUM(M11:M12)</f>
        <v>2405.15</v>
      </c>
    </row>
    <row r="14" spans="1:15" s="98" customFormat="1">
      <c r="A14" s="113">
        <v>2</v>
      </c>
      <c r="B14" s="114"/>
      <c r="C14" s="184" t="s">
        <v>81</v>
      </c>
      <c r="D14" s="185"/>
      <c r="E14" s="185"/>
      <c r="F14" s="186"/>
      <c r="G14" s="115"/>
      <c r="H14" s="116"/>
      <c r="I14" s="118"/>
      <c r="J14" s="119"/>
      <c r="K14" s="117"/>
      <c r="L14" s="117"/>
      <c r="M14" s="117"/>
      <c r="O14" s="109"/>
    </row>
    <row r="15" spans="1:15" s="98" customFormat="1" ht="39.75" customHeight="1">
      <c r="A15" s="93" t="s">
        <v>84</v>
      </c>
      <c r="B15" s="89">
        <v>66000</v>
      </c>
      <c r="C15" s="146" t="s">
        <v>102</v>
      </c>
      <c r="D15" s="147"/>
      <c r="E15" s="147"/>
      <c r="F15" s="148"/>
      <c r="G15" s="93" t="s">
        <v>52</v>
      </c>
      <c r="H15" s="94">
        <v>163</v>
      </c>
      <c r="I15" s="95">
        <v>56.14</v>
      </c>
      <c r="J15" s="96">
        <v>0.26850000000000002</v>
      </c>
      <c r="K15" s="97">
        <f t="shared" si="0"/>
        <v>9150.82</v>
      </c>
      <c r="L15" s="97">
        <f t="shared" ref="L15:L49" si="1">SUM(I15*26.85/100+I15)</f>
        <v>71.213589999999996</v>
      </c>
      <c r="M15" s="97">
        <f t="shared" ref="M15:M33" si="2">ROUND(K15*(1+J15),2)</f>
        <v>11607.82</v>
      </c>
      <c r="O15" s="109"/>
    </row>
    <row r="16" spans="1:15" s="98" customFormat="1" ht="39.75" customHeight="1">
      <c r="A16" s="93" t="s">
        <v>85</v>
      </c>
      <c r="B16" s="112">
        <v>65005</v>
      </c>
      <c r="C16" s="146" t="s">
        <v>101</v>
      </c>
      <c r="D16" s="147"/>
      <c r="E16" s="147"/>
      <c r="F16" s="148"/>
      <c r="G16" s="108" t="s">
        <v>54</v>
      </c>
      <c r="H16" s="94">
        <f>SUM((H15*0.8*1.1)+(10*1.1*1.1*1.1))</f>
        <v>156.75000000000003</v>
      </c>
      <c r="I16" s="95">
        <v>5.04</v>
      </c>
      <c r="J16" s="96">
        <v>0.26850000000000002</v>
      </c>
      <c r="K16" s="97">
        <f t="shared" si="0"/>
        <v>790.02</v>
      </c>
      <c r="L16" s="97">
        <f t="shared" si="1"/>
        <v>6.3932400000000005</v>
      </c>
      <c r="M16" s="97">
        <f t="shared" si="2"/>
        <v>1002.14</v>
      </c>
      <c r="O16" s="109"/>
    </row>
    <row r="17" spans="1:13" s="98" customFormat="1" ht="36" customHeight="1">
      <c r="A17" s="93" t="s">
        <v>119</v>
      </c>
      <c r="B17" s="89">
        <v>83668</v>
      </c>
      <c r="C17" s="146" t="s">
        <v>117</v>
      </c>
      <c r="D17" s="147"/>
      <c r="E17" s="147"/>
      <c r="F17" s="148"/>
      <c r="G17" s="93" t="s">
        <v>54</v>
      </c>
      <c r="H17" s="94">
        <f>SUM(H15*0.8*0.5-(0.196*H15))+(H15*0.8*0.1)</f>
        <v>46.292000000000002</v>
      </c>
      <c r="I17" s="95">
        <v>101.03</v>
      </c>
      <c r="J17" s="96">
        <v>0.26850000000000002</v>
      </c>
      <c r="K17" s="97">
        <f t="shared" si="0"/>
        <v>4676.88</v>
      </c>
      <c r="L17" s="97">
        <f t="shared" si="1"/>
        <v>128.156555</v>
      </c>
      <c r="M17" s="97">
        <f t="shared" si="2"/>
        <v>5932.62</v>
      </c>
    </row>
    <row r="18" spans="1:13" s="98" customFormat="1">
      <c r="A18" s="93" t="s">
        <v>120</v>
      </c>
      <c r="B18" s="89">
        <v>83356</v>
      </c>
      <c r="C18" s="146" t="s">
        <v>108</v>
      </c>
      <c r="D18" s="147"/>
      <c r="E18" s="147"/>
      <c r="F18" s="148"/>
      <c r="G18" s="93" t="s">
        <v>53</v>
      </c>
      <c r="H18" s="94">
        <f>SUM(H17*15)</f>
        <v>694.38</v>
      </c>
      <c r="I18" s="95">
        <v>0.71</v>
      </c>
      <c r="J18" s="96">
        <v>0.26850000000000002</v>
      </c>
      <c r="K18" s="97">
        <f t="shared" ref="K18" si="3">ROUND(H18*I18,2)</f>
        <v>493.01</v>
      </c>
      <c r="L18" s="97">
        <f t="shared" ref="L18" si="4">SUM(I18*26.85/100+I18)</f>
        <v>0.90063499999999996</v>
      </c>
      <c r="M18" s="97">
        <f t="shared" ref="M18" si="5">ROUND(K18*(1+J18),2)</f>
        <v>625.38</v>
      </c>
    </row>
    <row r="19" spans="1:13" s="98" customFormat="1" ht="27.75" customHeight="1">
      <c r="A19" s="93" t="s">
        <v>121</v>
      </c>
      <c r="B19" s="89" t="s">
        <v>82</v>
      </c>
      <c r="C19" s="146" t="s">
        <v>115</v>
      </c>
      <c r="D19" s="147"/>
      <c r="E19" s="147"/>
      <c r="F19" s="148"/>
      <c r="G19" s="93" t="s">
        <v>113</v>
      </c>
      <c r="H19" s="94">
        <v>10</v>
      </c>
      <c r="I19" s="95">
        <v>1327.63</v>
      </c>
      <c r="J19" s="96">
        <v>0.26850000000000002</v>
      </c>
      <c r="K19" s="97">
        <f t="shared" si="0"/>
        <v>13276.3</v>
      </c>
      <c r="L19" s="97">
        <f t="shared" si="1"/>
        <v>1684.0986550000002</v>
      </c>
      <c r="M19" s="97">
        <f t="shared" si="2"/>
        <v>16840.990000000002</v>
      </c>
    </row>
    <row r="20" spans="1:13" s="98" customFormat="1" ht="47.25" customHeight="1">
      <c r="A20" s="93" t="s">
        <v>122</v>
      </c>
      <c r="B20" s="89">
        <v>93382</v>
      </c>
      <c r="C20" s="146" t="s">
        <v>127</v>
      </c>
      <c r="D20" s="147"/>
      <c r="E20" s="147"/>
      <c r="F20" s="148"/>
      <c r="G20" s="93" t="s">
        <v>54</v>
      </c>
      <c r="H20" s="94">
        <f>SUM(H15*0.5*0.8)</f>
        <v>65.2</v>
      </c>
      <c r="I20" s="95">
        <v>21</v>
      </c>
      <c r="J20" s="96">
        <v>0.26850000000000002</v>
      </c>
      <c r="K20" s="97">
        <f t="shared" si="0"/>
        <v>1369.2</v>
      </c>
      <c r="L20" s="97">
        <f t="shared" si="1"/>
        <v>26.638500000000001</v>
      </c>
      <c r="M20" s="97">
        <f t="shared" si="2"/>
        <v>1736.83</v>
      </c>
    </row>
    <row r="21" spans="1:13" s="98" customFormat="1" ht="21.75" customHeight="1">
      <c r="A21" s="93" t="s">
        <v>123</v>
      </c>
      <c r="B21" s="89">
        <v>3779</v>
      </c>
      <c r="C21" s="146" t="s">
        <v>107</v>
      </c>
      <c r="D21" s="147"/>
      <c r="E21" s="147"/>
      <c r="F21" s="148"/>
      <c r="G21" s="93" t="s">
        <v>22</v>
      </c>
      <c r="H21" s="94">
        <f>SUM(H15*0.8)</f>
        <v>130.4</v>
      </c>
      <c r="I21" s="95">
        <v>0.99</v>
      </c>
      <c r="J21" s="96">
        <v>0.26850000000000002</v>
      </c>
      <c r="K21" s="97">
        <f t="shared" si="0"/>
        <v>129.1</v>
      </c>
      <c r="L21" s="97">
        <f t="shared" si="1"/>
        <v>1.2558150000000001</v>
      </c>
      <c r="M21" s="97">
        <f t="shared" si="2"/>
        <v>163.76</v>
      </c>
    </row>
    <row r="22" spans="1:13" s="98" customFormat="1" ht="15" customHeight="1">
      <c r="A22" s="93"/>
      <c r="B22" s="173" t="s">
        <v>116</v>
      </c>
      <c r="C22" s="174"/>
      <c r="D22" s="174"/>
      <c r="E22" s="174"/>
      <c r="F22" s="174"/>
      <c r="G22" s="174"/>
      <c r="H22" s="174"/>
      <c r="I22" s="174"/>
      <c r="J22" s="174"/>
      <c r="K22" s="174"/>
      <c r="L22" s="175"/>
      <c r="M22" s="120">
        <f>SUM(M15:M21)</f>
        <v>37909.54</v>
      </c>
    </row>
    <row r="23" spans="1:13" s="98" customFormat="1">
      <c r="A23" s="113">
        <v>3</v>
      </c>
      <c r="B23" s="114"/>
      <c r="C23" s="176" t="s">
        <v>28</v>
      </c>
      <c r="D23" s="177"/>
      <c r="E23" s="177"/>
      <c r="F23" s="178"/>
      <c r="G23" s="115"/>
      <c r="H23" s="116"/>
      <c r="I23" s="118"/>
      <c r="J23" s="119"/>
      <c r="K23" s="117"/>
      <c r="L23" s="117"/>
      <c r="M23" s="117"/>
    </row>
    <row r="24" spans="1:13" s="98" customFormat="1" ht="33.75" customHeight="1">
      <c r="A24" s="93" t="s">
        <v>96</v>
      </c>
      <c r="B24" s="89">
        <v>72961</v>
      </c>
      <c r="C24" s="146" t="s">
        <v>26</v>
      </c>
      <c r="D24" s="147"/>
      <c r="E24" s="147"/>
      <c r="F24" s="148"/>
      <c r="G24" s="93" t="s">
        <v>22</v>
      </c>
      <c r="H24" s="94">
        <f>SUM(H12)</f>
        <v>1160.2</v>
      </c>
      <c r="I24" s="95">
        <v>1.17</v>
      </c>
      <c r="J24" s="96">
        <v>0.26850000000000002</v>
      </c>
      <c r="K24" s="97">
        <f t="shared" si="0"/>
        <v>1357.43</v>
      </c>
      <c r="L24" s="97">
        <f t="shared" si="1"/>
        <v>1.4841449999999998</v>
      </c>
      <c r="M24" s="97">
        <f t="shared" si="2"/>
        <v>1721.9</v>
      </c>
    </row>
    <row r="25" spans="1:13" s="98" customFormat="1" ht="27" customHeight="1">
      <c r="A25" s="93" t="s">
        <v>79</v>
      </c>
      <c r="B25" s="124">
        <v>53130</v>
      </c>
      <c r="C25" s="146" t="s">
        <v>131</v>
      </c>
      <c r="D25" s="147"/>
      <c r="E25" s="147"/>
      <c r="F25" s="148"/>
      <c r="G25" s="93" t="s">
        <v>54</v>
      </c>
      <c r="H25" s="94">
        <f>H24*0.1</f>
        <v>116.02000000000001</v>
      </c>
      <c r="I25" s="95">
        <v>69.22</v>
      </c>
      <c r="J25" s="96">
        <v>0.26850000000000002</v>
      </c>
      <c r="K25" s="97">
        <f t="shared" si="0"/>
        <v>8030.9</v>
      </c>
      <c r="L25" s="97">
        <f t="shared" si="1"/>
        <v>87.805570000000003</v>
      </c>
      <c r="M25" s="97">
        <f t="shared" si="2"/>
        <v>10187.200000000001</v>
      </c>
    </row>
    <row r="26" spans="1:13" s="98" customFormat="1" ht="26.25" customHeight="1">
      <c r="A26" s="93" t="s">
        <v>36</v>
      </c>
      <c r="B26" s="89">
        <v>83356</v>
      </c>
      <c r="C26" s="146" t="s">
        <v>134</v>
      </c>
      <c r="D26" s="147"/>
      <c r="E26" s="147"/>
      <c r="F26" s="148"/>
      <c r="G26" s="93" t="s">
        <v>54</v>
      </c>
      <c r="H26" s="94">
        <f>H25*15</f>
        <v>1740.3000000000002</v>
      </c>
      <c r="I26" s="95">
        <v>0.68</v>
      </c>
      <c r="J26" s="96">
        <v>0.26850000000000002</v>
      </c>
      <c r="K26" s="97">
        <f t="shared" si="0"/>
        <v>1183.4000000000001</v>
      </c>
      <c r="L26" s="97">
        <f t="shared" ref="L26" si="6">SUM(I26*26.85/100+I26)</f>
        <v>0.86258000000000012</v>
      </c>
      <c r="M26" s="97">
        <f t="shared" si="2"/>
        <v>1501.14</v>
      </c>
    </row>
    <row r="27" spans="1:13" s="98" customFormat="1" ht="30" customHeight="1">
      <c r="A27" s="93" t="s">
        <v>37</v>
      </c>
      <c r="B27" s="89">
        <v>96396</v>
      </c>
      <c r="C27" s="146" t="s">
        <v>135</v>
      </c>
      <c r="D27" s="147"/>
      <c r="E27" s="147"/>
      <c r="F27" s="148"/>
      <c r="G27" s="93" t="s">
        <v>54</v>
      </c>
      <c r="H27" s="94">
        <f>SUM(H24*0.15)</f>
        <v>174.03</v>
      </c>
      <c r="I27" s="95">
        <v>105.31</v>
      </c>
      <c r="J27" s="96">
        <v>0.26850000000000002</v>
      </c>
      <c r="K27" s="97">
        <f t="shared" ref="K27:K28" si="7">ROUND(H27*I27,2)</f>
        <v>18327.099999999999</v>
      </c>
      <c r="L27" s="97">
        <f t="shared" ref="L27:L28" si="8">SUM(I27*26.85/100+I27)</f>
        <v>133.585735</v>
      </c>
      <c r="M27" s="97">
        <f t="shared" ref="M27:M28" si="9">ROUND(K27*(1+J27),2)</f>
        <v>23247.93</v>
      </c>
    </row>
    <row r="28" spans="1:13" s="98" customFormat="1" ht="30.75" customHeight="1">
      <c r="A28" s="93" t="s">
        <v>38</v>
      </c>
      <c r="B28" s="89">
        <v>83356</v>
      </c>
      <c r="C28" s="146" t="s">
        <v>109</v>
      </c>
      <c r="D28" s="147"/>
      <c r="E28" s="147"/>
      <c r="F28" s="148"/>
      <c r="G28" s="93" t="s">
        <v>53</v>
      </c>
      <c r="H28" s="94">
        <f>SUM(H27*15)</f>
        <v>2610.4499999999998</v>
      </c>
      <c r="I28" s="95">
        <v>0.71</v>
      </c>
      <c r="J28" s="96">
        <v>0.26850000000000002</v>
      </c>
      <c r="K28" s="97">
        <f t="shared" si="7"/>
        <v>1853.42</v>
      </c>
      <c r="L28" s="97">
        <f t="shared" si="8"/>
        <v>0.90063499999999996</v>
      </c>
      <c r="M28" s="97">
        <f t="shared" si="9"/>
        <v>2351.06</v>
      </c>
    </row>
    <row r="29" spans="1:13" s="98" customFormat="1" ht="30" customHeight="1">
      <c r="A29" s="93" t="s">
        <v>39</v>
      </c>
      <c r="B29" s="89">
        <v>72945</v>
      </c>
      <c r="C29" s="146" t="s">
        <v>118</v>
      </c>
      <c r="D29" s="147"/>
      <c r="E29" s="147"/>
      <c r="F29" s="148"/>
      <c r="G29" s="93" t="s">
        <v>22</v>
      </c>
      <c r="H29" s="94">
        <f>SUM(H24)</f>
        <v>1160.2</v>
      </c>
      <c r="I29" s="95">
        <v>4.87</v>
      </c>
      <c r="J29" s="96">
        <v>0.26850000000000002</v>
      </c>
      <c r="K29" s="97">
        <f t="shared" si="0"/>
        <v>5650.17</v>
      </c>
      <c r="L29" s="97">
        <f t="shared" si="1"/>
        <v>6.1775950000000002</v>
      </c>
      <c r="M29" s="97">
        <f t="shared" si="2"/>
        <v>7167.24</v>
      </c>
    </row>
    <row r="30" spans="1:13" s="98" customFormat="1" ht="33" customHeight="1">
      <c r="A30" s="93" t="s">
        <v>40</v>
      </c>
      <c r="B30" s="89">
        <v>72943</v>
      </c>
      <c r="C30" s="146" t="s">
        <v>27</v>
      </c>
      <c r="D30" s="147"/>
      <c r="E30" s="147"/>
      <c r="F30" s="148"/>
      <c r="G30" s="93" t="s">
        <v>22</v>
      </c>
      <c r="H30" s="94">
        <f>SUM(H24)</f>
        <v>1160.2</v>
      </c>
      <c r="I30" s="95">
        <v>1.37</v>
      </c>
      <c r="J30" s="96">
        <v>0.26850000000000002</v>
      </c>
      <c r="K30" s="97">
        <f t="shared" si="0"/>
        <v>1589.47</v>
      </c>
      <c r="L30" s="97">
        <f t="shared" si="1"/>
        <v>1.7378450000000001</v>
      </c>
      <c r="M30" s="97">
        <f t="shared" si="2"/>
        <v>2016.24</v>
      </c>
    </row>
    <row r="31" spans="1:13" s="105" customFormat="1" ht="37.5" customHeight="1">
      <c r="A31" s="93" t="s">
        <v>41</v>
      </c>
      <c r="B31" s="89">
        <v>95995</v>
      </c>
      <c r="C31" s="146" t="s">
        <v>128</v>
      </c>
      <c r="D31" s="147"/>
      <c r="E31" s="147"/>
      <c r="F31" s="148"/>
      <c r="G31" s="93" t="s">
        <v>54</v>
      </c>
      <c r="H31" s="94">
        <f>ROUND(H24*0.04,2)</f>
        <v>46.41</v>
      </c>
      <c r="I31" s="95">
        <v>699.55</v>
      </c>
      <c r="J31" s="96">
        <v>0.26850000000000002</v>
      </c>
      <c r="K31" s="97">
        <f t="shared" si="0"/>
        <v>32466.12</v>
      </c>
      <c r="L31" s="97">
        <f t="shared" si="1"/>
        <v>887.37917499999992</v>
      </c>
      <c r="M31" s="97">
        <f t="shared" si="2"/>
        <v>41183.269999999997</v>
      </c>
    </row>
    <row r="32" spans="1:13" s="98" customFormat="1" ht="30.75" customHeight="1">
      <c r="A32" s="93" t="s">
        <v>132</v>
      </c>
      <c r="B32" s="89">
        <v>95303</v>
      </c>
      <c r="C32" s="146" t="s">
        <v>110</v>
      </c>
      <c r="D32" s="147"/>
      <c r="E32" s="147"/>
      <c r="F32" s="148"/>
      <c r="G32" s="93" t="s">
        <v>53</v>
      </c>
      <c r="H32" s="94">
        <f>SUM(H31*15)</f>
        <v>696.15</v>
      </c>
      <c r="I32" s="95">
        <v>0.91</v>
      </c>
      <c r="J32" s="96">
        <v>0.26850000000000002</v>
      </c>
      <c r="K32" s="97">
        <f t="shared" si="0"/>
        <v>633.5</v>
      </c>
      <c r="L32" s="97">
        <f t="shared" si="1"/>
        <v>1.1543350000000001</v>
      </c>
      <c r="M32" s="97">
        <f t="shared" si="2"/>
        <v>803.59</v>
      </c>
    </row>
    <row r="33" spans="1:16" s="98" customFormat="1" ht="32.25" customHeight="1">
      <c r="A33" s="93" t="s">
        <v>133</v>
      </c>
      <c r="B33" s="89">
        <v>94273</v>
      </c>
      <c r="C33" s="146" t="s">
        <v>111</v>
      </c>
      <c r="D33" s="147"/>
      <c r="E33" s="147"/>
      <c r="F33" s="148"/>
      <c r="G33" s="93" t="s">
        <v>52</v>
      </c>
      <c r="H33" s="94">
        <f>131+132</f>
        <v>263</v>
      </c>
      <c r="I33" s="95">
        <v>31.91</v>
      </c>
      <c r="J33" s="96">
        <v>0.26850000000000002</v>
      </c>
      <c r="K33" s="97">
        <f t="shared" si="0"/>
        <v>8392.33</v>
      </c>
      <c r="L33" s="97">
        <f t="shared" si="1"/>
        <v>40.477834999999999</v>
      </c>
      <c r="M33" s="97">
        <f t="shared" si="2"/>
        <v>10645.67</v>
      </c>
    </row>
    <row r="34" spans="1:16" s="98" customFormat="1">
      <c r="A34" s="93"/>
      <c r="B34" s="173" t="s">
        <v>116</v>
      </c>
      <c r="C34" s="174"/>
      <c r="D34" s="174"/>
      <c r="E34" s="174"/>
      <c r="F34" s="174"/>
      <c r="G34" s="174"/>
      <c r="H34" s="174"/>
      <c r="I34" s="174"/>
      <c r="J34" s="174"/>
      <c r="K34" s="174"/>
      <c r="L34" s="175"/>
      <c r="M34" s="120">
        <f>SUM(M24:M33)</f>
        <v>100825.23999999998</v>
      </c>
    </row>
    <row r="35" spans="1:16" s="98" customFormat="1">
      <c r="A35" s="113">
        <v>4</v>
      </c>
      <c r="B35" s="114"/>
      <c r="C35" s="184" t="s">
        <v>29</v>
      </c>
      <c r="D35" s="185"/>
      <c r="E35" s="185"/>
      <c r="F35" s="186"/>
      <c r="G35" s="115"/>
      <c r="H35" s="116"/>
      <c r="I35" s="118"/>
      <c r="J35" s="119"/>
      <c r="K35" s="117"/>
      <c r="L35" s="117"/>
      <c r="M35" s="117"/>
    </row>
    <row r="36" spans="1:16" s="98" customFormat="1" ht="30" customHeight="1">
      <c r="A36" s="93" t="s">
        <v>42</v>
      </c>
      <c r="B36" s="89" t="s">
        <v>98</v>
      </c>
      <c r="C36" s="146" t="s">
        <v>30</v>
      </c>
      <c r="D36" s="147"/>
      <c r="E36" s="147"/>
      <c r="F36" s="148"/>
      <c r="G36" s="93" t="s">
        <v>22</v>
      </c>
      <c r="H36" s="94">
        <f>302.08+296.55</f>
        <v>598.63</v>
      </c>
      <c r="I36" s="95">
        <v>1.77</v>
      </c>
      <c r="J36" s="96">
        <v>0.26850000000000002</v>
      </c>
      <c r="K36" s="97">
        <f t="shared" si="0"/>
        <v>1059.58</v>
      </c>
      <c r="L36" s="97">
        <f t="shared" si="1"/>
        <v>2.2452450000000002</v>
      </c>
      <c r="M36" s="97">
        <f>SUM(L36*H36)</f>
        <v>1344.07101435</v>
      </c>
    </row>
    <row r="37" spans="1:16" s="98" customFormat="1" ht="15" customHeight="1">
      <c r="A37" s="93" t="s">
        <v>43</v>
      </c>
      <c r="B37" s="89">
        <v>83668</v>
      </c>
      <c r="C37" s="146" t="s">
        <v>94</v>
      </c>
      <c r="D37" s="147"/>
      <c r="E37" s="147"/>
      <c r="F37" s="148"/>
      <c r="G37" s="93" t="s">
        <v>54</v>
      </c>
      <c r="H37" s="94">
        <f>ROUND(H36*0.05,2)</f>
        <v>29.93</v>
      </c>
      <c r="I37" s="95">
        <v>101.03</v>
      </c>
      <c r="J37" s="96">
        <v>0.26850000000000002</v>
      </c>
      <c r="K37" s="97">
        <f t="shared" si="0"/>
        <v>3023.83</v>
      </c>
      <c r="L37" s="97">
        <f t="shared" si="1"/>
        <v>128.156555</v>
      </c>
      <c r="M37" s="97">
        <f>ROUND(K37*(1+J37),2)</f>
        <v>3835.73</v>
      </c>
    </row>
    <row r="38" spans="1:16" s="98" customFormat="1" ht="55.5" customHeight="1">
      <c r="A38" s="93" t="s">
        <v>44</v>
      </c>
      <c r="B38" s="89">
        <v>94990</v>
      </c>
      <c r="C38" s="146" t="s">
        <v>136</v>
      </c>
      <c r="D38" s="147"/>
      <c r="E38" s="147"/>
      <c r="F38" s="148"/>
      <c r="G38" s="93" t="s">
        <v>54</v>
      </c>
      <c r="H38" s="94">
        <f>(H36*0.05)</f>
        <v>29.9315</v>
      </c>
      <c r="I38" s="95">
        <v>522.48</v>
      </c>
      <c r="J38" s="96">
        <v>0.26850000000000002</v>
      </c>
      <c r="K38" s="97">
        <f>SUM(H38*I38)</f>
        <v>15638.610120000001</v>
      </c>
      <c r="L38" s="97">
        <f t="shared" si="1"/>
        <v>662.76588000000004</v>
      </c>
      <c r="M38" s="97">
        <f>SUM(L38*H38)</f>
        <v>19837.576937220001</v>
      </c>
    </row>
    <row r="39" spans="1:16" s="98" customFormat="1" ht="33" customHeight="1">
      <c r="A39" s="93" t="s">
        <v>45</v>
      </c>
      <c r="B39" s="89" t="s">
        <v>103</v>
      </c>
      <c r="C39" s="146" t="s">
        <v>31</v>
      </c>
      <c r="D39" s="147"/>
      <c r="E39" s="147"/>
      <c r="F39" s="148"/>
      <c r="G39" s="93" t="s">
        <v>22</v>
      </c>
      <c r="H39" s="94">
        <f>51.21+50.62</f>
        <v>101.83</v>
      </c>
      <c r="I39" s="95">
        <v>63.66</v>
      </c>
      <c r="J39" s="96">
        <v>0.26850000000000002</v>
      </c>
      <c r="K39" s="97">
        <f t="shared" ref="K39:K40" si="10">SUM(H39*I39)</f>
        <v>6482.4977999999992</v>
      </c>
      <c r="L39" s="97">
        <f t="shared" si="1"/>
        <v>80.752709999999993</v>
      </c>
      <c r="M39" s="97">
        <f t="shared" ref="M39:M40" si="11">SUM(L39*H39)</f>
        <v>8223.0484592999983</v>
      </c>
    </row>
    <row r="40" spans="1:16" s="98" customFormat="1" ht="33" customHeight="1">
      <c r="A40" s="93" t="s">
        <v>46</v>
      </c>
      <c r="B40" s="89" t="s">
        <v>103</v>
      </c>
      <c r="C40" s="146" t="s">
        <v>32</v>
      </c>
      <c r="D40" s="147"/>
      <c r="E40" s="147"/>
      <c r="F40" s="148"/>
      <c r="G40" s="93" t="s">
        <v>22</v>
      </c>
      <c r="H40" s="94">
        <f>(2.31*2)+(17.42)</f>
        <v>22.040000000000003</v>
      </c>
      <c r="I40" s="95">
        <v>63.66</v>
      </c>
      <c r="J40" s="96">
        <v>0.26850000000000002</v>
      </c>
      <c r="K40" s="97">
        <f t="shared" si="10"/>
        <v>1403.0664000000002</v>
      </c>
      <c r="L40" s="97">
        <f t="shared" si="1"/>
        <v>80.752709999999993</v>
      </c>
      <c r="M40" s="97">
        <f t="shared" si="11"/>
        <v>1779.7897284000001</v>
      </c>
    </row>
    <row r="41" spans="1:16" s="105" customFormat="1" ht="17.25" customHeight="1">
      <c r="A41" s="93"/>
      <c r="B41" s="173" t="s">
        <v>116</v>
      </c>
      <c r="C41" s="174"/>
      <c r="D41" s="174"/>
      <c r="E41" s="174"/>
      <c r="F41" s="174"/>
      <c r="G41" s="174"/>
      <c r="H41" s="174"/>
      <c r="I41" s="174"/>
      <c r="J41" s="174"/>
      <c r="K41" s="174"/>
      <c r="L41" s="175"/>
      <c r="M41" s="120">
        <f>SUM(M36:M40)</f>
        <v>35020.21613927</v>
      </c>
    </row>
    <row r="42" spans="1:16" s="98" customFormat="1">
      <c r="A42" s="115">
        <v>5</v>
      </c>
      <c r="B42" s="114"/>
      <c r="C42" s="184" t="s">
        <v>33</v>
      </c>
      <c r="D42" s="185"/>
      <c r="E42" s="185"/>
      <c r="F42" s="186"/>
      <c r="G42" s="115"/>
      <c r="H42" s="116"/>
      <c r="I42" s="118"/>
      <c r="J42" s="119"/>
      <c r="K42" s="117"/>
      <c r="L42" s="117"/>
      <c r="M42" s="117"/>
    </row>
    <row r="43" spans="1:16" s="98" customFormat="1" ht="48.75" customHeight="1">
      <c r="A43" s="93" t="s">
        <v>47</v>
      </c>
      <c r="B43" s="89">
        <v>72947</v>
      </c>
      <c r="C43" s="146" t="s">
        <v>104</v>
      </c>
      <c r="D43" s="147"/>
      <c r="E43" s="147"/>
      <c r="F43" s="148"/>
      <c r="G43" s="93" t="s">
        <v>22</v>
      </c>
      <c r="H43" s="94">
        <f>0.12*128</f>
        <v>15.36</v>
      </c>
      <c r="I43" s="95">
        <v>20.260000000000002</v>
      </c>
      <c r="J43" s="96">
        <v>0.26850000000000002</v>
      </c>
      <c r="K43" s="97">
        <f t="shared" si="0"/>
        <v>311.19</v>
      </c>
      <c r="L43" s="97">
        <f t="shared" si="1"/>
        <v>25.699810000000003</v>
      </c>
      <c r="M43" s="97">
        <f t="shared" ref="M43:M49" si="12">ROUND(K43*(1+J43),2)</f>
        <v>394.74</v>
      </c>
    </row>
    <row r="44" spans="1:16" s="98" customFormat="1" ht="47.25" customHeight="1">
      <c r="A44" s="93" t="s">
        <v>48</v>
      </c>
      <c r="B44" s="89">
        <v>72947</v>
      </c>
      <c r="C44" s="146" t="s">
        <v>105</v>
      </c>
      <c r="D44" s="147"/>
      <c r="E44" s="147"/>
      <c r="F44" s="148"/>
      <c r="G44" s="93" t="s">
        <v>22</v>
      </c>
      <c r="H44" s="94">
        <f>(4*0.4)*18</f>
        <v>28.8</v>
      </c>
      <c r="I44" s="95">
        <v>20.95</v>
      </c>
      <c r="J44" s="96">
        <v>0.26850000000000002</v>
      </c>
      <c r="K44" s="97">
        <f t="shared" si="0"/>
        <v>603.36</v>
      </c>
      <c r="L44" s="97">
        <f t="shared" si="1"/>
        <v>26.575074999999998</v>
      </c>
      <c r="M44" s="97">
        <f t="shared" si="12"/>
        <v>765.36</v>
      </c>
    </row>
    <row r="45" spans="1:16" s="98" customFormat="1" ht="30.75" customHeight="1">
      <c r="A45" s="93" t="s">
        <v>49</v>
      </c>
      <c r="B45" s="89" t="s">
        <v>106</v>
      </c>
      <c r="C45" s="146" t="s">
        <v>34</v>
      </c>
      <c r="D45" s="147"/>
      <c r="E45" s="147"/>
      <c r="F45" s="148"/>
      <c r="G45" s="93" t="s">
        <v>113</v>
      </c>
      <c r="H45" s="94">
        <v>4</v>
      </c>
      <c r="I45" s="95">
        <v>88.19</v>
      </c>
      <c r="J45" s="96">
        <v>0.26850000000000002</v>
      </c>
      <c r="K45" s="97">
        <f t="shared" si="0"/>
        <v>352.76</v>
      </c>
      <c r="L45" s="97">
        <f t="shared" si="1"/>
        <v>111.86901499999999</v>
      </c>
      <c r="M45" s="97">
        <f t="shared" si="12"/>
        <v>447.48</v>
      </c>
    </row>
    <row r="46" spans="1:16" s="98" customFormat="1" ht="33.75" customHeight="1">
      <c r="A46" s="93" t="s">
        <v>50</v>
      </c>
      <c r="B46" s="89" t="s">
        <v>77</v>
      </c>
      <c r="C46" s="146" t="s">
        <v>35</v>
      </c>
      <c r="D46" s="147"/>
      <c r="E46" s="147"/>
      <c r="F46" s="148"/>
      <c r="G46" s="93" t="s">
        <v>22</v>
      </c>
      <c r="H46" s="99">
        <f>SUM(4*0.28)</f>
        <v>1.1200000000000001</v>
      </c>
      <c r="I46" s="95">
        <v>286.86</v>
      </c>
      <c r="J46" s="96">
        <v>0.26850000000000002</v>
      </c>
      <c r="K46" s="97">
        <f t="shared" si="0"/>
        <v>321.27999999999997</v>
      </c>
      <c r="L46" s="97">
        <f t="shared" si="1"/>
        <v>363.88191</v>
      </c>
      <c r="M46" s="97">
        <f t="shared" si="12"/>
        <v>407.54</v>
      </c>
    </row>
    <row r="47" spans="1:16" s="98" customFormat="1" ht="31.5" customHeight="1">
      <c r="A47" s="93" t="s">
        <v>83</v>
      </c>
      <c r="B47" s="89" t="s">
        <v>77</v>
      </c>
      <c r="C47" s="146" t="s">
        <v>97</v>
      </c>
      <c r="D47" s="147"/>
      <c r="E47" s="147"/>
      <c r="F47" s="148"/>
      <c r="G47" s="93" t="s">
        <v>22</v>
      </c>
      <c r="H47" s="99">
        <f>SUM(2*0.36)</f>
        <v>0.72</v>
      </c>
      <c r="I47" s="95">
        <v>286.86</v>
      </c>
      <c r="J47" s="96">
        <v>0.26850000000000002</v>
      </c>
      <c r="K47" s="97">
        <f>ROUND(H47*I47,2)</f>
        <v>206.54</v>
      </c>
      <c r="L47" s="97">
        <f>SUM(I47*26.85/100+I47)</f>
        <v>363.88191</v>
      </c>
      <c r="M47" s="97">
        <f>ROUND(K47*(1+J47),2)</f>
        <v>262</v>
      </c>
    </row>
    <row r="48" spans="1:16" s="98" customFormat="1" ht="32.25" customHeight="1">
      <c r="A48" s="93" t="s">
        <v>124</v>
      </c>
      <c r="B48" s="89">
        <v>7696</v>
      </c>
      <c r="C48" s="146" t="s">
        <v>95</v>
      </c>
      <c r="D48" s="147"/>
      <c r="E48" s="147"/>
      <c r="F48" s="148"/>
      <c r="G48" s="93" t="s">
        <v>52</v>
      </c>
      <c r="H48" s="99">
        <f>SUM(3.5*8)</f>
        <v>28</v>
      </c>
      <c r="I48" s="95">
        <v>38.43</v>
      </c>
      <c r="J48" s="96">
        <v>0.26850000000000002</v>
      </c>
      <c r="K48" s="97">
        <f t="shared" si="0"/>
        <v>1076.04</v>
      </c>
      <c r="L48" s="97">
        <f t="shared" si="1"/>
        <v>48.748455</v>
      </c>
      <c r="M48" s="97">
        <f t="shared" si="12"/>
        <v>1364.96</v>
      </c>
      <c r="P48" s="109"/>
    </row>
    <row r="49" spans="1:15" s="98" customFormat="1" ht="28.5" customHeight="1">
      <c r="A49" s="93" t="s">
        <v>125</v>
      </c>
      <c r="B49" s="89">
        <v>94975</v>
      </c>
      <c r="C49" s="146" t="s">
        <v>112</v>
      </c>
      <c r="D49" s="147"/>
      <c r="E49" s="147"/>
      <c r="F49" s="148"/>
      <c r="G49" s="93" t="s">
        <v>54</v>
      </c>
      <c r="H49" s="99">
        <f>SUM(8*0.05)</f>
        <v>0.4</v>
      </c>
      <c r="I49" s="95">
        <v>355.89</v>
      </c>
      <c r="J49" s="96">
        <v>0.26850000000000002</v>
      </c>
      <c r="K49" s="97">
        <f t="shared" si="0"/>
        <v>142.36000000000001</v>
      </c>
      <c r="L49" s="97">
        <f t="shared" si="1"/>
        <v>451.44646499999999</v>
      </c>
      <c r="M49" s="97">
        <f t="shared" si="12"/>
        <v>180.58</v>
      </c>
    </row>
    <row r="50" spans="1:15" s="98" customFormat="1" ht="19.5" customHeight="1">
      <c r="A50" s="93"/>
      <c r="B50" s="173" t="s">
        <v>116</v>
      </c>
      <c r="C50" s="174"/>
      <c r="D50" s="174"/>
      <c r="E50" s="174"/>
      <c r="F50" s="174"/>
      <c r="G50" s="174"/>
      <c r="H50" s="174"/>
      <c r="I50" s="174"/>
      <c r="J50" s="174"/>
      <c r="K50" s="174"/>
      <c r="L50" s="175"/>
      <c r="M50" s="120">
        <f>SUM(M43:M49)</f>
        <v>3822.66</v>
      </c>
    </row>
    <row r="51" spans="1:15">
      <c r="A51" s="26"/>
      <c r="B51" s="195" t="s">
        <v>19</v>
      </c>
      <c r="C51" s="196"/>
      <c r="D51" s="196"/>
      <c r="E51" s="196"/>
      <c r="F51" s="196"/>
      <c r="G51" s="196"/>
      <c r="H51" s="196"/>
      <c r="I51" s="196"/>
      <c r="J51" s="197"/>
      <c r="K51" s="27"/>
      <c r="L51" s="27"/>
      <c r="M51" s="51">
        <f>SUM(M13+M22+M34+M41+M50)</f>
        <v>179982.80613926999</v>
      </c>
    </row>
    <row r="52" spans="1:15">
      <c r="A52" s="198" t="s">
        <v>55</v>
      </c>
      <c r="B52" s="199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123"/>
      <c r="O52" s="110">
        <f>SUM(M51/H24)</f>
        <v>155.13084480199103</v>
      </c>
    </row>
    <row r="53" spans="1:15">
      <c r="A53" s="54"/>
      <c r="B53" s="192" t="str">
        <f>IF(M7=0,"FALTA PREENCHER O BDI ","")</f>
        <v/>
      </c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3"/>
    </row>
    <row r="54" spans="1:15">
      <c r="A54" s="54"/>
      <c r="B54" s="190" t="s">
        <v>89</v>
      </c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1"/>
    </row>
    <row r="55" spans="1:15">
      <c r="A55" s="54"/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3"/>
    </row>
    <row r="56" spans="1:15">
      <c r="A56" s="121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</row>
    <row r="57" spans="1:15">
      <c r="A57" s="121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</row>
    <row r="58" spans="1:15">
      <c r="A58" s="121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</row>
    <row r="60" spans="1:15">
      <c r="G60" s="189" t="str">
        <f>'Dados iniciais '!E27</f>
        <v xml:space="preserve">WILSON TADEU BESEN </v>
      </c>
      <c r="H60" s="189"/>
      <c r="I60" s="189"/>
      <c r="J60" s="189"/>
    </row>
    <row r="61" spans="1:15">
      <c r="G61" s="188" t="s">
        <v>56</v>
      </c>
      <c r="H61" s="188"/>
      <c r="I61" s="188"/>
      <c r="J61" s="188"/>
    </row>
    <row r="62" spans="1:15">
      <c r="G62" s="188" t="str">
        <f>CONCATENATE("CREA ", 'Dados iniciais '!E28)</f>
        <v>CREA 5807-4</v>
      </c>
      <c r="H62" s="188"/>
      <c r="I62" s="188"/>
      <c r="J62" s="188"/>
    </row>
    <row r="63" spans="1:15">
      <c r="C63" s="11"/>
      <c r="D63" s="11"/>
      <c r="E63" s="11"/>
      <c r="F63" s="11"/>
      <c r="G63" s="194" t="s">
        <v>138</v>
      </c>
      <c r="H63" s="194"/>
      <c r="I63" s="194"/>
      <c r="J63" s="194"/>
      <c r="K63" s="11"/>
      <c r="L63" s="11"/>
      <c r="M63" s="13"/>
    </row>
    <row r="64" spans="1:15">
      <c r="C64" s="188"/>
      <c r="D64" s="188"/>
      <c r="E64" s="188"/>
      <c r="F64" s="188"/>
    </row>
    <row r="68" spans="10:10">
      <c r="J68" s="87"/>
    </row>
  </sheetData>
  <sheetProtection selectLockedCells="1"/>
  <mergeCells count="73">
    <mergeCell ref="B53:M53"/>
    <mergeCell ref="B51:J51"/>
    <mergeCell ref="A52:B52"/>
    <mergeCell ref="C42:F42"/>
    <mergeCell ref="C44:F44"/>
    <mergeCell ref="C45:F45"/>
    <mergeCell ref="C49:F49"/>
    <mergeCell ref="C47:F47"/>
    <mergeCell ref="B41:L41"/>
    <mergeCell ref="B50:L50"/>
    <mergeCell ref="C43:F43"/>
    <mergeCell ref="C48:F48"/>
    <mergeCell ref="C46:F46"/>
    <mergeCell ref="C64:F64"/>
    <mergeCell ref="G61:J61"/>
    <mergeCell ref="G60:J60"/>
    <mergeCell ref="G62:J62"/>
    <mergeCell ref="B54:M54"/>
    <mergeCell ref="B55:M55"/>
    <mergeCell ref="G63:J63"/>
    <mergeCell ref="C27:F27"/>
    <mergeCell ref="C29:F29"/>
    <mergeCell ref="C36:F36"/>
    <mergeCell ref="C30:F30"/>
    <mergeCell ref="C28:F28"/>
    <mergeCell ref="C33:F33"/>
    <mergeCell ref="C31:F31"/>
    <mergeCell ref="B34:L34"/>
    <mergeCell ref="C32:F32"/>
    <mergeCell ref="C40:F40"/>
    <mergeCell ref="C35:F35"/>
    <mergeCell ref="C37:F37"/>
    <mergeCell ref="C38:F38"/>
    <mergeCell ref="C39:F39"/>
    <mergeCell ref="M1:M4"/>
    <mergeCell ref="C10:F10"/>
    <mergeCell ref="M8:M9"/>
    <mergeCell ref="C17:F17"/>
    <mergeCell ref="K8:K9"/>
    <mergeCell ref="C11:F11"/>
    <mergeCell ref="C12:F12"/>
    <mergeCell ref="C15:F15"/>
    <mergeCell ref="C14:F14"/>
    <mergeCell ref="C16:F16"/>
    <mergeCell ref="F7:I7"/>
    <mergeCell ref="H8:H9"/>
    <mergeCell ref="C20:F20"/>
    <mergeCell ref="C23:F23"/>
    <mergeCell ref="C21:F21"/>
    <mergeCell ref="C24:F24"/>
    <mergeCell ref="B22:L22"/>
    <mergeCell ref="C18:F18"/>
    <mergeCell ref="F4:H4"/>
    <mergeCell ref="C19:F19"/>
    <mergeCell ref="F5:H5"/>
    <mergeCell ref="F6:H6"/>
    <mergeCell ref="B13:L13"/>
    <mergeCell ref="C25:F25"/>
    <mergeCell ref="C26:F26"/>
    <mergeCell ref="A8:A9"/>
    <mergeCell ref="B8:B9"/>
    <mergeCell ref="E1:K1"/>
    <mergeCell ref="E2:K2"/>
    <mergeCell ref="A1:D4"/>
    <mergeCell ref="A6:D6"/>
    <mergeCell ref="A5:D5"/>
    <mergeCell ref="C8:F9"/>
    <mergeCell ref="E3:K3"/>
    <mergeCell ref="I8:I9"/>
    <mergeCell ref="J8:J9"/>
    <mergeCell ref="K7:L7"/>
    <mergeCell ref="L8:L9"/>
    <mergeCell ref="G8:G9"/>
  </mergeCells>
  <printOptions horizontalCentered="1"/>
  <pageMargins left="0.7" right="0.7" top="0.75" bottom="0.75" header="0.3" footer="0.3"/>
  <pageSetup paperSize="9" scale="72" fitToHeight="0" orientation="landscape" r:id="rId1"/>
  <rowBreaks count="2" manualBreakCount="2">
    <brk id="22" max="12" man="1"/>
    <brk id="40" max="12" man="1"/>
  </rowBreaks>
  <ignoredErrors>
    <ignoredError sqref="H28 H24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4"/>
  <sheetViews>
    <sheetView showGridLines="0" tabSelected="1" view="pageBreakPreview" zoomScale="70" zoomScaleNormal="70" zoomScaleSheetLayoutView="70" workbookViewId="0">
      <selection activeCell="W33" sqref="W33"/>
    </sheetView>
  </sheetViews>
  <sheetFormatPr defaultRowHeight="15"/>
  <cols>
    <col min="1" max="1" width="9.7109375" customWidth="1"/>
    <col min="3" max="3" width="11.7109375" customWidth="1"/>
    <col min="4" max="4" width="15.140625" bestFit="1" customWidth="1"/>
    <col min="5" max="5" width="30.42578125" customWidth="1"/>
    <col min="6" max="6" width="19.140625" customWidth="1"/>
    <col min="7" max="7" width="15.7109375" bestFit="1" customWidth="1"/>
    <col min="8" max="8" width="9.7109375" style="21" customWidth="1"/>
    <col min="9" max="9" width="15.7109375" bestFit="1" customWidth="1"/>
    <col min="10" max="10" width="8.85546875" style="21" customWidth="1"/>
    <col min="11" max="11" width="16" bestFit="1" customWidth="1"/>
    <col min="12" max="12" width="9.28515625" style="21" bestFit="1" customWidth="1"/>
    <col min="13" max="13" width="19.5703125" hidden="1" customWidth="1"/>
    <col min="14" max="14" width="10.5703125" style="21" hidden="1" customWidth="1"/>
    <col min="15" max="15" width="19.85546875" hidden="1" customWidth="1"/>
    <col min="16" max="16" width="8.85546875" style="21" hidden="1" customWidth="1"/>
    <col min="17" max="17" width="10.42578125" hidden="1" customWidth="1"/>
    <col min="18" max="18" width="20" style="21" hidden="1" customWidth="1"/>
    <col min="19" max="19" width="19.5703125" bestFit="1" customWidth="1"/>
    <col min="20" max="20" width="13.140625" bestFit="1" customWidth="1"/>
    <col min="23" max="23" width="15.85546875" bestFit="1" customWidth="1"/>
  </cols>
  <sheetData>
    <row r="1" spans="1:20" ht="20.25">
      <c r="A1" s="152"/>
      <c r="B1" s="152"/>
      <c r="C1" s="152"/>
      <c r="D1" s="150" t="str">
        <f>'Dados iniciais '!$E$11</f>
        <v>PREFEITURA MUNICIPAL DE LAGES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4"/>
      <c r="T1" s="179" t="s">
        <v>137</v>
      </c>
    </row>
    <row r="2" spans="1:20">
      <c r="A2" s="152"/>
      <c r="B2" s="152"/>
      <c r="C2" s="152"/>
      <c r="D2" s="151" t="str">
        <f>'Dados iniciais '!$E$12</f>
        <v>PAVIMENTAÇAO E DRENAGEM URBANA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5"/>
      <c r="T2" s="179"/>
    </row>
    <row r="3" spans="1:20">
      <c r="A3" s="153"/>
      <c r="B3" s="153"/>
      <c r="C3" s="154"/>
      <c r="D3" s="216" t="s">
        <v>67</v>
      </c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38"/>
      <c r="T3" s="180"/>
    </row>
    <row r="4" spans="1:20">
      <c r="A4" s="153"/>
      <c r="B4" s="153"/>
      <c r="C4" s="154"/>
      <c r="D4" s="1" t="s">
        <v>5</v>
      </c>
      <c r="E4" s="215" t="str">
        <f>'Dados iniciais '!$E$17</f>
        <v>RUA GUERINO OMIZOLO</v>
      </c>
      <c r="F4" s="215"/>
      <c r="G4" s="28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16"/>
      <c r="T4" s="180"/>
    </row>
    <row r="5" spans="1:20">
      <c r="A5" s="158" t="s">
        <v>14</v>
      </c>
      <c r="B5" s="159"/>
      <c r="C5" s="160"/>
      <c r="D5" s="2" t="s">
        <v>6</v>
      </c>
      <c r="E5" s="215" t="str">
        <f>'Dados iniciais '!$E$18</f>
        <v>BAIRRO CARAVÁGIO - LAGES</v>
      </c>
      <c r="F5" s="215"/>
      <c r="G5" s="30"/>
      <c r="H5" s="86"/>
      <c r="I5" s="31"/>
      <c r="J5" s="31"/>
      <c r="K5" s="31"/>
      <c r="L5" s="31"/>
      <c r="M5" s="31"/>
      <c r="N5" s="31"/>
      <c r="O5" s="31"/>
      <c r="P5" s="31"/>
      <c r="Q5" s="31"/>
      <c r="R5" s="31"/>
      <c r="S5" s="32"/>
      <c r="T5" s="3" t="s">
        <v>8</v>
      </c>
    </row>
    <row r="6" spans="1:20">
      <c r="A6" s="155" t="str">
        <f>'Dados iniciais '!E23</f>
        <v>ANTONIO CERON</v>
      </c>
      <c r="B6" s="156"/>
      <c r="C6" s="157"/>
      <c r="D6" s="2" t="s">
        <v>7</v>
      </c>
      <c r="E6" s="215" t="str">
        <f>CONCATENATE('Dados iniciais '!$E$19," ","m")</f>
        <v>140 m</v>
      </c>
      <c r="F6" s="215"/>
      <c r="G6" s="33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17"/>
      <c r="T6" s="9">
        <f ca="1">TODAY()</f>
        <v>43307</v>
      </c>
    </row>
    <row r="7" spans="1:20">
      <c r="A7" s="217"/>
      <c r="B7" s="218"/>
      <c r="C7" s="218"/>
      <c r="D7" s="219"/>
      <c r="E7" s="219"/>
      <c r="F7" s="220"/>
      <c r="G7" s="35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7"/>
      <c r="T7" s="10"/>
    </row>
    <row r="8" spans="1:20">
      <c r="A8" s="221" t="s">
        <v>9</v>
      </c>
      <c r="B8" s="214" t="s">
        <v>10</v>
      </c>
      <c r="C8" s="214"/>
      <c r="D8" s="214"/>
      <c r="E8" s="214"/>
      <c r="F8" s="214" t="s">
        <v>63</v>
      </c>
      <c r="G8" s="214" t="s">
        <v>57</v>
      </c>
      <c r="H8" s="214"/>
      <c r="I8" s="214" t="s">
        <v>58</v>
      </c>
      <c r="J8" s="214"/>
      <c r="K8" s="214" t="s">
        <v>59</v>
      </c>
      <c r="L8" s="214"/>
      <c r="M8" s="214" t="s">
        <v>60</v>
      </c>
      <c r="N8" s="214"/>
      <c r="O8" s="214" t="s">
        <v>61</v>
      </c>
      <c r="P8" s="214"/>
      <c r="Q8" s="214" t="s">
        <v>62</v>
      </c>
      <c r="R8" s="214"/>
      <c r="S8" s="212"/>
      <c r="T8" s="212"/>
    </row>
    <row r="9" spans="1:20">
      <c r="A9" s="222"/>
      <c r="B9" s="214"/>
      <c r="C9" s="214"/>
      <c r="D9" s="214"/>
      <c r="E9" s="214"/>
      <c r="F9" s="214"/>
      <c r="G9" s="84" t="s">
        <v>64</v>
      </c>
      <c r="H9" s="85" t="s">
        <v>65</v>
      </c>
      <c r="I9" s="84" t="s">
        <v>64</v>
      </c>
      <c r="J9" s="85" t="s">
        <v>65</v>
      </c>
      <c r="K9" s="84" t="s">
        <v>64</v>
      </c>
      <c r="L9" s="85" t="s">
        <v>65</v>
      </c>
      <c r="M9" s="84" t="s">
        <v>64</v>
      </c>
      <c r="N9" s="85" t="s">
        <v>65</v>
      </c>
      <c r="O9" s="84" t="s">
        <v>64</v>
      </c>
      <c r="P9" s="85" t="s">
        <v>65</v>
      </c>
      <c r="Q9" s="84" t="s">
        <v>64</v>
      </c>
      <c r="R9" s="85" t="s">
        <v>65</v>
      </c>
      <c r="S9" s="213"/>
      <c r="T9" s="213"/>
    </row>
    <row r="10" spans="1:20">
      <c r="A10" s="111">
        <f>Orçamento!A10</f>
        <v>1</v>
      </c>
      <c r="B10" s="205" t="str">
        <f>Orçamento!C10</f>
        <v>SERVIÇOS INICIAIS</v>
      </c>
      <c r="C10" s="206"/>
      <c r="D10" s="206"/>
      <c r="E10" s="207"/>
      <c r="F10" s="19"/>
      <c r="G10" s="23"/>
      <c r="H10" s="57"/>
      <c r="I10" s="23"/>
      <c r="J10" s="57"/>
      <c r="K10" s="23"/>
      <c r="L10" s="57"/>
      <c r="M10" s="25"/>
      <c r="N10" s="57"/>
      <c r="O10" s="25"/>
      <c r="P10" s="57"/>
      <c r="Q10" s="25"/>
      <c r="R10" s="57"/>
      <c r="S10" s="41"/>
      <c r="T10" s="56"/>
    </row>
    <row r="11" spans="1:20">
      <c r="A11" s="83" t="str">
        <f>Orçamento!A11</f>
        <v>1.1</v>
      </c>
      <c r="B11" s="202" t="str">
        <f>Orçamento!C11</f>
        <v>PLACA DE OBRA COM DIMENSÕES DE 2,0m X 1,25m COM PINTURA CONFORME ESPECIFICAÇÃO DO PROGRAMA</v>
      </c>
      <c r="C11" s="203"/>
      <c r="D11" s="203"/>
      <c r="E11" s="204"/>
      <c r="F11" s="19">
        <f>Orçamento!M11</f>
        <v>1993.07</v>
      </c>
      <c r="G11" s="25">
        <f>F11*H11</f>
        <v>1993.07</v>
      </c>
      <c r="H11" s="57">
        <v>1</v>
      </c>
      <c r="I11" s="25">
        <f>F11*J11</f>
        <v>0</v>
      </c>
      <c r="J11" s="57"/>
      <c r="K11" s="25">
        <f>F11*L11</f>
        <v>0</v>
      </c>
      <c r="L11" s="57"/>
      <c r="M11" s="24">
        <f>F11*N11</f>
        <v>0</v>
      </c>
      <c r="N11" s="57"/>
      <c r="O11" s="25">
        <f>F11*P11</f>
        <v>0</v>
      </c>
      <c r="P11" s="57"/>
      <c r="Q11" s="25">
        <f>F11*R11</f>
        <v>0</v>
      </c>
      <c r="R11" s="57"/>
      <c r="S11" s="41">
        <f>G11+I11+K11+M11+O11+Q11</f>
        <v>1993.07</v>
      </c>
      <c r="T11" s="56">
        <f>H11+J11+L11+N11+P11+R11</f>
        <v>1</v>
      </c>
    </row>
    <row r="12" spans="1:20">
      <c r="A12" s="83" t="str">
        <f>Orçamento!A12</f>
        <v>1.2</v>
      </c>
      <c r="B12" s="202" t="str">
        <f>Orçamento!C12</f>
        <v>LOCACAO DA OBRA, COM USO DE EQUIPAMENTOS TOPOGRAFICOS, INCLUSIVE TOPOGRAFO  E NIVELADOR</v>
      </c>
      <c r="C12" s="203"/>
      <c r="D12" s="203"/>
      <c r="E12" s="204"/>
      <c r="F12" s="19">
        <f>Orçamento!M12</f>
        <v>412.08</v>
      </c>
      <c r="G12" s="25">
        <f t="shared" ref="G12:G45" si="0">F12*H12</f>
        <v>412.08</v>
      </c>
      <c r="H12" s="57">
        <v>1</v>
      </c>
      <c r="I12" s="25">
        <f t="shared" ref="I12:I45" si="1">F12*J12</f>
        <v>0</v>
      </c>
      <c r="J12" s="57"/>
      <c r="K12" s="25">
        <f t="shared" ref="K12:K45" si="2">F12*L12</f>
        <v>0</v>
      </c>
      <c r="L12" s="57"/>
      <c r="M12" s="24">
        <f t="shared" ref="M12:M45" si="3">F12*N12</f>
        <v>0</v>
      </c>
      <c r="N12" s="57"/>
      <c r="O12" s="25">
        <f t="shared" ref="O12:O45" si="4">F12*P12</f>
        <v>0</v>
      </c>
      <c r="P12" s="57"/>
      <c r="Q12" s="25">
        <f t="shared" ref="Q12:Q45" si="5">F12*R12</f>
        <v>0</v>
      </c>
      <c r="R12" s="57"/>
      <c r="S12" s="41">
        <f t="shared" ref="S12:S45" si="6">G12+I12+K12+M12+O12+Q12</f>
        <v>412.08</v>
      </c>
      <c r="T12" s="56">
        <f t="shared" ref="T12:T45" si="7">H12+J12+L12+N12+P12+R12</f>
        <v>1</v>
      </c>
    </row>
    <row r="13" spans="1:20">
      <c r="A13" s="111">
        <f>Orçamento!A14</f>
        <v>2</v>
      </c>
      <c r="B13" s="205" t="str">
        <f>Orçamento!C14</f>
        <v>DRENAGEM</v>
      </c>
      <c r="C13" s="206"/>
      <c r="D13" s="206"/>
      <c r="E13" s="207"/>
      <c r="F13" s="19"/>
      <c r="G13" s="25"/>
      <c r="H13" s="57"/>
      <c r="I13" s="25"/>
      <c r="J13" s="57"/>
      <c r="K13" s="25"/>
      <c r="L13" s="57"/>
      <c r="M13" s="24"/>
      <c r="N13" s="57"/>
      <c r="O13" s="25"/>
      <c r="P13" s="57"/>
      <c r="Q13" s="25"/>
      <c r="R13" s="57"/>
      <c r="S13" s="41"/>
      <c r="T13" s="56"/>
    </row>
    <row r="14" spans="1:20">
      <c r="A14" s="83" t="str">
        <f>Orçamento!A15</f>
        <v>2.1</v>
      </c>
      <c r="B14" s="202" t="str">
        <f>Orçamento!C15</f>
        <v>TUBOS DE CONCRETO: FORNECIMENTO, CARGA, TRANSPORTE E REJUNTE INT. PARA DIAMENTRO DE 40cm</v>
      </c>
      <c r="C14" s="203"/>
      <c r="D14" s="203"/>
      <c r="E14" s="204"/>
      <c r="F14" s="19">
        <f>Orçamento!M15</f>
        <v>11607.82</v>
      </c>
      <c r="G14" s="25">
        <f t="shared" si="0"/>
        <v>11607.82</v>
      </c>
      <c r="H14" s="57">
        <v>1</v>
      </c>
      <c r="I14" s="25">
        <f t="shared" si="1"/>
        <v>0</v>
      </c>
      <c r="J14" s="57"/>
      <c r="K14" s="25">
        <f t="shared" si="2"/>
        <v>0</v>
      </c>
      <c r="L14" s="57"/>
      <c r="M14" s="24">
        <f t="shared" si="3"/>
        <v>0</v>
      </c>
      <c r="N14" s="57"/>
      <c r="O14" s="25">
        <f t="shared" si="4"/>
        <v>0</v>
      </c>
      <c r="P14" s="57"/>
      <c r="Q14" s="25">
        <f t="shared" si="5"/>
        <v>0</v>
      </c>
      <c r="R14" s="57"/>
      <c r="S14" s="41">
        <f t="shared" si="6"/>
        <v>11607.82</v>
      </c>
      <c r="T14" s="56">
        <f t="shared" si="7"/>
        <v>1</v>
      </c>
    </row>
    <row r="15" spans="1:20">
      <c r="A15" s="83" t="str">
        <f>Orçamento!A16</f>
        <v>2.2</v>
      </c>
      <c r="B15" s="202" t="str">
        <f>Orçamento!C16</f>
        <v xml:space="preserve">ESC. MEC. DE VALAS P/OBRAS DE ARTE CORRENTES EM SOLO </v>
      </c>
      <c r="C15" s="203"/>
      <c r="D15" s="203"/>
      <c r="E15" s="204"/>
      <c r="F15" s="19">
        <f>Orçamento!M16</f>
        <v>1002.14</v>
      </c>
      <c r="G15" s="25">
        <f t="shared" si="0"/>
        <v>1002.14</v>
      </c>
      <c r="H15" s="57">
        <v>1</v>
      </c>
      <c r="I15" s="25">
        <f t="shared" si="1"/>
        <v>0</v>
      </c>
      <c r="J15" s="57"/>
      <c r="K15" s="25">
        <f t="shared" si="2"/>
        <v>0</v>
      </c>
      <c r="L15" s="57"/>
      <c r="M15" s="24">
        <f t="shared" si="3"/>
        <v>0</v>
      </c>
      <c r="N15" s="57"/>
      <c r="O15" s="25">
        <f t="shared" si="4"/>
        <v>0</v>
      </c>
      <c r="P15" s="57"/>
      <c r="Q15" s="25">
        <f t="shared" si="5"/>
        <v>0</v>
      </c>
      <c r="R15" s="57"/>
      <c r="S15" s="41">
        <f t="shared" si="6"/>
        <v>1002.14</v>
      </c>
      <c r="T15" s="56">
        <f t="shared" si="7"/>
        <v>1</v>
      </c>
    </row>
    <row r="16" spans="1:20">
      <c r="A16" s="83" t="str">
        <f>Orçamento!A17</f>
        <v>2.3</v>
      </c>
      <c r="B16" s="202" t="str">
        <f>Orçamento!C17</f>
        <v>ENVOLVIMENTO DA TUBULAÇÃO COM BRITA 2 / CAMADA DRENANTE COM BRITA 2, ESPESSURA 10Cm</v>
      </c>
      <c r="C16" s="203"/>
      <c r="D16" s="203"/>
      <c r="E16" s="204"/>
      <c r="F16" s="19">
        <f>Orçamento!M17</f>
        <v>5932.62</v>
      </c>
      <c r="G16" s="25">
        <f t="shared" si="0"/>
        <v>5932.62</v>
      </c>
      <c r="H16" s="57">
        <v>1</v>
      </c>
      <c r="I16" s="25">
        <f t="shared" si="1"/>
        <v>0</v>
      </c>
      <c r="J16" s="57"/>
      <c r="K16" s="25">
        <f t="shared" si="2"/>
        <v>0</v>
      </c>
      <c r="L16" s="57"/>
      <c r="M16" s="24">
        <f t="shared" si="3"/>
        <v>0</v>
      </c>
      <c r="N16" s="57"/>
      <c r="O16" s="25">
        <f t="shared" si="4"/>
        <v>0</v>
      </c>
      <c r="P16" s="57"/>
      <c r="Q16" s="25">
        <f t="shared" si="5"/>
        <v>0</v>
      </c>
      <c r="R16" s="57"/>
      <c r="S16" s="41">
        <f t="shared" si="6"/>
        <v>5932.62</v>
      </c>
      <c r="T16" s="56">
        <f t="shared" si="7"/>
        <v>1</v>
      </c>
    </row>
    <row r="17" spans="1:20">
      <c r="A17" s="83" t="str">
        <f>Orçamento!A18</f>
        <v>2.4</v>
      </c>
      <c r="B17" s="202" t="str">
        <f>Orçamento!C18</f>
        <v>TRANSPORTE COMERCIAL DE BRITA 2 - 15KM</v>
      </c>
      <c r="C17" s="203"/>
      <c r="D17" s="203"/>
      <c r="E17" s="204"/>
      <c r="F17" s="19">
        <f>Orçamento!M18</f>
        <v>625.38</v>
      </c>
      <c r="G17" s="25">
        <f t="shared" si="0"/>
        <v>625.38</v>
      </c>
      <c r="H17" s="57">
        <v>1</v>
      </c>
      <c r="I17" s="25">
        <f t="shared" si="1"/>
        <v>0</v>
      </c>
      <c r="J17" s="57"/>
      <c r="K17" s="25">
        <f t="shared" si="2"/>
        <v>0</v>
      </c>
      <c r="L17" s="57"/>
      <c r="M17" s="24">
        <f t="shared" si="3"/>
        <v>0</v>
      </c>
      <c r="N17" s="57"/>
      <c r="O17" s="25">
        <f t="shared" si="4"/>
        <v>0</v>
      </c>
      <c r="P17" s="57"/>
      <c r="Q17" s="25">
        <f t="shared" si="5"/>
        <v>0</v>
      </c>
      <c r="R17" s="57"/>
      <c r="S17" s="41">
        <f t="shared" si="6"/>
        <v>625.38</v>
      </c>
      <c r="T17" s="56">
        <f t="shared" si="7"/>
        <v>1</v>
      </c>
    </row>
    <row r="18" spans="1:20">
      <c r="A18" s="83" t="str">
        <f>Orçamento!A19</f>
        <v>2.5</v>
      </c>
      <c r="B18" s="202" t="str">
        <f>Orçamento!C19</f>
        <v xml:space="preserve">CAIXAS DE CAPTAÇÃO COMPLETA PARA TUBOS DE DIAMETRO 40cm </v>
      </c>
      <c r="C18" s="203"/>
      <c r="D18" s="203"/>
      <c r="E18" s="204"/>
      <c r="F18" s="19">
        <f>Orçamento!M19</f>
        <v>16840.990000000002</v>
      </c>
      <c r="G18" s="25">
        <f t="shared" si="0"/>
        <v>16840.990000000002</v>
      </c>
      <c r="H18" s="57">
        <v>1</v>
      </c>
      <c r="I18" s="25">
        <f t="shared" si="1"/>
        <v>0</v>
      </c>
      <c r="J18" s="57"/>
      <c r="K18" s="25">
        <f t="shared" si="2"/>
        <v>0</v>
      </c>
      <c r="L18" s="57"/>
      <c r="M18" s="24">
        <f t="shared" si="3"/>
        <v>0</v>
      </c>
      <c r="N18" s="57"/>
      <c r="O18" s="25">
        <f t="shared" si="4"/>
        <v>0</v>
      </c>
      <c r="P18" s="57"/>
      <c r="Q18" s="25">
        <f t="shared" si="5"/>
        <v>0</v>
      </c>
      <c r="R18" s="57"/>
      <c r="S18" s="41">
        <f t="shared" si="6"/>
        <v>16840.990000000002</v>
      </c>
      <c r="T18" s="56">
        <f t="shared" si="7"/>
        <v>1</v>
      </c>
    </row>
    <row r="19" spans="1:20">
      <c r="A19" s="83" t="str">
        <f>Orçamento!A20</f>
        <v>2.6</v>
      </c>
      <c r="B19" s="202" t="str">
        <f>Orçamento!C20</f>
        <v>REATERRO E COMPACTACAO MECANICO DE VALA COM COMPACTADOR MECANICO TIPO SOQUETE VIBRATORIO EM CAMADAS DE 20CM</v>
      </c>
      <c r="C19" s="203"/>
      <c r="D19" s="203"/>
      <c r="E19" s="204"/>
      <c r="F19" s="19">
        <f>Orçamento!M20</f>
        <v>1736.83</v>
      </c>
      <c r="G19" s="25">
        <f t="shared" si="0"/>
        <v>1736.83</v>
      </c>
      <c r="H19" s="57">
        <v>1</v>
      </c>
      <c r="I19" s="25">
        <f t="shared" si="1"/>
        <v>0</v>
      </c>
      <c r="J19" s="57"/>
      <c r="K19" s="25">
        <f t="shared" si="2"/>
        <v>0</v>
      </c>
      <c r="L19" s="57"/>
      <c r="M19" s="24">
        <f t="shared" si="3"/>
        <v>0</v>
      </c>
      <c r="N19" s="57"/>
      <c r="O19" s="25">
        <f t="shared" si="4"/>
        <v>0</v>
      </c>
      <c r="P19" s="57"/>
      <c r="Q19" s="25">
        <f t="shared" si="5"/>
        <v>0</v>
      </c>
      <c r="R19" s="57"/>
      <c r="S19" s="41">
        <f t="shared" si="6"/>
        <v>1736.83</v>
      </c>
      <c r="T19" s="56">
        <f t="shared" si="7"/>
        <v>1</v>
      </c>
    </row>
    <row r="20" spans="1:20">
      <c r="A20" s="83" t="str">
        <f>Orçamento!A21</f>
        <v>2.7</v>
      </c>
      <c r="B20" s="202" t="str">
        <f>Orçamento!C21</f>
        <v xml:space="preserve">LONA PRETA </v>
      </c>
      <c r="C20" s="203"/>
      <c r="D20" s="203"/>
      <c r="E20" s="204"/>
      <c r="F20" s="19">
        <f>Orçamento!M21</f>
        <v>163.76</v>
      </c>
      <c r="G20" s="25">
        <f t="shared" si="0"/>
        <v>163.76</v>
      </c>
      <c r="H20" s="57">
        <v>1</v>
      </c>
      <c r="I20" s="25">
        <f t="shared" si="1"/>
        <v>0</v>
      </c>
      <c r="J20" s="57"/>
      <c r="K20" s="25">
        <f t="shared" si="2"/>
        <v>0</v>
      </c>
      <c r="L20" s="57"/>
      <c r="M20" s="24">
        <f t="shared" si="3"/>
        <v>0</v>
      </c>
      <c r="N20" s="57"/>
      <c r="O20" s="25">
        <f t="shared" si="4"/>
        <v>0</v>
      </c>
      <c r="P20" s="57"/>
      <c r="Q20" s="25">
        <f t="shared" si="5"/>
        <v>0</v>
      </c>
      <c r="R20" s="57"/>
      <c r="S20" s="41">
        <f t="shared" si="6"/>
        <v>163.76</v>
      </c>
      <c r="T20" s="56">
        <f t="shared" si="7"/>
        <v>1</v>
      </c>
    </row>
    <row r="21" spans="1:20">
      <c r="A21" s="111">
        <f>Orçamento!A23</f>
        <v>3</v>
      </c>
      <c r="B21" s="205" t="str">
        <f>Orçamento!C23</f>
        <v>PAVIMENTAÇÃO</v>
      </c>
      <c r="C21" s="206"/>
      <c r="D21" s="206"/>
      <c r="E21" s="207"/>
      <c r="F21" s="19"/>
      <c r="G21" s="25"/>
      <c r="H21" s="57"/>
      <c r="I21" s="25"/>
      <c r="J21" s="57"/>
      <c r="K21" s="25"/>
      <c r="L21" s="57"/>
      <c r="M21" s="24"/>
      <c r="N21" s="57"/>
      <c r="O21" s="25"/>
      <c r="P21" s="57"/>
      <c r="Q21" s="25"/>
      <c r="R21" s="57"/>
      <c r="S21" s="41"/>
      <c r="T21" s="56"/>
    </row>
    <row r="22" spans="1:20">
      <c r="A22" s="83" t="str">
        <f>Orçamento!A24</f>
        <v>3.1</v>
      </c>
      <c r="B22" s="202" t="str">
        <f>Orçamento!C24</f>
        <v>REGULARIZACAO E= +- 20cm E PREPARO DA CANCHA COMPACTADA</v>
      </c>
      <c r="C22" s="203"/>
      <c r="D22" s="203"/>
      <c r="E22" s="204"/>
      <c r="F22" s="19">
        <f>Orçamento!M24</f>
        <v>1721.9</v>
      </c>
      <c r="G22" s="25">
        <f t="shared" si="0"/>
        <v>0</v>
      </c>
      <c r="H22" s="57"/>
      <c r="I22" s="25">
        <f t="shared" si="1"/>
        <v>1721.9</v>
      </c>
      <c r="J22" s="57">
        <v>1</v>
      </c>
      <c r="K22" s="25">
        <f t="shared" si="2"/>
        <v>0</v>
      </c>
      <c r="L22" s="57"/>
      <c r="M22" s="24">
        <f t="shared" si="3"/>
        <v>0</v>
      </c>
      <c r="N22" s="57"/>
      <c r="O22" s="25">
        <f t="shared" si="4"/>
        <v>0</v>
      </c>
      <c r="P22" s="57"/>
      <c r="Q22" s="25">
        <f t="shared" si="5"/>
        <v>0</v>
      </c>
      <c r="R22" s="57"/>
      <c r="S22" s="41">
        <f t="shared" si="6"/>
        <v>1721.9</v>
      </c>
      <c r="T22" s="56">
        <f t="shared" si="7"/>
        <v>1</v>
      </c>
    </row>
    <row r="23" spans="1:20">
      <c r="A23" s="83" t="str">
        <f>Orçamento!A25</f>
        <v>3.2</v>
      </c>
      <c r="B23" s="202" t="str">
        <f>Orçamento!C25</f>
        <v>CAMADA DE MACADAME (E=10cm)</v>
      </c>
      <c r="C23" s="203"/>
      <c r="D23" s="203"/>
      <c r="E23" s="204"/>
      <c r="F23" s="19">
        <f>Orçamento!M25</f>
        <v>10187.200000000001</v>
      </c>
      <c r="G23" s="25">
        <f t="shared" si="0"/>
        <v>0</v>
      </c>
      <c r="H23" s="57"/>
      <c r="I23" s="25">
        <f t="shared" si="1"/>
        <v>10187.200000000001</v>
      </c>
      <c r="J23" s="57">
        <v>1</v>
      </c>
      <c r="K23" s="25">
        <f t="shared" si="2"/>
        <v>0</v>
      </c>
      <c r="L23" s="57"/>
      <c r="M23" s="24">
        <f t="shared" si="3"/>
        <v>0</v>
      </c>
      <c r="N23" s="57"/>
      <c r="O23" s="25">
        <f t="shared" si="4"/>
        <v>0</v>
      </c>
      <c r="P23" s="57"/>
      <c r="Q23" s="25">
        <f t="shared" si="5"/>
        <v>0</v>
      </c>
      <c r="R23" s="57"/>
      <c r="S23" s="41">
        <f t="shared" si="6"/>
        <v>10187.200000000001</v>
      </c>
      <c r="T23" s="56">
        <f t="shared" si="7"/>
        <v>1</v>
      </c>
    </row>
    <row r="24" spans="1:20">
      <c r="A24" s="83" t="str">
        <f>Orçamento!A26</f>
        <v>3.3</v>
      </c>
      <c r="B24" s="202" t="str">
        <f>Orçamento!C26</f>
        <v>TRANSPORTE COMERCIAL DE MACADAME 15KM</v>
      </c>
      <c r="C24" s="203"/>
      <c r="D24" s="203"/>
      <c r="E24" s="204"/>
      <c r="F24" s="19">
        <f>Orçamento!M26</f>
        <v>1501.14</v>
      </c>
      <c r="G24" s="25">
        <f t="shared" si="0"/>
        <v>0</v>
      </c>
      <c r="H24" s="57"/>
      <c r="I24" s="25">
        <f t="shared" si="1"/>
        <v>1501.14</v>
      </c>
      <c r="J24" s="57">
        <v>1</v>
      </c>
      <c r="K24" s="25">
        <f t="shared" si="2"/>
        <v>0</v>
      </c>
      <c r="L24" s="57"/>
      <c r="M24" s="24">
        <f t="shared" si="3"/>
        <v>0</v>
      </c>
      <c r="N24" s="57"/>
      <c r="O24" s="25">
        <f t="shared" si="4"/>
        <v>0</v>
      </c>
      <c r="P24" s="57"/>
      <c r="Q24" s="25">
        <f t="shared" si="5"/>
        <v>0</v>
      </c>
      <c r="R24" s="57"/>
      <c r="S24" s="41">
        <f t="shared" si="6"/>
        <v>1501.14</v>
      </c>
      <c r="T24" s="56">
        <f t="shared" si="7"/>
        <v>1</v>
      </c>
    </row>
    <row r="25" spans="1:20">
      <c r="A25" s="83" t="str">
        <f>Orçamento!A27</f>
        <v>3.4</v>
      </c>
      <c r="B25" s="202" t="str">
        <f>Orçamento!C27</f>
        <v>EXECUÇÃO E COMPACTAÇÃO DE BASE E OU SUB BASE COM BRITA GRADUADA SIMPLES E=0,15m</v>
      </c>
      <c r="C25" s="203"/>
      <c r="D25" s="203"/>
      <c r="E25" s="204"/>
      <c r="F25" s="19">
        <f>Orçamento!M27</f>
        <v>23247.93</v>
      </c>
      <c r="G25" s="25">
        <f t="shared" si="0"/>
        <v>0</v>
      </c>
      <c r="H25" s="57"/>
      <c r="I25" s="25">
        <f t="shared" si="1"/>
        <v>23247.93</v>
      </c>
      <c r="J25" s="57">
        <v>1</v>
      </c>
      <c r="K25" s="25">
        <f t="shared" si="2"/>
        <v>0</v>
      </c>
      <c r="L25" s="57"/>
      <c r="M25" s="24">
        <f t="shared" si="3"/>
        <v>0</v>
      </c>
      <c r="N25" s="57"/>
      <c r="O25" s="25">
        <f t="shared" si="4"/>
        <v>0</v>
      </c>
      <c r="P25" s="57"/>
      <c r="Q25" s="25">
        <f t="shared" si="5"/>
        <v>0</v>
      </c>
      <c r="R25" s="57"/>
      <c r="S25" s="41">
        <f t="shared" si="6"/>
        <v>23247.93</v>
      </c>
      <c r="T25" s="56">
        <f t="shared" si="7"/>
        <v>1</v>
      </c>
    </row>
    <row r="26" spans="1:20">
      <c r="A26" s="83" t="str">
        <f>Orçamento!A28</f>
        <v>3.5</v>
      </c>
      <c r="B26" s="202" t="str">
        <f>Orçamento!C28</f>
        <v>TRANSPORTE COMERCIAL DE BRITA GRADUADA 15Km</v>
      </c>
      <c r="C26" s="203"/>
      <c r="D26" s="203"/>
      <c r="E26" s="204"/>
      <c r="F26" s="19">
        <f>Orçamento!M28</f>
        <v>2351.06</v>
      </c>
      <c r="G26" s="25">
        <f t="shared" si="0"/>
        <v>0</v>
      </c>
      <c r="H26" s="57"/>
      <c r="I26" s="25">
        <f t="shared" si="1"/>
        <v>2351.06</v>
      </c>
      <c r="J26" s="57">
        <v>1</v>
      </c>
      <c r="K26" s="25">
        <f t="shared" si="2"/>
        <v>0</v>
      </c>
      <c r="L26" s="57"/>
      <c r="M26" s="24">
        <f t="shared" si="3"/>
        <v>0</v>
      </c>
      <c r="N26" s="57"/>
      <c r="O26" s="25">
        <f t="shared" si="4"/>
        <v>0</v>
      </c>
      <c r="P26" s="57"/>
      <c r="Q26" s="25">
        <f t="shared" si="5"/>
        <v>0</v>
      </c>
      <c r="R26" s="57"/>
      <c r="S26" s="41">
        <f t="shared" si="6"/>
        <v>2351.06</v>
      </c>
      <c r="T26" s="56">
        <f t="shared" si="7"/>
        <v>1</v>
      </c>
    </row>
    <row r="27" spans="1:20">
      <c r="A27" s="83" t="str">
        <f>Orçamento!A29</f>
        <v>3.6</v>
      </c>
      <c r="B27" s="202" t="str">
        <f>Orçamento!C29</f>
        <v>IMPRIMAÇÃO COM EMULSÃO ASFALTICA TIPO EAI COM TAXA DE 0,9 A 1,71/m² EXECUÇÃO E TRANSP.</v>
      </c>
      <c r="C27" s="203"/>
      <c r="D27" s="203"/>
      <c r="E27" s="204"/>
      <c r="F27" s="19">
        <f>Orçamento!M29</f>
        <v>7167.24</v>
      </c>
      <c r="G27" s="25">
        <f t="shared" si="0"/>
        <v>0</v>
      </c>
      <c r="H27" s="57"/>
      <c r="I27" s="25">
        <f t="shared" si="1"/>
        <v>7167.24</v>
      </c>
      <c r="J27" s="57">
        <v>1</v>
      </c>
      <c r="K27" s="25">
        <f t="shared" si="2"/>
        <v>0</v>
      </c>
      <c r="L27" s="57"/>
      <c r="M27" s="24">
        <f t="shared" si="3"/>
        <v>0</v>
      </c>
      <c r="N27" s="57"/>
      <c r="O27" s="25">
        <f t="shared" si="4"/>
        <v>0</v>
      </c>
      <c r="P27" s="57"/>
      <c r="Q27" s="25">
        <f t="shared" si="5"/>
        <v>0</v>
      </c>
      <c r="R27" s="57"/>
      <c r="S27" s="41">
        <f t="shared" si="6"/>
        <v>7167.24</v>
      </c>
      <c r="T27" s="56">
        <f t="shared" si="7"/>
        <v>1</v>
      </c>
    </row>
    <row r="28" spans="1:20">
      <c r="A28" s="83" t="str">
        <f>Orçamento!A30</f>
        <v>3.7</v>
      </c>
      <c r="B28" s="202" t="str">
        <f>Orçamento!C30</f>
        <v>PINTURA DE LIGAÇÃO COM RR-2C COM TAXA DE 0,6 L/M2EXEC.E TRANSP.</v>
      </c>
      <c r="C28" s="203"/>
      <c r="D28" s="203"/>
      <c r="E28" s="204"/>
      <c r="F28" s="19">
        <f>Orçamento!M30</f>
        <v>2016.24</v>
      </c>
      <c r="G28" s="25">
        <f t="shared" si="0"/>
        <v>0</v>
      </c>
      <c r="H28" s="57"/>
      <c r="I28" s="25">
        <f t="shared" si="1"/>
        <v>2016.24</v>
      </c>
      <c r="J28" s="57">
        <v>1</v>
      </c>
      <c r="K28" s="25">
        <f t="shared" si="2"/>
        <v>0</v>
      </c>
      <c r="L28" s="57"/>
      <c r="M28" s="24">
        <f t="shared" si="3"/>
        <v>0</v>
      </c>
      <c r="N28" s="57"/>
      <c r="O28" s="25">
        <f t="shared" si="4"/>
        <v>0</v>
      </c>
      <c r="P28" s="57"/>
      <c r="Q28" s="25">
        <f t="shared" si="5"/>
        <v>0</v>
      </c>
      <c r="R28" s="57"/>
      <c r="S28" s="41">
        <f t="shared" si="6"/>
        <v>2016.24</v>
      </c>
      <c r="T28" s="56">
        <f t="shared" si="7"/>
        <v>1</v>
      </c>
    </row>
    <row r="29" spans="1:20">
      <c r="A29" s="83" t="str">
        <f>Orçamento!A31</f>
        <v>3.8</v>
      </c>
      <c r="B29" s="202" t="str">
        <f>Orçamento!C31</f>
        <v>CONSTRUÇÃO DE PAVIMENTO COM APLICAÇÃO DE CONCRETO BETUMINOSO USINADO  A QUENTE - E=4cm</v>
      </c>
      <c r="C29" s="203"/>
      <c r="D29" s="203"/>
      <c r="E29" s="204"/>
      <c r="F29" s="19">
        <f>Orçamento!M31</f>
        <v>41183.269999999997</v>
      </c>
      <c r="G29" s="25">
        <f t="shared" si="0"/>
        <v>0</v>
      </c>
      <c r="H29" s="57"/>
      <c r="I29" s="25">
        <f t="shared" si="1"/>
        <v>41183.269999999997</v>
      </c>
      <c r="J29" s="57">
        <v>1</v>
      </c>
      <c r="K29" s="25">
        <f t="shared" si="2"/>
        <v>0</v>
      </c>
      <c r="L29" s="57"/>
      <c r="M29" s="24">
        <f t="shared" si="3"/>
        <v>0</v>
      </c>
      <c r="N29" s="57"/>
      <c r="O29" s="25">
        <f t="shared" si="4"/>
        <v>0</v>
      </c>
      <c r="P29" s="57"/>
      <c r="Q29" s="25">
        <f t="shared" si="5"/>
        <v>0</v>
      </c>
      <c r="R29" s="57"/>
      <c r="S29" s="41">
        <f t="shared" si="6"/>
        <v>41183.269999999997</v>
      </c>
      <c r="T29" s="56">
        <f t="shared" si="7"/>
        <v>1</v>
      </c>
    </row>
    <row r="30" spans="1:20">
      <c r="A30" s="83" t="str">
        <f>Orçamento!A32</f>
        <v>3.9</v>
      </c>
      <c r="B30" s="202" t="str">
        <f>Orçamento!C32</f>
        <v>TRANSPORTE LOCAL DE MASSA ASFALTICA - PAVIMENTACAO URBANA DMT 15Km</v>
      </c>
      <c r="C30" s="203"/>
      <c r="D30" s="203"/>
      <c r="E30" s="204"/>
      <c r="F30" s="19">
        <f>Orçamento!M32</f>
        <v>803.59</v>
      </c>
      <c r="G30" s="25">
        <f t="shared" si="0"/>
        <v>0</v>
      </c>
      <c r="H30" s="57"/>
      <c r="I30" s="25">
        <f t="shared" si="1"/>
        <v>803.59</v>
      </c>
      <c r="J30" s="57">
        <v>1</v>
      </c>
      <c r="K30" s="25">
        <f t="shared" si="2"/>
        <v>0</v>
      </c>
      <c r="L30" s="57"/>
      <c r="M30" s="24">
        <f t="shared" si="3"/>
        <v>0</v>
      </c>
      <c r="N30" s="57"/>
      <c r="O30" s="25">
        <f t="shared" si="4"/>
        <v>0</v>
      </c>
      <c r="P30" s="57"/>
      <c r="Q30" s="25">
        <f t="shared" si="5"/>
        <v>0</v>
      </c>
      <c r="R30" s="57"/>
      <c r="S30" s="41">
        <f t="shared" si="6"/>
        <v>803.59</v>
      </c>
      <c r="T30" s="56">
        <f t="shared" si="7"/>
        <v>1</v>
      </c>
    </row>
    <row r="31" spans="1:20">
      <c r="A31" s="83" t="str">
        <f>Orçamento!A33</f>
        <v>3.10</v>
      </c>
      <c r="B31" s="202" t="str">
        <f>Orçamento!C33</f>
        <v>MEIO FIO DE CONCRETO CONFORME PROJETO (25 MPa) COM ASSENTAMENTO</v>
      </c>
      <c r="C31" s="203"/>
      <c r="D31" s="203"/>
      <c r="E31" s="204"/>
      <c r="F31" s="19">
        <f>Orçamento!M33</f>
        <v>10645.67</v>
      </c>
      <c r="G31" s="25">
        <f t="shared" si="0"/>
        <v>0</v>
      </c>
      <c r="H31" s="57"/>
      <c r="I31" s="25">
        <f t="shared" si="1"/>
        <v>10645.67</v>
      </c>
      <c r="J31" s="57">
        <v>1</v>
      </c>
      <c r="K31" s="25">
        <f t="shared" si="2"/>
        <v>0</v>
      </c>
      <c r="L31" s="57"/>
      <c r="M31" s="24">
        <f t="shared" si="3"/>
        <v>0</v>
      </c>
      <c r="N31" s="57"/>
      <c r="O31" s="25">
        <f t="shared" si="4"/>
        <v>0</v>
      </c>
      <c r="P31" s="57"/>
      <c r="Q31" s="25">
        <f t="shared" si="5"/>
        <v>0</v>
      </c>
      <c r="R31" s="57"/>
      <c r="S31" s="41">
        <f t="shared" si="6"/>
        <v>10645.67</v>
      </c>
      <c r="T31" s="56">
        <f t="shared" si="7"/>
        <v>1</v>
      </c>
    </row>
    <row r="32" spans="1:20">
      <c r="A32" s="111">
        <f>Orçamento!A35</f>
        <v>4</v>
      </c>
      <c r="B32" s="205" t="str">
        <f>Orçamento!C35</f>
        <v>PASSEIOS</v>
      </c>
      <c r="C32" s="206"/>
      <c r="D32" s="206"/>
      <c r="E32" s="207"/>
      <c r="F32" s="19"/>
      <c r="G32" s="25"/>
      <c r="H32" s="57"/>
      <c r="I32" s="25"/>
      <c r="J32" s="57"/>
      <c r="K32" s="25"/>
      <c r="L32" s="57"/>
      <c r="M32" s="24"/>
      <c r="N32" s="57"/>
      <c r="O32" s="25"/>
      <c r="P32" s="57"/>
      <c r="Q32" s="25"/>
      <c r="R32" s="57"/>
      <c r="S32" s="41"/>
      <c r="T32" s="56"/>
    </row>
    <row r="33" spans="1:26">
      <c r="A33" s="83" t="str">
        <f>Orçamento!A36</f>
        <v>4.1</v>
      </c>
      <c r="B33" s="202" t="str">
        <f>Orçamento!C36</f>
        <v>REGULARIZAÇÃO E COMPACTAÇÃO MANUAL DO TERRENO.</v>
      </c>
      <c r="C33" s="203"/>
      <c r="D33" s="203"/>
      <c r="E33" s="204"/>
      <c r="F33" s="19">
        <f>Orçamento!M36</f>
        <v>1344.07101435</v>
      </c>
      <c r="G33" s="25">
        <f t="shared" si="0"/>
        <v>0</v>
      </c>
      <c r="H33" s="57"/>
      <c r="I33" s="25">
        <f t="shared" si="1"/>
        <v>672.03550717500002</v>
      </c>
      <c r="J33" s="57">
        <v>0.5</v>
      </c>
      <c r="K33" s="25">
        <f t="shared" si="2"/>
        <v>672.03550717500002</v>
      </c>
      <c r="L33" s="57">
        <v>0.5</v>
      </c>
      <c r="M33" s="24">
        <f t="shared" si="3"/>
        <v>0</v>
      </c>
      <c r="N33" s="57"/>
      <c r="O33" s="25">
        <f t="shared" si="4"/>
        <v>0</v>
      </c>
      <c r="P33" s="57"/>
      <c r="Q33" s="25">
        <f t="shared" si="5"/>
        <v>0</v>
      </c>
      <c r="R33" s="57"/>
      <c r="S33" s="41">
        <f t="shared" si="6"/>
        <v>1344.07101435</v>
      </c>
      <c r="T33" s="56">
        <f t="shared" si="7"/>
        <v>1</v>
      </c>
    </row>
    <row r="34" spans="1:26">
      <c r="A34" s="83" t="str">
        <f>Orçamento!A37</f>
        <v>4.2</v>
      </c>
      <c r="B34" s="202" t="str">
        <f>Orçamento!C37</f>
        <v>CAMADA DRENANTE COM BRITA N. 2, E= 5,0 cm</v>
      </c>
      <c r="C34" s="203"/>
      <c r="D34" s="203"/>
      <c r="E34" s="204"/>
      <c r="F34" s="19">
        <f>Orçamento!M37</f>
        <v>3835.73</v>
      </c>
      <c r="G34" s="25">
        <f t="shared" si="0"/>
        <v>0</v>
      </c>
      <c r="H34" s="57"/>
      <c r="I34" s="25">
        <f t="shared" si="1"/>
        <v>1917.865</v>
      </c>
      <c r="J34" s="57">
        <v>0.5</v>
      </c>
      <c r="K34" s="25">
        <f t="shared" si="2"/>
        <v>1917.865</v>
      </c>
      <c r="L34" s="57">
        <v>0.5</v>
      </c>
      <c r="M34" s="24">
        <f t="shared" si="3"/>
        <v>0</v>
      </c>
      <c r="N34" s="57"/>
      <c r="O34" s="25">
        <f t="shared" si="4"/>
        <v>0</v>
      </c>
      <c r="P34" s="57"/>
      <c r="Q34" s="25">
        <f t="shared" si="5"/>
        <v>0</v>
      </c>
      <c r="R34" s="57"/>
      <c r="S34" s="41">
        <f t="shared" si="6"/>
        <v>3835.73</v>
      </c>
      <c r="T34" s="56">
        <f t="shared" si="7"/>
        <v>1</v>
      </c>
    </row>
    <row r="35" spans="1:26">
      <c r="A35" s="83" t="str">
        <f>Orçamento!A38</f>
        <v>4.3</v>
      </c>
      <c r="B35" s="202" t="str">
        <f>Orçamento!C38</f>
        <v>EXECUÇÃO DE PASSEIO (CALÇADA) OU PISO DE CONCRETO COM CONCRETO MOLDADO IN LOCO, FEITO EM OBRA, ACABAMENTO CONVENCIONAL, NÃO ARMADO. E=0,05cm</v>
      </c>
      <c r="C35" s="203"/>
      <c r="D35" s="203"/>
      <c r="E35" s="204"/>
      <c r="F35" s="19">
        <f>Orçamento!M38</f>
        <v>19837.576937220001</v>
      </c>
      <c r="G35" s="25">
        <f t="shared" si="0"/>
        <v>0</v>
      </c>
      <c r="H35" s="57"/>
      <c r="I35" s="25">
        <f t="shared" si="1"/>
        <v>9918.7884686100006</v>
      </c>
      <c r="J35" s="57">
        <v>0.5</v>
      </c>
      <c r="K35" s="25">
        <f t="shared" si="2"/>
        <v>9918.7884686100006</v>
      </c>
      <c r="L35" s="57">
        <v>0.5</v>
      </c>
      <c r="M35" s="24">
        <f t="shared" si="3"/>
        <v>0</v>
      </c>
      <c r="N35" s="57"/>
      <c r="O35" s="25">
        <f t="shared" si="4"/>
        <v>0</v>
      </c>
      <c r="P35" s="57"/>
      <c r="Q35" s="25">
        <f t="shared" si="5"/>
        <v>0</v>
      </c>
      <c r="R35" s="57"/>
      <c r="S35" s="41">
        <f t="shared" si="6"/>
        <v>19837.576937220001</v>
      </c>
      <c r="T35" s="56">
        <f t="shared" si="7"/>
        <v>1</v>
      </c>
    </row>
    <row r="36" spans="1:26">
      <c r="A36" s="83" t="str">
        <f>Orçamento!A39</f>
        <v>4.4</v>
      </c>
      <c r="B36" s="202" t="str">
        <f>Orçamento!C39</f>
        <v>PISO PODOTÁTIL DIRECIONAL (0,20 X 0,20)CM - FCK= 20MPA - E= 6,0 CM</v>
      </c>
      <c r="C36" s="203"/>
      <c r="D36" s="203"/>
      <c r="E36" s="204"/>
      <c r="F36" s="19">
        <f>Orçamento!M39</f>
        <v>8223.0484592999983</v>
      </c>
      <c r="G36" s="25">
        <f t="shared" si="0"/>
        <v>0</v>
      </c>
      <c r="H36" s="57"/>
      <c r="I36" s="25">
        <f t="shared" si="1"/>
        <v>4111.5242296499991</v>
      </c>
      <c r="J36" s="57">
        <v>0.5</v>
      </c>
      <c r="K36" s="25">
        <f t="shared" si="2"/>
        <v>4111.5242296499991</v>
      </c>
      <c r="L36" s="57">
        <v>0.5</v>
      </c>
      <c r="M36" s="24">
        <f t="shared" si="3"/>
        <v>0</v>
      </c>
      <c r="N36" s="57"/>
      <c r="O36" s="25">
        <f t="shared" si="4"/>
        <v>0</v>
      </c>
      <c r="P36" s="57"/>
      <c r="Q36" s="25">
        <f t="shared" si="5"/>
        <v>0</v>
      </c>
      <c r="R36" s="57"/>
      <c r="S36" s="41">
        <f t="shared" si="6"/>
        <v>8223.0484592999983</v>
      </c>
      <c r="T36" s="56">
        <f t="shared" si="7"/>
        <v>1</v>
      </c>
    </row>
    <row r="37" spans="1:26" ht="15" customHeight="1">
      <c r="A37" s="83" t="str">
        <f>Orçamento!A40</f>
        <v>4.5</v>
      </c>
      <c r="B37" s="202" t="str">
        <f>Orçamento!C40</f>
        <v>PISO PODOTÁTIL ALERTA (0,20 X 0,20)CM - FCK= 20MPA - E= 6,0 CM</v>
      </c>
      <c r="C37" s="203"/>
      <c r="D37" s="203"/>
      <c r="E37" s="204"/>
      <c r="F37" s="19">
        <f>Orçamento!M40</f>
        <v>1779.7897284000001</v>
      </c>
      <c r="G37" s="25">
        <f t="shared" si="0"/>
        <v>0</v>
      </c>
      <c r="H37" s="57"/>
      <c r="I37" s="25">
        <f t="shared" si="1"/>
        <v>889.89486420000003</v>
      </c>
      <c r="J37" s="57">
        <v>0.5</v>
      </c>
      <c r="K37" s="25">
        <f t="shared" si="2"/>
        <v>889.89486420000003</v>
      </c>
      <c r="L37" s="57">
        <v>0.5</v>
      </c>
      <c r="M37" s="24">
        <f t="shared" si="3"/>
        <v>0</v>
      </c>
      <c r="N37" s="57"/>
      <c r="O37" s="25">
        <f t="shared" si="4"/>
        <v>0</v>
      </c>
      <c r="P37" s="57"/>
      <c r="Q37" s="25">
        <f t="shared" si="5"/>
        <v>0</v>
      </c>
      <c r="R37" s="57"/>
      <c r="S37" s="41">
        <f t="shared" si="6"/>
        <v>1779.7897284000001</v>
      </c>
      <c r="T37" s="56">
        <f t="shared" si="7"/>
        <v>1</v>
      </c>
    </row>
    <row r="38" spans="1:26" ht="15" customHeight="1">
      <c r="A38" s="111">
        <f>Orçamento!A42</f>
        <v>5</v>
      </c>
      <c r="B38" s="205" t="str">
        <f>Orçamento!C42</f>
        <v>SINALIZAÇÃO</v>
      </c>
      <c r="C38" s="206"/>
      <c r="D38" s="206"/>
      <c r="E38" s="207"/>
      <c r="F38" s="19"/>
      <c r="G38" s="25"/>
      <c r="H38" s="57"/>
      <c r="I38" s="25"/>
      <c r="J38" s="57"/>
      <c r="K38" s="25"/>
      <c r="L38" s="57"/>
      <c r="M38" s="24"/>
      <c r="N38" s="57"/>
      <c r="O38" s="25"/>
      <c r="P38" s="57"/>
      <c r="Q38" s="25"/>
      <c r="R38" s="57"/>
      <c r="S38" s="41"/>
      <c r="T38" s="56"/>
    </row>
    <row r="39" spans="1:26" ht="15" customHeight="1">
      <c r="A39" s="83" t="str">
        <f>Orçamento!A43</f>
        <v>5.1</v>
      </c>
      <c r="B39" s="202" t="str">
        <f>Orçamento!C43</f>
        <v xml:space="preserve">PINTURA DE LINHA SIMPLES SECCIONADA RETRORREFLETIVA A BASE DE RESINA ACRILICA
COM MICROESFERAS DE VIDRO - AMARELA </v>
      </c>
      <c r="C39" s="203"/>
      <c r="D39" s="203"/>
      <c r="E39" s="204"/>
      <c r="F39" s="19">
        <f>Orçamento!M43</f>
        <v>394.74</v>
      </c>
      <c r="G39" s="25">
        <f t="shared" si="0"/>
        <v>0</v>
      </c>
      <c r="H39" s="57"/>
      <c r="I39" s="25">
        <f t="shared" si="1"/>
        <v>0</v>
      </c>
      <c r="J39" s="57"/>
      <c r="K39" s="25">
        <f t="shared" si="2"/>
        <v>394.74</v>
      </c>
      <c r="L39" s="57">
        <v>1</v>
      </c>
      <c r="M39" s="24">
        <f t="shared" si="3"/>
        <v>0</v>
      </c>
      <c r="N39" s="57"/>
      <c r="O39" s="25">
        <f t="shared" si="4"/>
        <v>0</v>
      </c>
      <c r="P39" s="57"/>
      <c r="Q39" s="25">
        <f t="shared" si="5"/>
        <v>0</v>
      </c>
      <c r="R39" s="57"/>
      <c r="S39" s="41">
        <f t="shared" si="6"/>
        <v>394.74</v>
      </c>
      <c r="T39" s="56">
        <f t="shared" si="7"/>
        <v>1</v>
      </c>
    </row>
    <row r="40" spans="1:26" ht="15" customHeight="1">
      <c r="A40" s="83" t="str">
        <f>Orçamento!A44</f>
        <v>5.2</v>
      </c>
      <c r="B40" s="202" t="str">
        <f>Orçamento!C44</f>
        <v xml:space="preserve">PINTURA DE LINHA SIMPLES SECCIONADA RETRORREFLETIVA A BASE DE RESINA ACRILICA
COM MICROESFERAS DE VIDRO - BRANCA </v>
      </c>
      <c r="C40" s="203"/>
      <c r="D40" s="203"/>
      <c r="E40" s="204"/>
      <c r="F40" s="19">
        <f>Orçamento!M44</f>
        <v>765.36</v>
      </c>
      <c r="G40" s="25">
        <f t="shared" si="0"/>
        <v>0</v>
      </c>
      <c r="H40" s="57"/>
      <c r="I40" s="25">
        <f t="shared" si="1"/>
        <v>0</v>
      </c>
      <c r="J40" s="57"/>
      <c r="K40" s="25">
        <f t="shared" si="2"/>
        <v>765.36</v>
      </c>
      <c r="L40" s="57">
        <v>1</v>
      </c>
      <c r="M40" s="24">
        <f t="shared" si="3"/>
        <v>0</v>
      </c>
      <c r="N40" s="57"/>
      <c r="O40" s="25">
        <f t="shared" si="4"/>
        <v>0</v>
      </c>
      <c r="P40" s="57"/>
      <c r="Q40" s="25">
        <f t="shared" si="5"/>
        <v>0</v>
      </c>
      <c r="R40" s="57"/>
      <c r="S40" s="41">
        <f t="shared" si="6"/>
        <v>765.36</v>
      </c>
      <c r="T40" s="56">
        <f t="shared" si="7"/>
        <v>1</v>
      </c>
    </row>
    <row r="41" spans="1:26" ht="15" customHeight="1">
      <c r="A41" s="83" t="str">
        <f>Orçamento!A45</f>
        <v>5.3</v>
      </c>
      <c r="B41" s="202" t="str">
        <f>Orçamento!C45</f>
        <v>PLACA DE RUA FORN. E IMPLANTAÇÃO PLACA SINALIZ. SEMI-REFLETIVA 25X50CM</v>
      </c>
      <c r="C41" s="203"/>
      <c r="D41" s="203"/>
      <c r="E41" s="204"/>
      <c r="F41" s="19">
        <f>Orçamento!M45</f>
        <v>447.48</v>
      </c>
      <c r="G41" s="25">
        <f t="shared" si="0"/>
        <v>0</v>
      </c>
      <c r="H41" s="57"/>
      <c r="I41" s="25">
        <f t="shared" si="1"/>
        <v>0</v>
      </c>
      <c r="J41" s="57"/>
      <c r="K41" s="25">
        <f t="shared" si="2"/>
        <v>447.48</v>
      </c>
      <c r="L41" s="57">
        <v>1</v>
      </c>
      <c r="M41" s="24">
        <f t="shared" si="3"/>
        <v>0</v>
      </c>
      <c r="N41" s="57"/>
      <c r="O41" s="25">
        <f t="shared" si="4"/>
        <v>0</v>
      </c>
      <c r="P41" s="57"/>
      <c r="Q41" s="25">
        <f t="shared" si="5"/>
        <v>0</v>
      </c>
      <c r="R41" s="57"/>
      <c r="S41" s="41">
        <f t="shared" si="6"/>
        <v>447.48</v>
      </c>
      <c r="T41" s="56">
        <f t="shared" si="7"/>
        <v>1</v>
      </c>
    </row>
    <row r="42" spans="1:26" ht="15" customHeight="1">
      <c r="A42" s="83" t="str">
        <f>Orçamento!A46</f>
        <v>5.4</v>
      </c>
      <c r="B42" s="202" t="str">
        <f>Orçamento!C46</f>
        <v>PLACA DE REGULAMENTAÇÃO FORN. E IMPLANTAÇÃO PLACA SINALIZ. SEMI-REFLETIVA DN=60CM</v>
      </c>
      <c r="C42" s="203"/>
      <c r="D42" s="203"/>
      <c r="E42" s="204"/>
      <c r="F42" s="19">
        <f>Orçamento!M46</f>
        <v>407.54</v>
      </c>
      <c r="G42" s="25">
        <f t="shared" si="0"/>
        <v>0</v>
      </c>
      <c r="H42" s="57"/>
      <c r="I42" s="25">
        <f t="shared" si="1"/>
        <v>0</v>
      </c>
      <c r="J42" s="57"/>
      <c r="K42" s="25">
        <f t="shared" si="2"/>
        <v>407.54</v>
      </c>
      <c r="L42" s="57">
        <v>1</v>
      </c>
      <c r="M42" s="24">
        <f t="shared" si="3"/>
        <v>0</v>
      </c>
      <c r="N42" s="57"/>
      <c r="O42" s="25">
        <f t="shared" si="4"/>
        <v>0</v>
      </c>
      <c r="P42" s="57"/>
      <c r="Q42" s="25">
        <f t="shared" si="5"/>
        <v>0</v>
      </c>
      <c r="R42" s="57"/>
      <c r="S42" s="41">
        <f t="shared" si="6"/>
        <v>407.54</v>
      </c>
      <c r="T42" s="56">
        <f t="shared" si="7"/>
        <v>1</v>
      </c>
    </row>
    <row r="43" spans="1:26" ht="15" customHeight="1">
      <c r="A43" s="83" t="str">
        <f>Orçamento!A47</f>
        <v>5.5</v>
      </c>
      <c r="B43" s="202" t="str">
        <f>Orçamento!C47</f>
        <v>PLACA DE ADVERTÊNCIA FORN. E IMPLANTAÇÃO PLACA SINALIZ. SEMI-REFLETIVA LADO MINIMO 60cm</v>
      </c>
      <c r="C43" s="203"/>
      <c r="D43" s="203"/>
      <c r="E43" s="204"/>
      <c r="F43" s="19">
        <f>Orçamento!M47</f>
        <v>262</v>
      </c>
      <c r="G43" s="25">
        <f t="shared" si="0"/>
        <v>0</v>
      </c>
      <c r="H43" s="57"/>
      <c r="I43" s="25">
        <f t="shared" si="1"/>
        <v>0</v>
      </c>
      <c r="J43" s="57"/>
      <c r="K43" s="25">
        <f t="shared" si="2"/>
        <v>262</v>
      </c>
      <c r="L43" s="57">
        <v>1</v>
      </c>
      <c r="M43" s="24">
        <f t="shared" si="3"/>
        <v>0</v>
      </c>
      <c r="N43" s="57"/>
      <c r="O43" s="25">
        <f t="shared" si="4"/>
        <v>0</v>
      </c>
      <c r="P43" s="57"/>
      <c r="Q43" s="25">
        <f t="shared" si="5"/>
        <v>0</v>
      </c>
      <c r="R43" s="57"/>
      <c r="S43" s="41">
        <f t="shared" si="6"/>
        <v>262</v>
      </c>
      <c r="T43" s="56">
        <f t="shared" si="7"/>
        <v>1</v>
      </c>
    </row>
    <row r="44" spans="1:26" ht="15" customHeight="1">
      <c r="A44" s="83" t="str">
        <f>Orçamento!A48</f>
        <v>5.6</v>
      </c>
      <c r="B44" s="202" t="str">
        <f>Orçamento!C48</f>
        <v>TUBO ACO GALV C/ COSTURA DIN 2440/NBR 5580 CLASSE MEDIA DN 2" (50MM) E=2,65MM - 5,10KG/M COMP= 3,5M</v>
      </c>
      <c r="C44" s="203"/>
      <c r="D44" s="203"/>
      <c r="E44" s="204"/>
      <c r="F44" s="19">
        <f>Orçamento!M48</f>
        <v>1364.96</v>
      </c>
      <c r="G44" s="25">
        <f t="shared" si="0"/>
        <v>0</v>
      </c>
      <c r="H44" s="57"/>
      <c r="I44" s="25">
        <f t="shared" si="1"/>
        <v>0</v>
      </c>
      <c r="J44" s="57"/>
      <c r="K44" s="25">
        <f t="shared" si="2"/>
        <v>1364.96</v>
      </c>
      <c r="L44" s="57">
        <v>1</v>
      </c>
      <c r="M44" s="24">
        <f t="shared" si="3"/>
        <v>0</v>
      </c>
      <c r="N44" s="57"/>
      <c r="O44" s="25">
        <f t="shared" si="4"/>
        <v>0</v>
      </c>
      <c r="P44" s="57"/>
      <c r="Q44" s="25">
        <f t="shared" si="5"/>
        <v>0</v>
      </c>
      <c r="R44" s="57"/>
      <c r="S44" s="41">
        <f t="shared" si="6"/>
        <v>1364.96</v>
      </c>
      <c r="T44" s="56">
        <f t="shared" si="7"/>
        <v>1</v>
      </c>
    </row>
    <row r="45" spans="1:26" ht="15" customHeight="1">
      <c r="A45" s="83" t="str">
        <f>Orçamento!A49</f>
        <v>5.7</v>
      </c>
      <c r="B45" s="202" t="str">
        <f>Orçamento!C49</f>
        <v xml:space="preserve">CONCRETO FCK = 15Mpa, PREPARO MANUAL </v>
      </c>
      <c r="C45" s="203"/>
      <c r="D45" s="203"/>
      <c r="E45" s="204"/>
      <c r="F45" s="19">
        <f>Orçamento!M49</f>
        <v>180.58</v>
      </c>
      <c r="G45" s="25">
        <f t="shared" si="0"/>
        <v>0</v>
      </c>
      <c r="H45" s="57"/>
      <c r="I45" s="25">
        <f t="shared" si="1"/>
        <v>0</v>
      </c>
      <c r="J45" s="57"/>
      <c r="K45" s="25">
        <f t="shared" si="2"/>
        <v>180.58</v>
      </c>
      <c r="L45" s="57">
        <v>1</v>
      </c>
      <c r="M45" s="24">
        <f t="shared" si="3"/>
        <v>0</v>
      </c>
      <c r="N45" s="57"/>
      <c r="O45" s="25">
        <f t="shared" si="4"/>
        <v>0</v>
      </c>
      <c r="P45" s="57"/>
      <c r="Q45" s="25">
        <f t="shared" si="5"/>
        <v>0</v>
      </c>
      <c r="R45" s="57"/>
      <c r="S45" s="41">
        <f t="shared" si="6"/>
        <v>180.58</v>
      </c>
      <c r="T45" s="56">
        <f t="shared" si="7"/>
        <v>1</v>
      </c>
    </row>
    <row r="46" spans="1:26">
      <c r="A46" s="125"/>
      <c r="B46" s="211"/>
      <c r="C46" s="211"/>
      <c r="D46" s="211"/>
      <c r="E46" s="211"/>
      <c r="F46" s="125"/>
      <c r="G46" s="39">
        <f>SUM(G10:G45)</f>
        <v>40314.69000000001</v>
      </c>
      <c r="H46" s="40">
        <f>G46/S47</f>
        <v>0.22399189603036115</v>
      </c>
      <c r="I46" s="39">
        <f>SUM(I11:I45)</f>
        <v>118335.34806963497</v>
      </c>
      <c r="J46" s="40">
        <f>I46/S47</f>
        <v>0.65748140396292931</v>
      </c>
      <c r="K46" s="39">
        <f>SUM(K10:K45)</f>
        <v>21332.768069635003</v>
      </c>
      <c r="L46" s="40">
        <f>K46/S47</f>
        <v>0.11852670000670948</v>
      </c>
      <c r="M46" s="41">
        <f>SUM(M10:M42)</f>
        <v>0</v>
      </c>
      <c r="N46" s="40">
        <f>M46/S47</f>
        <v>0</v>
      </c>
      <c r="O46" s="41">
        <f>SUM(O10:O42)</f>
        <v>0</v>
      </c>
      <c r="P46" s="40">
        <f>O46/S47</f>
        <v>0</v>
      </c>
      <c r="Q46" s="41">
        <f>SUM(Q10:Q42)</f>
        <v>0</v>
      </c>
      <c r="R46" s="42"/>
      <c r="S46" s="52">
        <f>SUM(S10:S45)</f>
        <v>179982.80613926999</v>
      </c>
      <c r="T46" s="56">
        <f t="shared" ref="T46" si="8">H46+J46+L46+N46+P46+R46</f>
        <v>1</v>
      </c>
    </row>
    <row r="47" spans="1:26">
      <c r="A47" s="125"/>
      <c r="B47" s="211"/>
      <c r="C47" s="211"/>
      <c r="D47" s="211"/>
      <c r="E47" s="211"/>
      <c r="F47" s="125"/>
      <c r="G47" s="46">
        <f>G46</f>
        <v>40314.69000000001</v>
      </c>
      <c r="H47" s="103">
        <f>H46</f>
        <v>0.22399189603036115</v>
      </c>
      <c r="I47" s="46">
        <f>SUM(G47+I46)</f>
        <v>158650.03806963499</v>
      </c>
      <c r="J47" s="49">
        <f t="shared" ref="J47:P47" si="9">J46+H47</f>
        <v>0.88147329999329049</v>
      </c>
      <c r="K47" s="46">
        <f>SUM(I47+K46)</f>
        <v>179982.80613926999</v>
      </c>
      <c r="L47" s="49">
        <f t="shared" si="9"/>
        <v>1</v>
      </c>
      <c r="M47" s="47">
        <f>SUM(K47+M46)</f>
        <v>179982.80613926999</v>
      </c>
      <c r="N47" s="49">
        <f t="shared" si="9"/>
        <v>1</v>
      </c>
      <c r="O47" s="48">
        <f>SUM(M47+O46)</f>
        <v>179982.80613926999</v>
      </c>
      <c r="P47" s="43">
        <f t="shared" si="9"/>
        <v>1</v>
      </c>
      <c r="Q47" s="44">
        <f>SUM(O47+Q46)</f>
        <v>179982.80613926999</v>
      </c>
      <c r="R47" s="45"/>
      <c r="S47" s="44">
        <f>SUM(F10:F45)</f>
        <v>179982.80613926999</v>
      </c>
      <c r="T47" s="45">
        <f>S46/S47</f>
        <v>1</v>
      </c>
      <c r="Z47" s="104"/>
    </row>
    <row r="48" spans="1:26">
      <c r="A48" s="18" t="s">
        <v>55</v>
      </c>
      <c r="B48" s="14"/>
      <c r="C48" s="14"/>
      <c r="D48" s="14"/>
      <c r="E48" s="14"/>
      <c r="F48" s="14"/>
      <c r="G48" s="14"/>
      <c r="H48" s="20"/>
      <c r="I48" s="14"/>
      <c r="J48" s="20"/>
      <c r="K48" s="14"/>
      <c r="L48" s="20"/>
      <c r="M48" s="14"/>
      <c r="N48" s="20"/>
      <c r="O48" s="14"/>
      <c r="P48" s="20"/>
      <c r="Q48" s="14"/>
      <c r="R48" s="20"/>
      <c r="S48" s="14"/>
      <c r="T48" s="15"/>
    </row>
    <row r="49" spans="1:23">
      <c r="A49" s="50">
        <v>1</v>
      </c>
      <c r="B49" s="208" t="str">
        <f>IF(S46=Orçamento!M51,"","O VALOR DO CRONOGRAMA ESTÁ DIVERGENTE DO ORÇAMENTO CORRIGIR!!!")</f>
        <v/>
      </c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9"/>
      <c r="W49" s="87"/>
    </row>
    <row r="50" spans="1:23">
      <c r="A50" s="50">
        <v>2</v>
      </c>
      <c r="B50" s="210" t="s">
        <v>114</v>
      </c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1"/>
    </row>
    <row r="51" spans="1:23">
      <c r="A51" s="50">
        <v>3</v>
      </c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1"/>
    </row>
    <row r="52" spans="1:23">
      <c r="A52" s="50">
        <v>4</v>
      </c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1"/>
    </row>
    <row r="58" spans="1:23">
      <c r="H58"/>
    </row>
    <row r="59" spans="1:23">
      <c r="F59" s="189" t="str">
        <f>'Dados iniciais '!E27</f>
        <v xml:space="preserve">WILSON TADEU BESEN </v>
      </c>
      <c r="G59" s="189"/>
      <c r="H59" s="189"/>
      <c r="I59" s="189"/>
    </row>
    <row r="60" spans="1:23">
      <c r="F60" s="188" t="s">
        <v>56</v>
      </c>
      <c r="G60" s="188"/>
      <c r="H60" s="188"/>
      <c r="I60" s="188"/>
    </row>
    <row r="61" spans="1:23">
      <c r="F61" s="188" t="str">
        <f>CONCATENATE("CREA ", 'Dados iniciais '!E28)</f>
        <v>CREA 5807-4</v>
      </c>
      <c r="G61" s="188"/>
      <c r="H61" s="188"/>
      <c r="I61" s="188"/>
    </row>
    <row r="62" spans="1:23">
      <c r="C62" s="11"/>
      <c r="D62" s="11"/>
      <c r="E62" s="11"/>
      <c r="G62" s="11"/>
      <c r="H62" s="11"/>
      <c r="I62" s="11"/>
      <c r="P62" s="11"/>
      <c r="Q62" s="11"/>
      <c r="R62" s="22"/>
      <c r="S62" s="11"/>
      <c r="T62" s="13"/>
    </row>
    <row r="63" spans="1:23">
      <c r="B63" s="188"/>
      <c r="C63" s="188"/>
      <c r="D63" s="188"/>
      <c r="E63" s="188"/>
    </row>
    <row r="64" spans="1:23">
      <c r="J64" s="12" t="str">
        <f>CONCATENATE("Lages, ",)</f>
        <v xml:space="preserve">Lages, </v>
      </c>
      <c r="K64" s="194">
        <f ca="1">TODAY()</f>
        <v>43307</v>
      </c>
      <c r="L64" s="194"/>
      <c r="M64" s="194"/>
      <c r="N64" s="194"/>
      <c r="O64" s="194"/>
      <c r="P64" s="194"/>
      <c r="Q64" s="194"/>
      <c r="R64" s="194"/>
      <c r="S64" s="194"/>
    </row>
  </sheetData>
  <sheetProtection insertColumns="0" insertRows="0" selectLockedCells="1" sort="0"/>
  <mergeCells count="69">
    <mergeCell ref="T1:T4"/>
    <mergeCell ref="D2:R2"/>
    <mergeCell ref="E4:F4"/>
    <mergeCell ref="K8:L8"/>
    <mergeCell ref="G8:H8"/>
    <mergeCell ref="I8:J8"/>
    <mergeCell ref="E5:F5"/>
    <mergeCell ref="D3:R3"/>
    <mergeCell ref="E6:F6"/>
    <mergeCell ref="A7:F7"/>
    <mergeCell ref="A8:A9"/>
    <mergeCell ref="B8:E9"/>
    <mergeCell ref="F8:F9"/>
    <mergeCell ref="S8:S9"/>
    <mergeCell ref="A5:C5"/>
    <mergeCell ref="D1:R1"/>
    <mergeCell ref="A6:C6"/>
    <mergeCell ref="A1:C4"/>
    <mergeCell ref="B17:E17"/>
    <mergeCell ref="B13:E13"/>
    <mergeCell ref="B14:E14"/>
    <mergeCell ref="B15:E15"/>
    <mergeCell ref="B16:E16"/>
    <mergeCell ref="B11:E11"/>
    <mergeCell ref="B12:E12"/>
    <mergeCell ref="B20:E20"/>
    <mergeCell ref="T8:T9"/>
    <mergeCell ref="B21:E21"/>
    <mergeCell ref="B18:E18"/>
    <mergeCell ref="B19:E19"/>
    <mergeCell ref="M8:N8"/>
    <mergeCell ref="Q8:R8"/>
    <mergeCell ref="O8:P8"/>
    <mergeCell ref="B10:E10"/>
    <mergeCell ref="B22:E22"/>
    <mergeCell ref="B23:E23"/>
    <mergeCell ref="F61:I61"/>
    <mergeCell ref="B63:E63"/>
    <mergeCell ref="B36:E36"/>
    <mergeCell ref="B33:E33"/>
    <mergeCell ref="B24:E24"/>
    <mergeCell ref="B25:E25"/>
    <mergeCell ref="B26:E26"/>
    <mergeCell ref="B27:E27"/>
    <mergeCell ref="B28:E28"/>
    <mergeCell ref="F59:I59"/>
    <mergeCell ref="F60:I60"/>
    <mergeCell ref="B52:T52"/>
    <mergeCell ref="B29:E29"/>
    <mergeCell ref="B34:E34"/>
    <mergeCell ref="B30:E30"/>
    <mergeCell ref="B31:E31"/>
    <mergeCell ref="B32:E32"/>
    <mergeCell ref="B35:E35"/>
    <mergeCell ref="B46:E46"/>
    <mergeCell ref="K64:S64"/>
    <mergeCell ref="B51:T51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9:T49"/>
    <mergeCell ref="B50:T50"/>
    <mergeCell ref="B47:E47"/>
  </mergeCells>
  <pageMargins left="0.51181102362204722" right="0.51181102362204722" top="0.78740157480314965" bottom="0.78740157480314965" header="0.31496062992125984" footer="0.31496062992125984"/>
  <pageSetup paperSize="9" scale="66" fitToHeight="0" orientation="landscape" r:id="rId1"/>
  <rowBreaks count="1" manualBreakCount="1">
    <brk id="31" max="19" man="1"/>
  </rowBreaks>
  <ignoredErrors>
    <ignoredError sqref="H46 J46 L46 N46 P46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5</vt:i4>
      </vt:variant>
    </vt:vector>
  </HeadingPairs>
  <TitlesOfParts>
    <vt:vector size="8" baseType="lpstr">
      <vt:lpstr>Dados iniciais </vt:lpstr>
      <vt:lpstr>Orçamento</vt:lpstr>
      <vt:lpstr>Cronograma</vt:lpstr>
      <vt:lpstr>Cronograma!Area_de_impressao</vt:lpstr>
      <vt:lpstr>'Dados iniciais '!Area_de_impressao</vt:lpstr>
      <vt:lpstr>Orçamento!Area_de_impressao</vt:lpstr>
      <vt:lpstr>Cronograma!Titulos_de_impressao</vt:lpstr>
      <vt:lpstr>Orçamento!Titulos_de_impressao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LICITACAO68</cp:lastModifiedBy>
  <cp:lastPrinted>2018-06-18T13:08:33Z</cp:lastPrinted>
  <dcterms:created xsi:type="dcterms:W3CDTF">2015-02-09T12:40:53Z</dcterms:created>
  <dcterms:modified xsi:type="dcterms:W3CDTF">2018-07-26T16:14:32Z</dcterms:modified>
</cp:coreProperties>
</file>