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STEN\educação\tia anita\TIA ANITA CD AGO23\"/>
    </mc:Choice>
  </mc:AlternateContent>
  <bookViews>
    <workbookView xWindow="0" yWindow="0" windowWidth="28800" windowHeight="118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6" i="1" l="1"/>
  <c r="I206" i="1" s="1"/>
  <c r="F206" i="1"/>
  <c r="H205" i="1"/>
  <c r="I205" i="1" s="1"/>
  <c r="F205" i="1"/>
  <c r="I204" i="1"/>
  <c r="H204" i="1"/>
  <c r="F204" i="1"/>
  <c r="H203" i="1"/>
  <c r="I203" i="1" s="1"/>
  <c r="H202" i="1"/>
  <c r="I202" i="1" s="1"/>
  <c r="F202" i="1"/>
  <c r="I201" i="1"/>
  <c r="H201" i="1"/>
  <c r="H200" i="1"/>
  <c r="I200" i="1" s="1"/>
  <c r="F200" i="1"/>
  <c r="H199" i="1"/>
  <c r="I199" i="1" s="1"/>
  <c r="H198" i="1"/>
  <c r="I198" i="1" s="1"/>
  <c r="H197" i="1"/>
  <c r="I197" i="1" s="1"/>
  <c r="H196" i="1"/>
  <c r="I196" i="1" s="1"/>
  <c r="H195" i="1"/>
  <c r="I195" i="1" s="1"/>
  <c r="H191" i="1"/>
  <c r="H190" i="1"/>
  <c r="H189" i="1"/>
  <c r="I189" i="1" s="1"/>
  <c r="F189" i="1"/>
  <c r="H188" i="1"/>
  <c r="I188" i="1" s="1"/>
  <c r="F188" i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F169" i="1"/>
  <c r="H168" i="1"/>
  <c r="I168" i="1" s="1"/>
  <c r="I167" i="1"/>
  <c r="H167" i="1"/>
  <c r="H166" i="1"/>
  <c r="I166" i="1" s="1"/>
  <c r="I165" i="1"/>
  <c r="H165" i="1"/>
  <c r="H164" i="1"/>
  <c r="I164" i="1" s="1"/>
  <c r="I163" i="1"/>
  <c r="H163" i="1"/>
  <c r="H162" i="1"/>
  <c r="I162" i="1" s="1"/>
  <c r="I161" i="1"/>
  <c r="H161" i="1"/>
  <c r="H160" i="1"/>
  <c r="I160" i="1" s="1"/>
  <c r="I159" i="1"/>
  <c r="I185" i="1" s="1"/>
  <c r="H159" i="1"/>
  <c r="I154" i="1"/>
  <c r="H154" i="1"/>
  <c r="H153" i="1"/>
  <c r="I153" i="1" s="1"/>
  <c r="I152" i="1"/>
  <c r="H152" i="1"/>
  <c r="H151" i="1"/>
  <c r="I151" i="1" s="1"/>
  <c r="I150" i="1"/>
  <c r="H150" i="1"/>
  <c r="H149" i="1"/>
  <c r="I149" i="1" s="1"/>
  <c r="I148" i="1"/>
  <c r="H148" i="1"/>
  <c r="H147" i="1"/>
  <c r="I147" i="1" s="1"/>
  <c r="I146" i="1"/>
  <c r="H146" i="1"/>
  <c r="H145" i="1"/>
  <c r="I145" i="1" s="1"/>
  <c r="I144" i="1"/>
  <c r="H144" i="1"/>
  <c r="H143" i="1"/>
  <c r="I143" i="1" s="1"/>
  <c r="I142" i="1"/>
  <c r="H142" i="1"/>
  <c r="H141" i="1"/>
  <c r="I141" i="1" s="1"/>
  <c r="I140" i="1"/>
  <c r="H140" i="1"/>
  <c r="H139" i="1"/>
  <c r="I139" i="1" s="1"/>
  <c r="I138" i="1"/>
  <c r="H138" i="1"/>
  <c r="H137" i="1"/>
  <c r="I137" i="1" s="1"/>
  <c r="I155" i="1" s="1"/>
  <c r="I134" i="1"/>
  <c r="H134" i="1"/>
  <c r="H133" i="1"/>
  <c r="I133" i="1" s="1"/>
  <c r="I132" i="1"/>
  <c r="H132" i="1"/>
  <c r="H131" i="1"/>
  <c r="I131" i="1" s="1"/>
  <c r="H128" i="1"/>
  <c r="I128" i="1" s="1"/>
  <c r="I127" i="1"/>
  <c r="H127" i="1"/>
  <c r="H126" i="1"/>
  <c r="I126" i="1" s="1"/>
  <c r="I125" i="1"/>
  <c r="H125" i="1"/>
  <c r="H124" i="1"/>
  <c r="I124" i="1" s="1"/>
  <c r="I123" i="1"/>
  <c r="H123" i="1"/>
  <c r="H122" i="1"/>
  <c r="I122" i="1" s="1"/>
  <c r="I121" i="1"/>
  <c r="H121" i="1"/>
  <c r="H120" i="1"/>
  <c r="I120" i="1" s="1"/>
  <c r="F120" i="1"/>
  <c r="H115" i="1"/>
  <c r="I115" i="1" s="1"/>
  <c r="F115" i="1"/>
  <c r="I114" i="1"/>
  <c r="H114" i="1"/>
  <c r="H113" i="1"/>
  <c r="I113" i="1" s="1"/>
  <c r="I116" i="1" s="1"/>
  <c r="F113" i="1"/>
  <c r="H109" i="1"/>
  <c r="I109" i="1" s="1"/>
  <c r="H108" i="1"/>
  <c r="F108" i="1"/>
  <c r="I108" i="1" s="1"/>
  <c r="I107" i="1"/>
  <c r="H107" i="1"/>
  <c r="F107" i="1"/>
  <c r="H106" i="1"/>
  <c r="I106" i="1" s="1"/>
  <c r="F106" i="1"/>
  <c r="H105" i="1"/>
  <c r="I105" i="1" s="1"/>
  <c r="I104" i="1"/>
  <c r="H104" i="1"/>
  <c r="F104" i="1"/>
  <c r="H103" i="1"/>
  <c r="I103" i="1" s="1"/>
  <c r="F103" i="1"/>
  <c r="H102" i="1"/>
  <c r="I102" i="1" s="1"/>
  <c r="F102" i="1"/>
  <c r="H101" i="1"/>
  <c r="F101" i="1"/>
  <c r="I101" i="1" s="1"/>
  <c r="I100" i="1"/>
  <c r="H100" i="1"/>
  <c r="F100" i="1"/>
  <c r="H99" i="1"/>
  <c r="I99" i="1" s="1"/>
  <c r="H98" i="1"/>
  <c r="F98" i="1"/>
  <c r="I98" i="1" s="1"/>
  <c r="I97" i="1"/>
  <c r="H97" i="1"/>
  <c r="F97" i="1"/>
  <c r="F191" i="1" s="1"/>
  <c r="I191" i="1" s="1"/>
  <c r="H96" i="1"/>
  <c r="I96" i="1" s="1"/>
  <c r="F96" i="1"/>
  <c r="H95" i="1"/>
  <c r="I95" i="1" s="1"/>
  <c r="F95" i="1"/>
  <c r="H94" i="1"/>
  <c r="F94" i="1"/>
  <c r="I94" i="1" s="1"/>
  <c r="I93" i="1"/>
  <c r="H93" i="1"/>
  <c r="F93" i="1"/>
  <c r="H92" i="1"/>
  <c r="I92" i="1" s="1"/>
  <c r="F92" i="1"/>
  <c r="H91" i="1"/>
  <c r="I91" i="1" s="1"/>
  <c r="F91" i="1"/>
  <c r="H90" i="1"/>
  <c r="I90" i="1" s="1"/>
  <c r="H89" i="1"/>
  <c r="I89" i="1" s="1"/>
  <c r="I110" i="1" s="1"/>
  <c r="H85" i="1"/>
  <c r="I85" i="1" s="1"/>
  <c r="I84" i="1"/>
  <c r="H84" i="1"/>
  <c r="F84" i="1"/>
  <c r="F190" i="1" s="1"/>
  <c r="H83" i="1"/>
  <c r="I83" i="1" s="1"/>
  <c r="H82" i="1"/>
  <c r="I82" i="1" s="1"/>
  <c r="H81" i="1"/>
  <c r="I81" i="1" s="1"/>
  <c r="F81" i="1"/>
  <c r="H80" i="1"/>
  <c r="I80" i="1" s="1"/>
  <c r="F80" i="1"/>
  <c r="H79" i="1"/>
  <c r="F79" i="1"/>
  <c r="I79" i="1" s="1"/>
  <c r="I78" i="1"/>
  <c r="H78" i="1"/>
  <c r="F78" i="1"/>
  <c r="I74" i="1"/>
  <c r="H74" i="1"/>
  <c r="F74" i="1"/>
  <c r="H73" i="1"/>
  <c r="I73" i="1" s="1"/>
  <c r="F73" i="1"/>
  <c r="H72" i="1"/>
  <c r="I72" i="1" s="1"/>
  <c r="F72" i="1"/>
  <c r="H71" i="1"/>
  <c r="I71" i="1" s="1"/>
  <c r="F71" i="1"/>
  <c r="I70" i="1"/>
  <c r="H70" i="1"/>
  <c r="H69" i="1"/>
  <c r="I69" i="1" s="1"/>
  <c r="I68" i="1"/>
  <c r="H68" i="1"/>
  <c r="F68" i="1"/>
  <c r="H67" i="1"/>
  <c r="I67" i="1" s="1"/>
  <c r="F67" i="1"/>
  <c r="H66" i="1"/>
  <c r="I66" i="1" s="1"/>
  <c r="I75" i="1" s="1"/>
  <c r="F66" i="1"/>
  <c r="H62" i="1"/>
  <c r="I62" i="1" s="1"/>
  <c r="F62" i="1"/>
  <c r="H61" i="1"/>
  <c r="I61" i="1" s="1"/>
  <c r="H60" i="1"/>
  <c r="I60" i="1" s="1"/>
  <c r="F60" i="1"/>
  <c r="H59" i="1"/>
  <c r="I59" i="1" s="1"/>
  <c r="I58" i="1"/>
  <c r="H58" i="1"/>
  <c r="H57" i="1"/>
  <c r="I57" i="1" s="1"/>
  <c r="F57" i="1"/>
  <c r="H56" i="1"/>
  <c r="I56" i="1" s="1"/>
  <c r="H55" i="1"/>
  <c r="I55" i="1" s="1"/>
  <c r="F55" i="1"/>
  <c r="H54" i="1"/>
  <c r="I54" i="1" s="1"/>
  <c r="I63" i="1" s="1"/>
  <c r="F54" i="1"/>
  <c r="H50" i="1"/>
  <c r="I50" i="1" s="1"/>
  <c r="F50" i="1"/>
  <c r="H49" i="1"/>
  <c r="I49" i="1" s="1"/>
  <c r="I51" i="1" s="1"/>
  <c r="F49" i="1"/>
  <c r="H45" i="1"/>
  <c r="I45" i="1" s="1"/>
  <c r="H44" i="1"/>
  <c r="I44" i="1" s="1"/>
  <c r="H43" i="1"/>
  <c r="I43" i="1" s="1"/>
  <c r="H42" i="1"/>
  <c r="I42" i="1" s="1"/>
  <c r="F42" i="1"/>
  <c r="H41" i="1"/>
  <c r="I41" i="1" s="1"/>
  <c r="F41" i="1"/>
  <c r="H37" i="1"/>
  <c r="I37" i="1" s="1"/>
  <c r="I36" i="1"/>
  <c r="H36" i="1"/>
  <c r="H35" i="1"/>
  <c r="I35" i="1" s="1"/>
  <c r="I34" i="1"/>
  <c r="H34" i="1"/>
  <c r="H30" i="1"/>
  <c r="I30" i="1" s="1"/>
  <c r="H29" i="1"/>
  <c r="I29" i="1" s="1"/>
  <c r="H28" i="1"/>
  <c r="I28" i="1" s="1"/>
  <c r="F28" i="1"/>
  <c r="H27" i="1"/>
  <c r="I27" i="1" s="1"/>
  <c r="I26" i="1"/>
  <c r="H26" i="1"/>
  <c r="H22" i="1"/>
  <c r="I22" i="1" s="1"/>
  <c r="H21" i="1"/>
  <c r="I21" i="1" s="1"/>
  <c r="F21" i="1"/>
  <c r="I20" i="1"/>
  <c r="H20" i="1"/>
  <c r="H19" i="1"/>
  <c r="I19" i="1" s="1"/>
  <c r="I18" i="1"/>
  <c r="H18" i="1"/>
  <c r="H17" i="1"/>
  <c r="I17" i="1" s="1"/>
  <c r="I16" i="1"/>
  <c r="H16" i="1"/>
  <c r="H15" i="1"/>
  <c r="I15" i="1" s="1"/>
  <c r="I14" i="1"/>
  <c r="H14" i="1"/>
  <c r="H13" i="1"/>
  <c r="I13" i="1" s="1"/>
  <c r="I12" i="1"/>
  <c r="H12" i="1"/>
  <c r="F12" i="1"/>
  <c r="H11" i="1"/>
  <c r="I11" i="1" s="1"/>
  <c r="F11" i="1"/>
  <c r="H10" i="1"/>
  <c r="I10" i="1" s="1"/>
  <c r="F10" i="1"/>
  <c r="I46" i="1" l="1"/>
  <c r="I129" i="1"/>
  <c r="I207" i="1"/>
  <c r="I31" i="1"/>
  <c r="I23" i="1"/>
  <c r="I135" i="1"/>
  <c r="I192" i="1"/>
  <c r="I38" i="1"/>
  <c r="I86" i="1"/>
  <c r="I190" i="1"/>
  <c r="I156" i="1" l="1"/>
  <c r="I209" i="1"/>
  <c r="H5" i="1" s="1"/>
</calcChain>
</file>

<file path=xl/sharedStrings.xml><?xml version="1.0" encoding="utf-8"?>
<sst xmlns="http://schemas.openxmlformats.org/spreadsheetml/2006/main" count="690" uniqueCount="397">
  <si>
    <t>PREFEITURA DO MUNICÍPIO DE LAGES</t>
  </si>
  <si>
    <t>PLANILHA ORÇAMENTÁRIA</t>
  </si>
  <si>
    <t>Obra: Ampliação de creche municipal - CEIM Tia Anita</t>
  </si>
  <si>
    <t>BDI</t>
  </si>
  <si>
    <t>DATA</t>
  </si>
  <si>
    <t>VALOR DA OBRA C/ BDI:</t>
  </si>
  <si>
    <t>Preço base: jun/2023 - SINAPI - Desonerado | Jan/21 - Deinfra | Seinfra / MAR 2023 C.27.1 - Desonerado</t>
  </si>
  <si>
    <t>Responsável Técnico: Gastão Carsten</t>
  </si>
  <si>
    <t>ITEM</t>
  </si>
  <si>
    <t>CÓDIGO</t>
  </si>
  <si>
    <t>FONTE</t>
  </si>
  <si>
    <t>DESCRIÇÃO DOS SERVIÇOS</t>
  </si>
  <si>
    <t>UND</t>
  </si>
  <si>
    <t>QTDADE</t>
  </si>
  <si>
    <t>PR. UNIT. S/ BDI  (R$)</t>
  </si>
  <si>
    <t>PREÇO UNIT. C/ BDI (R$)</t>
  </si>
  <si>
    <t>VALOR (R$)</t>
  </si>
  <si>
    <t>1.</t>
  </si>
  <si>
    <t>SERVIÇOS PRELIMINARES</t>
  </si>
  <si>
    <t>1.1</t>
  </si>
  <si>
    <t>DEINFRA</t>
  </si>
  <si>
    <t>Placa de obra em chapa de aço galvanizado - Modelo PML - 1,25x2,50m</t>
  </si>
  <si>
    <t>m²</t>
  </si>
  <si>
    <t>1.2</t>
  </si>
  <si>
    <t>SINAPI</t>
  </si>
  <si>
    <t>Tapume com telha metálica</t>
  </si>
  <si>
    <t>1.3</t>
  </si>
  <si>
    <t>Almoxafirado em canteiro de obras - 2x2,50m</t>
  </si>
  <si>
    <t>1.4</t>
  </si>
  <si>
    <t>Instalação de sanitário em canteiro de obras - completo</t>
  </si>
  <si>
    <t>1.5</t>
  </si>
  <si>
    <t>Instalação de entrada de água - Padrão SEMASA</t>
  </si>
  <si>
    <t>und</t>
  </si>
  <si>
    <t>1.6</t>
  </si>
  <si>
    <t>Instalação de poste de luz - Padrão Celesc - Trifásico</t>
  </si>
  <si>
    <t>1.7</t>
  </si>
  <si>
    <t>Instalação de entrada de luz - Padrão Celes - Trifásico</t>
  </si>
  <si>
    <t>1.8</t>
  </si>
  <si>
    <t>Projeto elétrico - completo</t>
  </si>
  <si>
    <t>1.9</t>
  </si>
  <si>
    <t>Projeto hidrossanitário - completo</t>
  </si>
  <si>
    <t>1.10</t>
  </si>
  <si>
    <t>Projeto de prevenção e proteção contra incêndios - completo e aprovado pelo CBM-SC</t>
  </si>
  <si>
    <t>1.11</t>
  </si>
  <si>
    <t>Projeto Executivo Completo - Estrutural c/ fundações</t>
  </si>
  <si>
    <t>1.12</t>
  </si>
  <si>
    <t>Sondagem a percurssão - 4 furos</t>
  </si>
  <si>
    <t>m</t>
  </si>
  <si>
    <t>1.13</t>
  </si>
  <si>
    <t xml:space="preserve">Locação de obra </t>
  </si>
  <si>
    <t>Subtotal item 1.</t>
  </si>
  <si>
    <t>2.</t>
  </si>
  <si>
    <t>RETIRADAS E DEMOLIÇÕES</t>
  </si>
  <si>
    <t>2.1</t>
  </si>
  <si>
    <t>Limpeza manual de vegetação em terreno com enxada (calçada)</t>
  </si>
  <si>
    <t>2.2</t>
  </si>
  <si>
    <t>Corte, Recorte e Remoção de Arvores inclusive Raizes</t>
  </si>
  <si>
    <t>2.3</t>
  </si>
  <si>
    <t>Retirada de alambrado de tela galvanizada</t>
  </si>
  <si>
    <t>2.4</t>
  </si>
  <si>
    <t>Demolição de contra piso em concreto - escadas e acesso</t>
  </si>
  <si>
    <t>2.5</t>
  </si>
  <si>
    <t>Demolicao de area construida</t>
  </si>
  <si>
    <t>Subtotal item 2.</t>
  </si>
  <si>
    <t>3.</t>
  </si>
  <si>
    <t>MOVIMENTAÇÃO DE TERRAS E TRANSPORTE</t>
  </si>
  <si>
    <t>3.1</t>
  </si>
  <si>
    <t>Carga e transporte de entulho e posterior transporte /10km</t>
  </si>
  <si>
    <t>m³</t>
  </si>
  <si>
    <t>3.2</t>
  </si>
  <si>
    <t>Escavação manual de solos - 1,00 até 2,50m</t>
  </si>
  <si>
    <t>3.3</t>
  </si>
  <si>
    <t>Reaterro manual com compactação mecanizada</t>
  </si>
  <si>
    <t>3.4</t>
  </si>
  <si>
    <t>Apiloamento de cavas de fundação, pisos, fundos de valas</t>
  </si>
  <si>
    <t>Subtotal item 3.</t>
  </si>
  <si>
    <t>4.</t>
  </si>
  <si>
    <t>SERVIÇOS EM CONCRETO</t>
  </si>
  <si>
    <t>4.1</t>
  </si>
  <si>
    <t>Lastro de concreto magro para fundações - Espessura: 5cm</t>
  </si>
  <si>
    <t>4.2</t>
  </si>
  <si>
    <t>Lastro em brita n° 1 - Espessura: 5cm</t>
  </si>
  <si>
    <t>4.3</t>
  </si>
  <si>
    <t>Concreto 25 Mpa - Usinado e bombeado (preenchimento muro de contenção)</t>
  </si>
  <si>
    <t>4.4</t>
  </si>
  <si>
    <t>COMPOSIÇÃO PARAMÉTRICA PARA EXECUÇÃO DE ESTRUTURAS DE CONCRETO ARMADO, PARA EDIFICAÇÃO HABITACIONAL UNIFAMILIAR TÉRREA (CASA ISOLADA), FCK =25 MPA. AF_11/2022</t>
  </si>
  <si>
    <t>4.5</t>
  </si>
  <si>
    <t>Laje pré-fabricada - 10cm - incluso escoramento e concreto</t>
  </si>
  <si>
    <t>Subtotal item 4.</t>
  </si>
  <si>
    <t>5.</t>
  </si>
  <si>
    <t>IMPERMEABILIZAÇÃO</t>
  </si>
  <si>
    <t>5.1</t>
  </si>
  <si>
    <t>Impermeabilização com tinta betuminosa asfáltica - 2 demãos - baldrames, fundação muro + (b.w.c's + lavanderia + trocadores - piso e parede h= 1,10m)</t>
  </si>
  <si>
    <t>5.2</t>
  </si>
  <si>
    <t>Impermeabilizaçao de superfície com cimento cristalizante - mínimo 3 demãos em sentidos alternados (edificação externa h=1,00m)</t>
  </si>
  <si>
    <t>Subtotal item 5.</t>
  </si>
  <si>
    <t>6.</t>
  </si>
  <si>
    <t>FECHAMENTOS E REVESTIMENTOS</t>
  </si>
  <si>
    <t>6.1</t>
  </si>
  <si>
    <t xml:space="preserve">Alvenaria de vedação de blocos cerâmicos furados - 14x19x39 cm - assentados com argamassa preparada em betoneira </t>
  </si>
  <si>
    <t>6.2</t>
  </si>
  <si>
    <t>Alvenaria de vedação de blocos vazados de concreto 14x19x39 cm (muro contenção)</t>
  </si>
  <si>
    <t>6.3</t>
  </si>
  <si>
    <t>Alvenaria de vedação com elemento vazado de cerâmica (Cobogó)</t>
  </si>
  <si>
    <t>6.4</t>
  </si>
  <si>
    <t>Chapisco aplicado em alvenarias e estruturas de concreto - preparo em betoneira e aplicado com colher de pedreiro</t>
  </si>
  <si>
    <t>6.5</t>
  </si>
  <si>
    <t>Emboço em argamassa - traço 1:2:8 - preparo mecânico com betoneira</t>
  </si>
  <si>
    <t>6.6</t>
  </si>
  <si>
    <t>Reboco fino para acabamento final - preparo mecânico com betoneira</t>
  </si>
  <si>
    <t>6.7</t>
  </si>
  <si>
    <t>Revestimento cerâmico para paredes, placas tipo esmaltadas, extra, dimensões aproximadas de 30x45cm</t>
  </si>
  <si>
    <t>6.8</t>
  </si>
  <si>
    <t>Rodapé cerâmico h=7,0 cm</t>
  </si>
  <si>
    <t>6.9</t>
  </si>
  <si>
    <t>Massa acrílica em superfícies - 2 demãos</t>
  </si>
  <si>
    <t>Subtotal item 6.</t>
  </si>
  <si>
    <t>7.</t>
  </si>
  <si>
    <t>PISOS E CALÇADAS</t>
  </si>
  <si>
    <t>7.1</t>
  </si>
  <si>
    <t>Lastro de brita para contrapiso - espessura: 5cm (edificação + paver)</t>
  </si>
  <si>
    <t>7.2</t>
  </si>
  <si>
    <t>Contrapiso armado com tela nervurada - malha 10x10cm - 4.2mm - espessura: 10cm</t>
  </si>
  <si>
    <t>7.3</t>
  </si>
  <si>
    <t>Revestimento cerâmico para piso - extra - PEI IV ou V - dimensões de 45x45cm ou 60x60cm (antiderrapante entre 0,4 e 0,7)</t>
  </si>
  <si>
    <t>7.4</t>
  </si>
  <si>
    <t>Soleira em granito, largura: 15cm, esp: 2cm (portas)</t>
  </si>
  <si>
    <t>7.5</t>
  </si>
  <si>
    <t>I9149</t>
  </si>
  <si>
    <t>I - SEINFRA</t>
  </si>
  <si>
    <t>Piso em grama sintética para playground</t>
  </si>
  <si>
    <t>7.6</t>
  </si>
  <si>
    <t>Execução de piso podotátil de borracha sintética - rampa interna</t>
  </si>
  <si>
    <t>7.7</t>
  </si>
  <si>
    <t>Execução de piso podotátil em blocos intertravados de concreto - 20x20x6cm, cor vermelha (alerta e direcional)</t>
  </si>
  <si>
    <t>7.8</t>
  </si>
  <si>
    <t>Execução de meio-fio, espessra de 15cm, linha reta</t>
  </si>
  <si>
    <t>7.9</t>
  </si>
  <si>
    <t>Pavimentacao c/ Bloquete/Piso Intertravado de Concreto Retangular *22 Cm X 11* Cm, E = 8 Cm, Resistencia De 35Mpa (Nbr 9781), Cor Natural</t>
  </si>
  <si>
    <t>Subtotal item 7.</t>
  </si>
  <si>
    <t>8.</t>
  </si>
  <si>
    <t>COBERTURA</t>
  </si>
  <si>
    <t>8.1</t>
  </si>
  <si>
    <t>Estrutura de madeira p/ telhas onduladas de fibrocimento - esp: 6mm - apoiada sobre paredes e/ou lajes</t>
  </si>
  <si>
    <t>8.2</t>
  </si>
  <si>
    <t>Cobertura com telha de fibrocimento - esp: 6mm - ondulada</t>
  </si>
  <si>
    <t>8.3</t>
  </si>
  <si>
    <t>Cumeeira em fibrocimento - esp: 6mm - ondulada</t>
  </si>
  <si>
    <t>8.4</t>
  </si>
  <si>
    <t>Rufo externo em chapa de aço galvanizado - Até corte 33cm</t>
  </si>
  <si>
    <t>8.5</t>
  </si>
  <si>
    <t>Forro PVC frisado com estrutura - beiral</t>
  </si>
  <si>
    <t>8.6</t>
  </si>
  <si>
    <t>ACABAMENTOS PARA FORRO (RODA-FORRO EM PERFIL METÁLICO E PLÁSTICO). AF_05/2017</t>
  </si>
  <si>
    <t>8.7</t>
  </si>
  <si>
    <t>Testeira de madeira para beiral 17cm</t>
  </si>
  <si>
    <t>8.8</t>
  </si>
  <si>
    <t>C2479 + 43715</t>
  </si>
  <si>
    <t>SEINFRA + DEINFRA</t>
  </si>
  <si>
    <t xml:space="preserve">Toldo em estrutura metálica na cor branco esmalte - Cobertura com chapa de policarbonato </t>
  </si>
  <si>
    <t>Subtotal item 8.</t>
  </si>
  <si>
    <t>9.</t>
  </si>
  <si>
    <t>ESQUADRIAS</t>
  </si>
  <si>
    <t>9.1</t>
  </si>
  <si>
    <t>Kit de Porta-pronta de madeira - 80x210cm - completa</t>
  </si>
  <si>
    <t>9.2</t>
  </si>
  <si>
    <t>Kit de Porta-pronta de madeira - 90x210cm - completa</t>
  </si>
  <si>
    <t>9.3</t>
  </si>
  <si>
    <t>Porta de alumínio anodizado branco - com vidros - completa</t>
  </si>
  <si>
    <t>9.4</t>
  </si>
  <si>
    <t>Porta de ferro com chapa galvanizada frisada - 185x210cm - completa</t>
  </si>
  <si>
    <t>9.5</t>
  </si>
  <si>
    <t>Janela de alumínio tipo maxim-ar - anodizado branco - completa</t>
  </si>
  <si>
    <t>9.6</t>
  </si>
  <si>
    <t>Janela de alumínio de correr com 2 folhas para vidros, com vidros, batente, acabamento com acetato ou brilhante e ferragens</t>
  </si>
  <si>
    <t>9.7</t>
  </si>
  <si>
    <t>Janela de alumínio de correr com 4 folhas para vidros, com vidros, batente, acabamento com acetato ou brilhante e ferragens</t>
  </si>
  <si>
    <t>9.8</t>
  </si>
  <si>
    <t>Grade simples-ferro para protecao de janelas (COM PINTURA BRANCA)</t>
  </si>
  <si>
    <t>9.9</t>
  </si>
  <si>
    <t>Porta de grade de ferro completa (de correr - proteção interna para as portas blindex)</t>
  </si>
  <si>
    <t>9.10</t>
  </si>
  <si>
    <t>Portao de ferro galvanizado</t>
  </si>
  <si>
    <t>9.11</t>
  </si>
  <si>
    <t>Puxador para pcd, fixado na porta - fornecimento e instalação</t>
  </si>
  <si>
    <t>9.12</t>
  </si>
  <si>
    <t>Porta de ferro chapa galvanizada frizada (lixeira)</t>
  </si>
  <si>
    <t>9.13</t>
  </si>
  <si>
    <t>Peitoril linear em granito ou mármore - L=17cm - com pingadeira</t>
  </si>
  <si>
    <t>9.14</t>
  </si>
  <si>
    <t>Verga moldada in loco - 4 barras de 8mm</t>
  </si>
  <si>
    <t>9.15</t>
  </si>
  <si>
    <t>Contraverga moldada in loco - 4 barras de 8mm</t>
  </si>
  <si>
    <t>9.16</t>
  </si>
  <si>
    <t>Gradil metálico, tipo nylofor, malha 5x20cm, cor branco (G1 + muro frontal)</t>
  </si>
  <si>
    <t>9.17</t>
  </si>
  <si>
    <t>Fechadura auxiliar tipo tetra para portas externas - completa</t>
  </si>
  <si>
    <t>9.18</t>
  </si>
  <si>
    <t>Rede de nylon para protecao com estrutura (Tela anti-mosca cozinha)</t>
  </si>
  <si>
    <t>9.19</t>
  </si>
  <si>
    <t>I0535</t>
  </si>
  <si>
    <t>SEINFRA</t>
  </si>
  <si>
    <t>Chapa metálica resistente impactos - ambos os lados P1</t>
  </si>
  <si>
    <t>9.20</t>
  </si>
  <si>
    <t>Vidro temperado e = 6mm - visor portas P1</t>
  </si>
  <si>
    <t>9.21</t>
  </si>
  <si>
    <t>Guichê - vidro temperado e = 10mm</t>
  </si>
  <si>
    <t>Subtotal item 9.</t>
  </si>
  <si>
    <t>10.</t>
  </si>
  <si>
    <t>DRENAGEM PLUVIAL</t>
  </si>
  <si>
    <t>10.1</t>
  </si>
  <si>
    <t>Calha de beiral em chapa de aço galvanizado - D: 15cm - Até corte 100</t>
  </si>
  <si>
    <t>10.2</t>
  </si>
  <si>
    <t>C0611</t>
  </si>
  <si>
    <t>Caixa de passagem/inspeção/coleta - 40x40x30cm - com tampa grelhada em ferro fundido chato</t>
  </si>
  <si>
    <t>10.3</t>
  </si>
  <si>
    <t>Tubo PVC 100mm - descida pluvial</t>
  </si>
  <si>
    <t>Subtotal item 10.</t>
  </si>
  <si>
    <t>11.</t>
  </si>
  <si>
    <t>SISTEMA HIDROSSANITÁRIO</t>
  </si>
  <si>
    <t>11.1</t>
  </si>
  <si>
    <t>ESGOTO SANITÁRIO</t>
  </si>
  <si>
    <t>11.1.1</t>
  </si>
  <si>
    <t>Tubo PVC 100mm</t>
  </si>
  <si>
    <t>11.1.2</t>
  </si>
  <si>
    <t>C1950</t>
  </si>
  <si>
    <t>Ponto de esgoto em PVC - lavatórios, pias, tanques e semelhantes</t>
  </si>
  <si>
    <t>11.1.3</t>
  </si>
  <si>
    <t>Ponto de esgoto em PVC - vaso saniário</t>
  </si>
  <si>
    <t>11.1.4</t>
  </si>
  <si>
    <t>Ponto de ventilação 50mm</t>
  </si>
  <si>
    <t>11.1.5</t>
  </si>
  <si>
    <t xml:space="preserve">Caixa de passagem/inspeção/coleta - 50x50x40cm - com tampa </t>
  </si>
  <si>
    <t>11.1.6</t>
  </si>
  <si>
    <t>Caixa de gordura - 830x480x75mm</t>
  </si>
  <si>
    <t>11.1.7</t>
  </si>
  <si>
    <t>Ralo - Caixa sifonada - DN 100mm</t>
  </si>
  <si>
    <t>11.1.8</t>
  </si>
  <si>
    <t>Fossa séptica - Volume útil mín: 8200 litros</t>
  </si>
  <si>
    <t>m3</t>
  </si>
  <si>
    <t>11.1.9</t>
  </si>
  <si>
    <t>Filtro anaeróbio - Volume útil mín: 5800 litros</t>
  </si>
  <si>
    <t>Subtotal item 11.1</t>
  </si>
  <si>
    <t>11.2</t>
  </si>
  <si>
    <t>ÁGUA FRIA</t>
  </si>
  <si>
    <t>11.2.1</t>
  </si>
  <si>
    <t>Caixa d´água - 1000 litros - completa inclusive conexões, boia e registros</t>
  </si>
  <si>
    <t>11.2.2</t>
  </si>
  <si>
    <t>Ponto de consumo terminal de água fria com tubulação PVC e ponta em latão, vários diâmetros - completo</t>
  </si>
  <si>
    <t>11.2.4</t>
  </si>
  <si>
    <t xml:space="preserve">Registro de gaveta - 1/2" - metálico - com canopla </t>
  </si>
  <si>
    <t>11.2.5</t>
  </si>
  <si>
    <t>Registro de pressão em latão, inclusive conexões, roscável, com acabamento e canopla cromados - completo - D: até 3/4"</t>
  </si>
  <si>
    <t>Subtotal item 11.2</t>
  </si>
  <si>
    <t>11.3</t>
  </si>
  <si>
    <t>LOUÇAS E METAIS</t>
  </si>
  <si>
    <t>11.3.1</t>
  </si>
  <si>
    <t>Vaso sanitário infantil, louça branca, com caixa de descarga, flexíveis, conexões e assento - padrão médio - completo</t>
  </si>
  <si>
    <t>11.3.2</t>
  </si>
  <si>
    <t>Vaso sanitário sem furo frontal p/PCD, louça branca, com caixa acoplada em louça, flexíveis, conexões e assento - completo</t>
  </si>
  <si>
    <t>11.3.3</t>
  </si>
  <si>
    <t>Lavatorio com coluna completo sifonado c/ metais (PNE)</t>
  </si>
  <si>
    <t>11.3.4</t>
  </si>
  <si>
    <t>43920 + 86903</t>
  </si>
  <si>
    <t>DEINFRA + SINAPI</t>
  </si>
  <si>
    <t>Lavatório infantil com coluna em louça branca, tubulação de esgoto sifonada, torneira metálica pressmatic, incluso flexíveis, conexões - completo</t>
  </si>
  <si>
    <t>11.3.5</t>
  </si>
  <si>
    <t>43920 + 86901</t>
  </si>
  <si>
    <t>Cuba em louça branca, tubulação de esgoto sifonada, torneira metálica pressmatic, incluso flexíveis, conexões - completo (banheira trocador)</t>
  </si>
  <si>
    <t>11.3.6</t>
  </si>
  <si>
    <t>Tanque grande, 40L, em louça branca, com flexíveis, coluna e torneira - completo</t>
  </si>
  <si>
    <t>11.3.7</t>
  </si>
  <si>
    <t>Torneira elétrica automática - completa - Pot Mín: 2800w</t>
  </si>
  <si>
    <t>11.3.8</t>
  </si>
  <si>
    <t>Ducha elétrica, apenas esguicho - Pot Mín: 4000w</t>
  </si>
  <si>
    <t>11.3.9</t>
  </si>
  <si>
    <t>Torneira metálica, cromada, bica alta, para cozinha</t>
  </si>
  <si>
    <t>11.3.10</t>
  </si>
  <si>
    <t>Torneira cromada, cromada, bica baixa, para lavatório, jardim</t>
  </si>
  <si>
    <t>11.3.11</t>
  </si>
  <si>
    <t>Granito polido para bancadas diversas com rodameio e rodabanca</t>
  </si>
  <si>
    <t>11.3.12</t>
  </si>
  <si>
    <t>PAPELEIRA DE PAREDE EM METAL CROMADO SEM TAMPA, INCLUSO FIXAÇÃO. AF_01/2020</t>
  </si>
  <si>
    <t>11.3.13</t>
  </si>
  <si>
    <t>Saboneteira plástica tipo dispenser para sabonete líquidoc/ reservatorio 800 a 1500 ml, incluso fixação. AF 01/2020</t>
  </si>
  <si>
    <t>11.3.14</t>
  </si>
  <si>
    <t>Porta toalha de papel - metálico</t>
  </si>
  <si>
    <t>11.3.15</t>
  </si>
  <si>
    <t>Espelho com moldura - fixado com buchas - 60x80cm</t>
  </si>
  <si>
    <t>11.3.16</t>
  </si>
  <si>
    <t>Cuba Inóx p/ cozinha - c/ sifão</t>
  </si>
  <si>
    <t>11.3.17</t>
  </si>
  <si>
    <t>Torneira de pia/tanque de parede metálica cromada</t>
  </si>
  <si>
    <t>11.3.18</t>
  </si>
  <si>
    <t>Conjunto de 03 barras de apoio metálicas cromadas p/
BWC de Deficientes</t>
  </si>
  <si>
    <t>Subtotal item 11.3</t>
  </si>
  <si>
    <t>Subtotal item 11.</t>
  </si>
  <si>
    <t>12.</t>
  </si>
  <si>
    <t>INSTALAÇÕES ELÉTRICAS</t>
  </si>
  <si>
    <t>12.1</t>
  </si>
  <si>
    <t>Poste padrão CELESC - trifásico</t>
  </si>
  <si>
    <t>12.2</t>
  </si>
  <si>
    <t>Instalação de entrada de luz - Padrão CELESC - Trifásico - Disjuntor de entrada e fiação até o quadro interno da unidade escolar compatível com demanda</t>
  </si>
  <si>
    <t>12.3</t>
  </si>
  <si>
    <t>Quadro de distribuição de energia em chapa de aço galvanizado- completo (18 disjuntores monopolares, com barramento trifásico, neutro e proteção)</t>
  </si>
  <si>
    <t>12.4</t>
  </si>
  <si>
    <t>Disjuntor termomagnético, monopolar - 10A a 30A</t>
  </si>
  <si>
    <t>12.5</t>
  </si>
  <si>
    <t>Disjuntor termomagnético, monopolar - 30A a 50A</t>
  </si>
  <si>
    <t>12.6</t>
  </si>
  <si>
    <t>Disjuntor termomagnético, tripolar - 10A a 50A</t>
  </si>
  <si>
    <t>12.7</t>
  </si>
  <si>
    <t>Ponto telefônico e de lógica - completo</t>
  </si>
  <si>
    <t>12.8</t>
  </si>
  <si>
    <t>Ponto elétrico de iluminação residencial, incluindo interruptor simples, caixa elétrica, eletroduto, cabo, rasgo, quebra e chumbamento.</t>
  </si>
  <si>
    <t>12.9</t>
  </si>
  <si>
    <t>Ponto elétrico de iluminação residencial, incluindo interruptor (02 módulos e 03 módulos), caixa elétrica, eletroduto, cabo, rasgo, quebra e chumbamento.</t>
  </si>
  <si>
    <t>12.10</t>
  </si>
  <si>
    <t>Ponto elétrico de iluminação residencial, paralelo, incluindo interruptor (03 módulos), caixa elétrica, eletroduto, cabo, rasgo, quebra e chumbamento.</t>
  </si>
  <si>
    <t>12.11</t>
  </si>
  <si>
    <t>Ponto elétrico de tomada de uso geral, incluindo tomada (2P+T- 10A-250V), caixa elétrica, eletroduto, cabo, rasgo, quebra e chumbamento. (Iluminação de emergência)</t>
  </si>
  <si>
    <t>12.12</t>
  </si>
  <si>
    <t>Ponto elétrico de tomada residencial, incluindo tomada (2P+T- 10A-250V), caixa elétrica, eletroduto, cabo, rasgo, quebra e chumbamento. (Iluminação de emergência)</t>
  </si>
  <si>
    <t>12.13</t>
  </si>
  <si>
    <t>Ponto elétrico de iluminação e tomada residencial, incluindo interruptor simples e tomada, caixa elétrica, eletroduto, cabo, rasgo, quebra e chumbamento.</t>
  </si>
  <si>
    <t>12.14</t>
  </si>
  <si>
    <t>Ponto elétrico de iluminação e tomada residencial, incluindo interruptor paralelo e tomada, caixa elétrica, eletroduto, cabo, rasgo, quebra e chumbamento</t>
  </si>
  <si>
    <t>12.15</t>
  </si>
  <si>
    <t>Ponto de utilização de equipamento elétrico, incluindo suporte, placa, caixa elétrica, eletroduto, cabo, rasgo, quebra e chumbamento - fio 6mm² - duchas, torneira elétrica, exaustor, ar condicionados.</t>
  </si>
  <si>
    <t>12.16</t>
  </si>
  <si>
    <t>Tomada de rede RJ45</t>
  </si>
  <si>
    <t>12.17</t>
  </si>
  <si>
    <t xml:space="preserve">Luminária tipo calha, lâmpadas tubulares tipo LED - Pot: 2x36W - Conforme modelo em memorial descritivo </t>
  </si>
  <si>
    <t>12.18</t>
  </si>
  <si>
    <t>Luminária tipo paflon - 2 Lâmpadas - 15W - LED - conforme modelo em memorial descritivo</t>
  </si>
  <si>
    <t>12.19</t>
  </si>
  <si>
    <t>Farolete - Bloco autonomo c/ bateria p/ iluminacao de emergencia c/ 2 farois de 55W</t>
  </si>
  <si>
    <t>12.20</t>
  </si>
  <si>
    <t>Rele fotoelétrico p/ iluminação externa</t>
  </si>
  <si>
    <t>12.21</t>
  </si>
  <si>
    <t>Medidor trifásico - padrão de entrada</t>
  </si>
  <si>
    <t>12.22</t>
  </si>
  <si>
    <t>Luminária de emergência - 30 LED's</t>
  </si>
  <si>
    <t>12.23</t>
  </si>
  <si>
    <t>Placa de sinalização de saída - LED</t>
  </si>
  <si>
    <t>12.24</t>
  </si>
  <si>
    <t>Acionador manual Seguranca de Alarme (Quebra-Vidro) - Sanitário PNE</t>
  </si>
  <si>
    <t>12.25</t>
  </si>
  <si>
    <t>Sirene Eletronica Som Agudo 24V- 100 a 120 DB c/ Flash - Sanitário PNE</t>
  </si>
  <si>
    <t>12.26</t>
  </si>
  <si>
    <t>Exaustor Diametro 250mm</t>
  </si>
  <si>
    <t>Subtotal item 12.</t>
  </si>
  <si>
    <t>13.</t>
  </si>
  <si>
    <t>SERVIÇOS DE PINTURA</t>
  </si>
  <si>
    <t>13.1</t>
  </si>
  <si>
    <t>Aplicação manual de fundo selador acrílico (parede + laje)</t>
  </si>
  <si>
    <t>13.2</t>
  </si>
  <si>
    <t>Aplicação manual de pintura com tinta acrílica em paredes - mín: 2 demãos</t>
  </si>
  <si>
    <t>13.3</t>
  </si>
  <si>
    <t>Pintura com tinta esmalte sintético para madeira - mín: fundo + 2 demãos</t>
  </si>
  <si>
    <t>13.4</t>
  </si>
  <si>
    <t>Pintura com tinta esmalte sintético para metais - mín: fundo + 02 demãos</t>
  </si>
  <si>
    <t>Subtotal item 13.</t>
  </si>
  <si>
    <t>14.</t>
  </si>
  <si>
    <t>SERVIÇOS DIVERSOS</t>
  </si>
  <si>
    <t>14.1</t>
  </si>
  <si>
    <t>Abrigo completo p/ 2 cilindros de gás - P45 - C/ Botijões - De acordo com normas do CBMSC - incluso ponto de gás com fecho rápido</t>
  </si>
  <si>
    <t>14.2</t>
  </si>
  <si>
    <t>Extintor PQS - 4 Kg - Fixado em parede com placas indicativas</t>
  </si>
  <si>
    <t>14.3</t>
  </si>
  <si>
    <t>Placa de Ident. em Braile 21 x 10 Al.</t>
  </si>
  <si>
    <t>14.4</t>
  </si>
  <si>
    <t>Placa de Ident. de WC Desenho Universal 20x15 Al.</t>
  </si>
  <si>
    <t>14.5</t>
  </si>
  <si>
    <t>Placa de sinalizaçãoacrilico 16 x 25 cm</t>
  </si>
  <si>
    <t>14.6</t>
  </si>
  <si>
    <t>Tubo de cobre s/ costura Classe A 1/2"</t>
  </si>
  <si>
    <t>14.7</t>
  </si>
  <si>
    <t>Cotovelo de Cobre 90 1/2"</t>
  </si>
  <si>
    <t>14.8</t>
  </si>
  <si>
    <t>Pingadeira de concreto Pré-Moldada - 18cm</t>
  </si>
  <si>
    <t>14.9</t>
  </si>
  <si>
    <t>Peitoril em granito com pingadeira - esp: 17cm</t>
  </si>
  <si>
    <t>14.10</t>
  </si>
  <si>
    <t>Corrimão simples, metálico, cor branca - A: 0,90m</t>
  </si>
  <si>
    <t>14.11</t>
  </si>
  <si>
    <t>Guarda-corpo com corrimão metálico, cor branca - A: 1,10m</t>
  </si>
  <si>
    <t>14.12</t>
  </si>
  <si>
    <t>Limpeza final de obra - construção e terreno</t>
  </si>
  <si>
    <t>Subtotal item 14.</t>
  </si>
  <si>
    <t xml:space="preserve">CEIM TIA ANITA    - FEV/2023                                                                                                                                                                            TOTAL COM BDI </t>
  </si>
  <si>
    <t>OBS: Todos os referenciais de preços constantes nesta planilha foram retirados na tabela SINAPI do mês de Fevereiro de 2021, conforme o Decreto nº 7.983, Art. 3o, de 8 de abril de 2013. Quando não constante em tabela SINAPI, a referência de preço foi retirada da tabela DEINFRA e SEINFRA.</t>
  </si>
  <si>
    <t>Ivana Elena Michaltchuck</t>
  </si>
  <si>
    <t>Gastão P.L. Carsten</t>
  </si>
  <si>
    <t>Secretaria de educação</t>
  </si>
  <si>
    <t xml:space="preserve">Arquiteto </t>
  </si>
  <si>
    <t>CAU 93808-4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</si>
</sst>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0" fontId="5" fillId="3" borderId="6" xfId="0" applyNumberFormat="1" applyFont="1" applyFill="1" applyBorder="1" applyAlignment="1">
      <alignment horizontal="center" vertical="center"/>
    </xf>
    <xf numFmtId="10" fontId="5" fillId="3" borderId="7" xfId="0" applyNumberFormat="1" applyFont="1" applyFill="1" applyBorder="1" applyAlignment="1">
      <alignment horizontal="center" vertical="center"/>
    </xf>
    <xf numFmtId="14" fontId="6" fillId="3" borderId="8" xfId="0" applyNumberFormat="1" applyFont="1" applyFill="1" applyBorder="1" applyAlignment="1">
      <alignment horizontal="center" vertical="center"/>
    </xf>
    <xf numFmtId="44" fontId="7" fillId="3" borderId="9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1" applyNumberFormat="1" applyFont="1" applyFill="1" applyBorder="1" applyAlignment="1">
      <alignment horizontal="center" vertical="center"/>
    </xf>
    <xf numFmtId="44" fontId="4" fillId="4" borderId="2" xfId="0" applyNumberFormat="1" applyFont="1" applyFill="1" applyBorder="1" applyAlignment="1">
      <alignment horizontal="center" vertical="center" wrapText="1"/>
    </xf>
    <xf numFmtId="44" fontId="4" fillId="4" borderId="8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44" fontId="4" fillId="4" borderId="13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2" fontId="8" fillId="0" borderId="2" xfId="3" applyNumberFormat="1" applyFont="1" applyFill="1" applyBorder="1" applyAlignment="1">
      <alignment horizontal="center" vertical="center"/>
    </xf>
    <xf numFmtId="44" fontId="8" fillId="0" borderId="2" xfId="3" applyNumberFormat="1" applyFont="1" applyFill="1" applyBorder="1" applyAlignment="1">
      <alignment horizontal="left" vertical="center"/>
    </xf>
    <xf numFmtId="44" fontId="8" fillId="0" borderId="2" xfId="3" applyNumberFormat="1" applyFont="1" applyBorder="1" applyAlignment="1">
      <alignment horizontal="left" vertical="center"/>
    </xf>
    <xf numFmtId="0" fontId="8" fillId="0" borderId="2" xfId="2" applyFont="1" applyFill="1" applyBorder="1" applyAlignment="1">
      <alignment horizontal="left" vertical="center"/>
    </xf>
    <xf numFmtId="0" fontId="8" fillId="0" borderId="2" xfId="2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right" vertical="center"/>
    </xf>
    <xf numFmtId="44" fontId="4" fillId="5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2" fontId="8" fillId="0" borderId="2" xfId="3" quotePrefix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65" fontId="8" fillId="0" borderId="2" xfId="3" quotePrefix="1" applyNumberFormat="1" applyFont="1" applyFill="1" applyBorder="1" applyAlignment="1">
      <alignment horizontal="center" vertical="center"/>
    </xf>
    <xf numFmtId="44" fontId="4" fillId="5" borderId="2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4" fontId="4" fillId="0" borderId="0" xfId="0" applyNumberFormat="1" applyFont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3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11" fillId="0" borderId="0" xfId="1" applyNumberFormat="1" applyFont="1" applyAlignment="1">
      <alignment horizontal="center" vertical="center"/>
    </xf>
    <xf numFmtId="44" fontId="8" fillId="0" borderId="0" xfId="2" applyNumberFormat="1" applyFont="1" applyAlignment="1">
      <alignment horizontal="left" vertical="center"/>
    </xf>
    <xf numFmtId="44" fontId="8" fillId="0" borderId="0" xfId="3" applyNumberFormat="1" applyFont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44" fontId="8" fillId="0" borderId="14" xfId="3" applyNumberFormat="1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165" fontId="8" fillId="0" borderId="2" xfId="3" quotePrefix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2" fontId="8" fillId="6" borderId="2" xfId="3" quotePrefix="1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2" fontId="11" fillId="0" borderId="2" xfId="4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1" fillId="0" borderId="0" xfId="0" applyFont="1" applyFill="1"/>
    <xf numFmtId="44" fontId="11" fillId="0" borderId="2" xfId="1" applyFont="1" applyFill="1" applyBorder="1"/>
    <xf numFmtId="44" fontId="8" fillId="0" borderId="2" xfId="1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0" fillId="0" borderId="0" xfId="0" applyFill="1"/>
  </cellXfs>
  <cellStyles count="5">
    <cellStyle name="Moeda" xfId="1" builtinId="4"/>
    <cellStyle name="Moeda 2" xfId="4"/>
    <cellStyle name="Normal" xfId="0" builtinId="0"/>
    <cellStyle name="Normal 2" xfId="2"/>
    <cellStyle name="Vírgula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38100</xdr:rowOff>
        </xdr:from>
        <xdr:to>
          <xdr:col>1</xdr:col>
          <xdr:colOff>180975</xdr:colOff>
          <xdr:row>1</xdr:row>
          <xdr:rowOff>428625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9"/>
  <sheetViews>
    <sheetView tabSelected="1" workbookViewId="0">
      <selection sqref="A1:I222"/>
    </sheetView>
  </sheetViews>
  <sheetFormatPr defaultRowHeight="15" x14ac:dyDescent="0.25"/>
  <cols>
    <col min="1" max="1" width="8.140625" customWidth="1"/>
    <col min="2" max="2" width="14.85546875" customWidth="1"/>
    <col min="3" max="3" width="17" customWidth="1"/>
    <col min="4" max="4" width="70.7109375" customWidth="1"/>
    <col min="5" max="5" width="5.42578125" customWidth="1"/>
    <col min="6" max="6" width="9.5703125" bestFit="1" customWidth="1"/>
    <col min="7" max="7" width="15.7109375" customWidth="1"/>
    <col min="8" max="8" width="16.140625" customWidth="1"/>
    <col min="9" max="9" width="18" bestFit="1" customWidth="1"/>
  </cols>
  <sheetData>
    <row r="1" spans="1:9" x14ac:dyDescent="0.25">
      <c r="C1" s="1" t="s">
        <v>0</v>
      </c>
      <c r="D1" s="1"/>
    </row>
    <row r="2" spans="1:9" x14ac:dyDescent="0.25">
      <c r="C2" s="2"/>
      <c r="D2" s="2"/>
    </row>
    <row r="3" spans="1:9" ht="20.2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4" t="s">
        <v>2</v>
      </c>
      <c r="B4" s="5"/>
      <c r="C4" s="5"/>
      <c r="D4" s="6"/>
      <c r="E4" s="7" t="s">
        <v>3</v>
      </c>
      <c r="F4" s="8"/>
      <c r="G4" s="9" t="s">
        <v>4</v>
      </c>
      <c r="H4" s="7" t="s">
        <v>5</v>
      </c>
      <c r="I4" s="8"/>
    </row>
    <row r="5" spans="1:9" x14ac:dyDescent="0.25">
      <c r="A5" s="4" t="s">
        <v>6</v>
      </c>
      <c r="B5" s="5"/>
      <c r="C5" s="5"/>
      <c r="D5" s="6"/>
      <c r="E5" s="10">
        <v>0.2979</v>
      </c>
      <c r="F5" s="11"/>
      <c r="G5" s="12">
        <v>45119</v>
      </c>
      <c r="H5" s="13">
        <f>I209</f>
        <v>0</v>
      </c>
      <c r="I5" s="14"/>
    </row>
    <row r="6" spans="1:9" x14ac:dyDescent="0.25">
      <c r="A6" s="15" t="s">
        <v>7</v>
      </c>
      <c r="B6" s="15"/>
      <c r="C6" s="15"/>
      <c r="D6" s="15"/>
      <c r="E6" s="16">
        <v>1.2979000000000001</v>
      </c>
      <c r="F6" s="17"/>
      <c r="G6" s="18"/>
      <c r="H6" s="19"/>
      <c r="I6" s="20"/>
    </row>
    <row r="7" spans="1:9" x14ac:dyDescent="0.25">
      <c r="A7" s="21" t="s">
        <v>8</v>
      </c>
      <c r="B7" s="22" t="s">
        <v>9</v>
      </c>
      <c r="C7" s="21" t="s">
        <v>10</v>
      </c>
      <c r="D7" s="23" t="s">
        <v>11</v>
      </c>
      <c r="E7" s="21" t="s">
        <v>12</v>
      </c>
      <c r="F7" s="24" t="s">
        <v>13</v>
      </c>
      <c r="G7" s="25" t="s">
        <v>14</v>
      </c>
      <c r="H7" s="26" t="s">
        <v>15</v>
      </c>
      <c r="I7" s="21" t="s">
        <v>16</v>
      </c>
    </row>
    <row r="8" spans="1:9" x14ac:dyDescent="0.25">
      <c r="A8" s="21"/>
      <c r="B8" s="27"/>
      <c r="C8" s="21"/>
      <c r="D8" s="23"/>
      <c r="E8" s="21"/>
      <c r="F8" s="24"/>
      <c r="G8" s="25"/>
      <c r="H8" s="28"/>
      <c r="I8" s="21"/>
    </row>
    <row r="9" spans="1:9" x14ac:dyDescent="0.25">
      <c r="A9" s="29" t="s">
        <v>17</v>
      </c>
      <c r="B9" s="30"/>
      <c r="C9" s="30"/>
      <c r="D9" s="31" t="s">
        <v>18</v>
      </c>
      <c r="E9" s="31"/>
      <c r="F9" s="31"/>
      <c r="G9" s="31"/>
      <c r="H9" s="31"/>
      <c r="I9" s="31"/>
    </row>
    <row r="10" spans="1:9" x14ac:dyDescent="0.25">
      <c r="A10" s="32" t="s">
        <v>19</v>
      </c>
      <c r="B10" s="32">
        <v>42571</v>
      </c>
      <c r="C10" s="33" t="s">
        <v>20</v>
      </c>
      <c r="D10" s="34" t="s">
        <v>21</v>
      </c>
      <c r="E10" s="32" t="s">
        <v>22</v>
      </c>
      <c r="F10" s="35">
        <f>ROUND(1.25*2.5,2)</f>
        <v>3.13</v>
      </c>
      <c r="G10" s="36"/>
      <c r="H10" s="37">
        <f t="shared" ref="H10:H21" si="0">ROUND(G10*$E$6,2)</f>
        <v>0</v>
      </c>
      <c r="I10" s="37">
        <f>ROUND(H10*F10,2)</f>
        <v>0</v>
      </c>
    </row>
    <row r="11" spans="1:9" x14ac:dyDescent="0.25">
      <c r="A11" s="32" t="s">
        <v>23</v>
      </c>
      <c r="B11" s="32">
        <v>98459</v>
      </c>
      <c r="C11" s="33" t="s">
        <v>24</v>
      </c>
      <c r="D11" s="34" t="s">
        <v>25</v>
      </c>
      <c r="E11" s="32" t="s">
        <v>22</v>
      </c>
      <c r="F11" s="35">
        <f>24*2</f>
        <v>48</v>
      </c>
      <c r="G11" s="36"/>
      <c r="H11" s="37">
        <f t="shared" si="0"/>
        <v>0</v>
      </c>
      <c r="I11" s="37">
        <f>ROUND(H11*F11,2)</f>
        <v>0</v>
      </c>
    </row>
    <row r="12" spans="1:9" x14ac:dyDescent="0.25">
      <c r="A12" s="32" t="s">
        <v>26</v>
      </c>
      <c r="B12" s="32">
        <v>43222</v>
      </c>
      <c r="C12" s="33" t="s">
        <v>20</v>
      </c>
      <c r="D12" s="38" t="s">
        <v>27</v>
      </c>
      <c r="E12" s="32" t="s">
        <v>22</v>
      </c>
      <c r="F12" s="35">
        <f>2*2.5</f>
        <v>5</v>
      </c>
      <c r="G12" s="36"/>
      <c r="H12" s="37">
        <f>ROUND(G12*$E$6,2)</f>
        <v>0</v>
      </c>
      <c r="I12" s="37">
        <f>ROUND(H12*F12,2)</f>
        <v>0</v>
      </c>
    </row>
    <row r="13" spans="1:9" x14ac:dyDescent="0.25">
      <c r="A13" s="32" t="s">
        <v>28</v>
      </c>
      <c r="B13" s="32">
        <v>93213</v>
      </c>
      <c r="C13" s="33" t="s">
        <v>24</v>
      </c>
      <c r="D13" s="34" t="s">
        <v>29</v>
      </c>
      <c r="E13" s="32" t="s">
        <v>22</v>
      </c>
      <c r="F13" s="35">
        <v>1.2</v>
      </c>
      <c r="G13" s="36"/>
      <c r="H13" s="37">
        <f t="shared" si="0"/>
        <v>0</v>
      </c>
      <c r="I13" s="37">
        <f>ROUND(H13*F13,2)</f>
        <v>0</v>
      </c>
    </row>
    <row r="14" spans="1:9" x14ac:dyDescent="0.25">
      <c r="A14" s="32" t="s">
        <v>30</v>
      </c>
      <c r="B14" s="32">
        <v>95635</v>
      </c>
      <c r="C14" s="33" t="s">
        <v>24</v>
      </c>
      <c r="D14" s="34" t="s">
        <v>31</v>
      </c>
      <c r="E14" s="32" t="s">
        <v>32</v>
      </c>
      <c r="F14" s="35">
        <v>1</v>
      </c>
      <c r="G14" s="36"/>
      <c r="H14" s="37">
        <f t="shared" si="0"/>
        <v>0</v>
      </c>
      <c r="I14" s="37">
        <f t="shared" ref="I14:I21" si="1">ROUND(H14*F14,2)</f>
        <v>0</v>
      </c>
    </row>
    <row r="15" spans="1:9" x14ac:dyDescent="0.25">
      <c r="A15" s="32" t="s">
        <v>33</v>
      </c>
      <c r="B15" s="32">
        <v>43529</v>
      </c>
      <c r="C15" s="33" t="s">
        <v>20</v>
      </c>
      <c r="D15" s="34" t="s">
        <v>34</v>
      </c>
      <c r="E15" s="32" t="s">
        <v>32</v>
      </c>
      <c r="F15" s="35">
        <v>1</v>
      </c>
      <c r="G15" s="36"/>
      <c r="H15" s="37">
        <f t="shared" si="0"/>
        <v>0</v>
      </c>
      <c r="I15" s="37">
        <f t="shared" si="1"/>
        <v>0</v>
      </c>
    </row>
    <row r="16" spans="1:9" x14ac:dyDescent="0.25">
      <c r="A16" s="32" t="s">
        <v>35</v>
      </c>
      <c r="B16" s="32">
        <v>43524</v>
      </c>
      <c r="C16" s="33" t="s">
        <v>20</v>
      </c>
      <c r="D16" s="34" t="s">
        <v>36</v>
      </c>
      <c r="E16" s="32" t="s">
        <v>32</v>
      </c>
      <c r="F16" s="35">
        <v>1</v>
      </c>
      <c r="G16" s="36"/>
      <c r="H16" s="37">
        <f t="shared" si="0"/>
        <v>0</v>
      </c>
      <c r="I16" s="37">
        <f t="shared" si="1"/>
        <v>0</v>
      </c>
    </row>
    <row r="17" spans="1:9" x14ac:dyDescent="0.25">
      <c r="A17" s="32" t="s">
        <v>37</v>
      </c>
      <c r="B17" s="32">
        <v>42512</v>
      </c>
      <c r="C17" s="33" t="s">
        <v>20</v>
      </c>
      <c r="D17" s="34" t="s">
        <v>38</v>
      </c>
      <c r="E17" s="32" t="s">
        <v>22</v>
      </c>
      <c r="F17" s="35">
        <v>424.2</v>
      </c>
      <c r="G17" s="36"/>
      <c r="H17" s="37">
        <f t="shared" si="0"/>
        <v>0</v>
      </c>
      <c r="I17" s="37">
        <f t="shared" si="1"/>
        <v>0</v>
      </c>
    </row>
    <row r="18" spans="1:9" x14ac:dyDescent="0.25">
      <c r="A18" s="32" t="s">
        <v>39</v>
      </c>
      <c r="B18" s="32">
        <v>42515</v>
      </c>
      <c r="C18" s="33" t="s">
        <v>20</v>
      </c>
      <c r="D18" s="34" t="s">
        <v>40</v>
      </c>
      <c r="E18" s="32" t="s">
        <v>22</v>
      </c>
      <c r="F18" s="35">
        <v>424.2</v>
      </c>
      <c r="G18" s="36"/>
      <c r="H18" s="37">
        <f t="shared" si="0"/>
        <v>0</v>
      </c>
      <c r="I18" s="37">
        <f t="shared" si="1"/>
        <v>0</v>
      </c>
    </row>
    <row r="19" spans="1:9" ht="28.5" x14ac:dyDescent="0.25">
      <c r="A19" s="32" t="s">
        <v>41</v>
      </c>
      <c r="B19" s="32">
        <v>42516</v>
      </c>
      <c r="C19" s="33" t="s">
        <v>20</v>
      </c>
      <c r="D19" s="39" t="s">
        <v>42</v>
      </c>
      <c r="E19" s="32" t="s">
        <v>22</v>
      </c>
      <c r="F19" s="35">
        <v>424.2</v>
      </c>
      <c r="G19" s="36"/>
      <c r="H19" s="37">
        <f t="shared" si="0"/>
        <v>0</v>
      </c>
      <c r="I19" s="37">
        <f t="shared" si="1"/>
        <v>0</v>
      </c>
    </row>
    <row r="20" spans="1:9" x14ac:dyDescent="0.25">
      <c r="A20" s="32" t="s">
        <v>43</v>
      </c>
      <c r="B20" s="32">
        <v>42513</v>
      </c>
      <c r="C20" s="33" t="s">
        <v>20</v>
      </c>
      <c r="D20" s="39" t="s">
        <v>44</v>
      </c>
      <c r="E20" s="32" t="s">
        <v>22</v>
      </c>
      <c r="F20" s="35">
        <v>424.2</v>
      </c>
      <c r="G20" s="36"/>
      <c r="H20" s="37">
        <f t="shared" si="0"/>
        <v>0</v>
      </c>
      <c r="I20" s="37">
        <f t="shared" si="1"/>
        <v>0</v>
      </c>
    </row>
    <row r="21" spans="1:9" x14ac:dyDescent="0.25">
      <c r="A21" s="32" t="s">
        <v>45</v>
      </c>
      <c r="B21" s="32">
        <v>42522</v>
      </c>
      <c r="C21" s="33" t="s">
        <v>20</v>
      </c>
      <c r="D21" s="34" t="s">
        <v>46</v>
      </c>
      <c r="E21" s="32" t="s">
        <v>47</v>
      </c>
      <c r="F21" s="35">
        <f>4*8</f>
        <v>32</v>
      </c>
      <c r="G21" s="36"/>
      <c r="H21" s="37">
        <f t="shared" si="0"/>
        <v>0</v>
      </c>
      <c r="I21" s="37">
        <f t="shared" si="1"/>
        <v>0</v>
      </c>
    </row>
    <row r="22" spans="1:9" x14ac:dyDescent="0.25">
      <c r="A22" s="32" t="s">
        <v>48</v>
      </c>
      <c r="B22" s="32">
        <v>42591</v>
      </c>
      <c r="C22" s="33" t="s">
        <v>20</v>
      </c>
      <c r="D22" s="34" t="s">
        <v>49</v>
      </c>
      <c r="E22" s="32" t="s">
        <v>22</v>
      </c>
      <c r="F22" s="35">
        <v>436</v>
      </c>
      <c r="G22" s="36"/>
      <c r="H22" s="37">
        <f>ROUND(G22*$E$6,2)</f>
        <v>0</v>
      </c>
      <c r="I22" s="37">
        <f>ROUND(H22*F22,2)</f>
        <v>0</v>
      </c>
    </row>
    <row r="23" spans="1:9" x14ac:dyDescent="0.25">
      <c r="A23" s="40" t="s">
        <v>50</v>
      </c>
      <c r="B23" s="40"/>
      <c r="C23" s="40"/>
      <c r="D23" s="40"/>
      <c r="E23" s="40"/>
      <c r="F23" s="40"/>
      <c r="G23" s="40"/>
      <c r="H23" s="41"/>
      <c r="I23" s="41">
        <f>SUM(I10:I22)</f>
        <v>0</v>
      </c>
    </row>
    <row r="25" spans="1:9" x14ac:dyDescent="0.25">
      <c r="A25" s="29" t="s">
        <v>51</v>
      </c>
      <c r="B25" s="30"/>
      <c r="C25" s="30"/>
      <c r="D25" s="42" t="s">
        <v>52</v>
      </c>
      <c r="E25" s="42"/>
      <c r="F25" s="42"/>
      <c r="G25" s="42"/>
      <c r="H25" s="42"/>
      <c r="I25" s="42"/>
    </row>
    <row r="26" spans="1:9" x14ac:dyDescent="0.25">
      <c r="A26" s="32" t="s">
        <v>53</v>
      </c>
      <c r="B26" s="32">
        <v>98524</v>
      </c>
      <c r="C26" s="33" t="s">
        <v>24</v>
      </c>
      <c r="D26" s="38" t="s">
        <v>54</v>
      </c>
      <c r="E26" s="32" t="s">
        <v>22</v>
      </c>
      <c r="F26" s="35">
        <v>40</v>
      </c>
      <c r="G26" s="36"/>
      <c r="H26" s="37">
        <f>ROUND(G26*$E$6,2)</f>
        <v>0</v>
      </c>
      <c r="I26" s="37">
        <f>ROUND(H26*F26,2)</f>
        <v>0</v>
      </c>
    </row>
    <row r="27" spans="1:9" x14ac:dyDescent="0.25">
      <c r="A27" s="32" t="s">
        <v>55</v>
      </c>
      <c r="B27" s="32">
        <v>40098</v>
      </c>
      <c r="C27" s="33" t="s">
        <v>20</v>
      </c>
      <c r="D27" s="43" t="s">
        <v>56</v>
      </c>
      <c r="E27" s="32" t="s">
        <v>32</v>
      </c>
      <c r="F27" s="35">
        <v>4</v>
      </c>
      <c r="G27" s="36"/>
      <c r="H27" s="37">
        <f>ROUND(G27*$E$6,2)</f>
        <v>0</v>
      </c>
      <c r="I27" s="37">
        <f>ROUND(H27*F27,2)</f>
        <v>0</v>
      </c>
    </row>
    <row r="28" spans="1:9" x14ac:dyDescent="0.25">
      <c r="A28" s="32" t="s">
        <v>57</v>
      </c>
      <c r="B28" s="32">
        <v>42553</v>
      </c>
      <c r="C28" s="33" t="s">
        <v>20</v>
      </c>
      <c r="D28" s="34" t="s">
        <v>58</v>
      </c>
      <c r="E28" s="32" t="s">
        <v>22</v>
      </c>
      <c r="F28" s="35">
        <f>(13+24)*2</f>
        <v>74</v>
      </c>
      <c r="G28" s="36"/>
      <c r="H28" s="37">
        <f>ROUND(G28*$E$6,2)</f>
        <v>0</v>
      </c>
      <c r="I28" s="37">
        <f>ROUND(H28*F28,2)</f>
        <v>0</v>
      </c>
    </row>
    <row r="29" spans="1:9" x14ac:dyDescent="0.25">
      <c r="A29" s="32" t="s">
        <v>59</v>
      </c>
      <c r="B29" s="32">
        <v>42526</v>
      </c>
      <c r="C29" s="33" t="s">
        <v>20</v>
      </c>
      <c r="D29" s="34" t="s">
        <v>60</v>
      </c>
      <c r="E29" s="32" t="s">
        <v>22</v>
      </c>
      <c r="F29" s="35">
        <v>80</v>
      </c>
      <c r="G29" s="37"/>
      <c r="H29" s="37">
        <f>ROUND(G29*$E$6,2)</f>
        <v>0</v>
      </c>
      <c r="I29" s="37">
        <f>ROUND(H29*F29,2)</f>
        <v>0</v>
      </c>
    </row>
    <row r="30" spans="1:9" x14ac:dyDescent="0.25">
      <c r="A30" s="32" t="s">
        <v>61</v>
      </c>
      <c r="B30" s="32">
        <v>42532</v>
      </c>
      <c r="C30" s="33" t="s">
        <v>20</v>
      </c>
      <c r="D30" s="34" t="s">
        <v>62</v>
      </c>
      <c r="E30" s="32" t="s">
        <v>22</v>
      </c>
      <c r="F30" s="35">
        <v>270</v>
      </c>
      <c r="G30" s="36"/>
      <c r="H30" s="37">
        <f>ROUND(G30*$E$6,2)</f>
        <v>0</v>
      </c>
      <c r="I30" s="37">
        <f>ROUND(H30*F30,2)</f>
        <v>0</v>
      </c>
    </row>
    <row r="31" spans="1:9" x14ac:dyDescent="0.25">
      <c r="A31" s="40" t="s">
        <v>63</v>
      </c>
      <c r="B31" s="40"/>
      <c r="C31" s="40"/>
      <c r="D31" s="40"/>
      <c r="E31" s="40"/>
      <c r="F31" s="40"/>
      <c r="G31" s="40"/>
      <c r="H31" s="41"/>
      <c r="I31" s="41">
        <f>SUM(I26:I30)</f>
        <v>0</v>
      </c>
    </row>
    <row r="33" spans="1:9" x14ac:dyDescent="0.25">
      <c r="A33" s="29" t="s">
        <v>64</v>
      </c>
      <c r="B33" s="30"/>
      <c r="C33" s="30"/>
      <c r="D33" s="42" t="s">
        <v>65</v>
      </c>
      <c r="E33" s="42"/>
      <c r="F33" s="42"/>
      <c r="G33" s="42"/>
      <c r="H33" s="42"/>
      <c r="I33" s="42"/>
    </row>
    <row r="34" spans="1:9" x14ac:dyDescent="0.25">
      <c r="A34" s="32" t="s">
        <v>66</v>
      </c>
      <c r="B34" s="33">
        <v>42850</v>
      </c>
      <c r="C34" s="33" t="s">
        <v>20</v>
      </c>
      <c r="D34" s="44" t="s">
        <v>67</v>
      </c>
      <c r="E34" s="33" t="s">
        <v>68</v>
      </c>
      <c r="F34" s="45">
        <v>830</v>
      </c>
      <c r="G34" s="36"/>
      <c r="H34" s="37">
        <f>ROUND(G34*$E$6,2)</f>
        <v>0</v>
      </c>
      <c r="I34" s="37">
        <f>ROUND(H34*F34,2)</f>
        <v>0</v>
      </c>
    </row>
    <row r="35" spans="1:9" x14ac:dyDescent="0.25">
      <c r="A35" s="32" t="s">
        <v>69</v>
      </c>
      <c r="B35" s="33">
        <v>42588</v>
      </c>
      <c r="C35" s="33" t="s">
        <v>20</v>
      </c>
      <c r="D35" s="44" t="s">
        <v>70</v>
      </c>
      <c r="E35" s="33" t="s">
        <v>68</v>
      </c>
      <c r="F35" s="45">
        <v>830</v>
      </c>
      <c r="G35" s="36"/>
      <c r="H35" s="37">
        <f>ROUND(G35*$E$6,2)</f>
        <v>0</v>
      </c>
      <c r="I35" s="37">
        <f>ROUND(H35*F35,2)</f>
        <v>0</v>
      </c>
    </row>
    <row r="36" spans="1:9" x14ac:dyDescent="0.25">
      <c r="A36" s="32" t="s">
        <v>71</v>
      </c>
      <c r="B36" s="33">
        <v>93382</v>
      </c>
      <c r="C36" s="33" t="s">
        <v>24</v>
      </c>
      <c r="D36" s="44" t="s">
        <v>72</v>
      </c>
      <c r="E36" s="33" t="s">
        <v>68</v>
      </c>
      <c r="F36" s="45">
        <v>50</v>
      </c>
      <c r="G36" s="36"/>
      <c r="H36" s="37">
        <f>ROUND(G36*$E$6,2)</f>
        <v>0</v>
      </c>
      <c r="I36" s="37">
        <f>ROUND(H36*F36,2)</f>
        <v>0</v>
      </c>
    </row>
    <row r="37" spans="1:9" x14ac:dyDescent="0.25">
      <c r="A37" s="32" t="s">
        <v>73</v>
      </c>
      <c r="B37" s="33">
        <v>42584</v>
      </c>
      <c r="C37" s="33" t="s">
        <v>20</v>
      </c>
      <c r="D37" s="44" t="s">
        <v>74</v>
      </c>
      <c r="E37" s="33" t="s">
        <v>68</v>
      </c>
      <c r="F37" s="45">
        <v>436</v>
      </c>
      <c r="G37" s="36"/>
      <c r="H37" s="37">
        <f>ROUND(G37*$E$6,2)</f>
        <v>0</v>
      </c>
      <c r="I37" s="37">
        <f>ROUND(H37*F37,2)</f>
        <v>0</v>
      </c>
    </row>
    <row r="38" spans="1:9" x14ac:dyDescent="0.25">
      <c r="A38" s="40" t="s">
        <v>75</v>
      </c>
      <c r="B38" s="40"/>
      <c r="C38" s="40"/>
      <c r="D38" s="40"/>
      <c r="E38" s="40"/>
      <c r="F38" s="40"/>
      <c r="G38" s="40"/>
      <c r="H38" s="41"/>
      <c r="I38" s="41">
        <f>SUM(I34:I37)</f>
        <v>0</v>
      </c>
    </row>
    <row r="40" spans="1:9" x14ac:dyDescent="0.25">
      <c r="A40" s="29" t="s">
        <v>76</v>
      </c>
      <c r="B40" s="30"/>
      <c r="C40" s="30"/>
      <c r="D40" s="46" t="s">
        <v>77</v>
      </c>
      <c r="E40" s="47"/>
      <c r="F40" s="47"/>
      <c r="G40" s="47"/>
      <c r="H40" s="47"/>
      <c r="I40" s="48"/>
    </row>
    <row r="41" spans="1:9" x14ac:dyDescent="0.25">
      <c r="A41" s="32" t="s">
        <v>78</v>
      </c>
      <c r="B41" s="32">
        <v>95241</v>
      </c>
      <c r="C41" s="32" t="s">
        <v>24</v>
      </c>
      <c r="D41" s="44" t="s">
        <v>79</v>
      </c>
      <c r="E41" s="32" t="s">
        <v>22</v>
      </c>
      <c r="F41" s="45">
        <f>((26*1*0.65)+(52*1*1)+(2*0.6*0.6))</f>
        <v>69.62</v>
      </c>
      <c r="G41" s="36"/>
      <c r="H41" s="37">
        <f t="shared" ref="H41:H45" si="2">ROUND(G41*$E$6,2)</f>
        <v>0</v>
      </c>
      <c r="I41" s="37">
        <f t="shared" ref="I41:I45" si="3">ROUND(H41*F41,2)</f>
        <v>0</v>
      </c>
    </row>
    <row r="42" spans="1:9" x14ac:dyDescent="0.25">
      <c r="A42" s="32" t="s">
        <v>80</v>
      </c>
      <c r="B42" s="32">
        <v>96622</v>
      </c>
      <c r="C42" s="32" t="s">
        <v>24</v>
      </c>
      <c r="D42" s="44" t="s">
        <v>81</v>
      </c>
      <c r="E42" s="32" t="s">
        <v>68</v>
      </c>
      <c r="F42" s="45">
        <f>392.56*0.05</f>
        <v>19.628</v>
      </c>
      <c r="G42" s="36"/>
      <c r="H42" s="37">
        <f t="shared" si="2"/>
        <v>0</v>
      </c>
      <c r="I42" s="37">
        <f t="shared" si="3"/>
        <v>0</v>
      </c>
    </row>
    <row r="43" spans="1:9" ht="28.5" x14ac:dyDescent="0.25">
      <c r="A43" s="32" t="s">
        <v>82</v>
      </c>
      <c r="B43" s="49">
        <v>102476</v>
      </c>
      <c r="C43" s="32" t="s">
        <v>24</v>
      </c>
      <c r="D43" s="44" t="s">
        <v>83</v>
      </c>
      <c r="E43" s="32" t="s">
        <v>68</v>
      </c>
      <c r="F43" s="45">
        <v>30.17</v>
      </c>
      <c r="G43" s="36"/>
      <c r="H43" s="37">
        <f t="shared" si="2"/>
        <v>0</v>
      </c>
      <c r="I43" s="36">
        <f t="shared" si="3"/>
        <v>0</v>
      </c>
    </row>
    <row r="44" spans="1:9" ht="36" x14ac:dyDescent="0.25">
      <c r="A44" s="32" t="s">
        <v>84</v>
      </c>
      <c r="B44" s="32">
        <v>104486</v>
      </c>
      <c r="C44" s="32" t="s">
        <v>24</v>
      </c>
      <c r="D44" s="50" t="s">
        <v>85</v>
      </c>
      <c r="E44" s="32" t="s">
        <v>68</v>
      </c>
      <c r="F44" s="45">
        <v>90.21</v>
      </c>
      <c r="G44" s="36"/>
      <c r="H44" s="37">
        <f t="shared" si="2"/>
        <v>0</v>
      </c>
      <c r="I44" s="37">
        <f t="shared" si="3"/>
        <v>0</v>
      </c>
    </row>
    <row r="45" spans="1:9" x14ac:dyDescent="0.25">
      <c r="A45" s="32" t="s">
        <v>86</v>
      </c>
      <c r="B45" s="49">
        <v>101964</v>
      </c>
      <c r="C45" s="49" t="s">
        <v>24</v>
      </c>
      <c r="D45" s="44" t="s">
        <v>87</v>
      </c>
      <c r="E45" s="32" t="s">
        <v>22</v>
      </c>
      <c r="F45" s="51">
        <v>392.52</v>
      </c>
      <c r="G45" s="36"/>
      <c r="H45" s="37">
        <f t="shared" si="2"/>
        <v>0</v>
      </c>
      <c r="I45" s="37">
        <f t="shared" si="3"/>
        <v>0</v>
      </c>
    </row>
    <row r="46" spans="1:9" x14ac:dyDescent="0.25">
      <c r="A46" s="40" t="s">
        <v>88</v>
      </c>
      <c r="B46" s="40"/>
      <c r="C46" s="40"/>
      <c r="D46" s="40"/>
      <c r="E46" s="40"/>
      <c r="F46" s="40"/>
      <c r="G46" s="40"/>
      <c r="H46" s="52"/>
      <c r="I46" s="52">
        <f>SUM(I41:I45)</f>
        <v>0</v>
      </c>
    </row>
    <row r="47" spans="1:9" x14ac:dyDescent="0.25">
      <c r="A47" s="53"/>
      <c r="B47" s="53"/>
      <c r="C47" s="53"/>
      <c r="D47" s="53"/>
      <c r="E47" s="53"/>
      <c r="F47" s="53"/>
      <c r="G47" s="53"/>
      <c r="H47" s="54"/>
      <c r="I47" s="54"/>
    </row>
    <row r="48" spans="1:9" x14ac:dyDescent="0.25">
      <c r="A48" s="29" t="s">
        <v>89</v>
      </c>
      <c r="B48" s="30"/>
      <c r="C48" s="30"/>
      <c r="D48" s="46" t="s">
        <v>90</v>
      </c>
      <c r="E48" s="47"/>
      <c r="F48" s="47"/>
      <c r="G48" s="47"/>
      <c r="H48" s="47"/>
      <c r="I48" s="48"/>
    </row>
    <row r="49" spans="1:9" ht="42.75" x14ac:dyDescent="0.25">
      <c r="A49" s="32" t="s">
        <v>91</v>
      </c>
      <c r="B49" s="32">
        <v>98557</v>
      </c>
      <c r="C49" s="49" t="s">
        <v>24</v>
      </c>
      <c r="D49" s="44" t="s">
        <v>92</v>
      </c>
      <c r="E49" s="32" t="s">
        <v>22</v>
      </c>
      <c r="F49" s="45">
        <f>(392.56*0.15)+(392.56*0.4*2)+33.8+81.84+(4.05*2)+(4.2*2*2)</f>
        <v>513.47199999999998</v>
      </c>
      <c r="G49" s="36"/>
      <c r="H49" s="37">
        <f>ROUND(G49*$E$6,2)</f>
        <v>0</v>
      </c>
      <c r="I49" s="37">
        <f>ROUND(H49*F49,2)</f>
        <v>0</v>
      </c>
    </row>
    <row r="50" spans="1:9" ht="28.5" x14ac:dyDescent="0.25">
      <c r="A50" s="32" t="s">
        <v>93</v>
      </c>
      <c r="B50" s="32">
        <v>98561</v>
      </c>
      <c r="C50" s="49" t="s">
        <v>24</v>
      </c>
      <c r="D50" s="44" t="s">
        <v>94</v>
      </c>
      <c r="E50" s="32" t="s">
        <v>22</v>
      </c>
      <c r="F50" s="45">
        <f>110.2</f>
        <v>110.2</v>
      </c>
      <c r="G50" s="36"/>
      <c r="H50" s="37">
        <f>ROUND(G50*$E$6,2)</f>
        <v>0</v>
      </c>
      <c r="I50" s="37">
        <f>ROUND(H50*F50,2)</f>
        <v>0</v>
      </c>
    </row>
    <row r="51" spans="1:9" x14ac:dyDescent="0.25">
      <c r="A51" s="40" t="s">
        <v>95</v>
      </c>
      <c r="B51" s="40"/>
      <c r="C51" s="40"/>
      <c r="D51" s="40"/>
      <c r="E51" s="40"/>
      <c r="F51" s="40"/>
      <c r="G51" s="40"/>
      <c r="H51" s="52"/>
      <c r="I51" s="52">
        <f>SUM(I49:I50)</f>
        <v>0</v>
      </c>
    </row>
    <row r="52" spans="1:9" x14ac:dyDescent="0.25">
      <c r="A52" s="53"/>
      <c r="B52" s="53"/>
      <c r="C52" s="53"/>
      <c r="D52" s="53"/>
      <c r="E52" s="53"/>
      <c r="F52" s="53"/>
      <c r="G52" s="53"/>
      <c r="H52" s="54"/>
      <c r="I52" s="54"/>
    </row>
    <row r="53" spans="1:9" x14ac:dyDescent="0.25">
      <c r="A53" s="55" t="s">
        <v>96</v>
      </c>
      <c r="B53" s="56"/>
      <c r="C53" s="57"/>
      <c r="D53" s="46" t="s">
        <v>97</v>
      </c>
      <c r="E53" s="47"/>
      <c r="F53" s="47"/>
      <c r="G53" s="47"/>
      <c r="H53" s="47"/>
      <c r="I53" s="48"/>
    </row>
    <row r="54" spans="1:9" ht="28.5" x14ac:dyDescent="0.25">
      <c r="A54" s="58" t="s">
        <v>98</v>
      </c>
      <c r="B54" s="49">
        <v>103324</v>
      </c>
      <c r="C54" s="49" t="s">
        <v>24</v>
      </c>
      <c r="D54" s="59" t="s">
        <v>99</v>
      </c>
      <c r="E54" s="32" t="s">
        <v>22</v>
      </c>
      <c r="F54" s="60">
        <f>684.57+75</f>
        <v>759.57</v>
      </c>
      <c r="G54" s="36"/>
      <c r="H54" s="37">
        <f t="shared" ref="H54:H62" si="4">ROUND(G54*$E$6,2)</f>
        <v>0</v>
      </c>
      <c r="I54" s="37">
        <f t="shared" ref="I54:I62" si="5">ROUND(H54*F54,2)</f>
        <v>0</v>
      </c>
    </row>
    <row r="55" spans="1:9" ht="28.5" x14ac:dyDescent="0.25">
      <c r="A55" s="58" t="s">
        <v>100</v>
      </c>
      <c r="B55" s="49">
        <v>103318</v>
      </c>
      <c r="C55" s="49" t="s">
        <v>24</v>
      </c>
      <c r="D55" s="59" t="s">
        <v>101</v>
      </c>
      <c r="E55" s="32" t="s">
        <v>22</v>
      </c>
      <c r="F55" s="60">
        <f>91.45*2.2</f>
        <v>201.19000000000003</v>
      </c>
      <c r="G55" s="36"/>
      <c r="H55" s="37">
        <f>ROUND(G55*$E$6,2)</f>
        <v>0</v>
      </c>
      <c r="I55" s="37">
        <f>ROUND(H55*F55,2)</f>
        <v>0</v>
      </c>
    </row>
    <row r="56" spans="1:9" x14ac:dyDescent="0.25">
      <c r="A56" s="58" t="s">
        <v>102</v>
      </c>
      <c r="B56" s="49">
        <v>101162</v>
      </c>
      <c r="C56" s="49" t="s">
        <v>24</v>
      </c>
      <c r="D56" s="59" t="s">
        <v>103</v>
      </c>
      <c r="E56" s="32" t="s">
        <v>22</v>
      </c>
      <c r="F56" s="60">
        <v>1.28</v>
      </c>
      <c r="G56" s="36"/>
      <c r="H56" s="37">
        <f t="shared" si="4"/>
        <v>0</v>
      </c>
      <c r="I56" s="37">
        <f t="shared" si="5"/>
        <v>0</v>
      </c>
    </row>
    <row r="57" spans="1:9" ht="28.5" x14ac:dyDescent="0.25">
      <c r="A57" s="58" t="s">
        <v>104</v>
      </c>
      <c r="B57" s="32">
        <v>87879</v>
      </c>
      <c r="C57" s="49" t="s">
        <v>24</v>
      </c>
      <c r="D57" s="59" t="s">
        <v>105</v>
      </c>
      <c r="E57" s="32" t="s">
        <v>22</v>
      </c>
      <c r="F57" s="45">
        <f>1872.27+(F55*2)</f>
        <v>2274.65</v>
      </c>
      <c r="G57" s="36"/>
      <c r="H57" s="37">
        <f t="shared" si="4"/>
        <v>0</v>
      </c>
      <c r="I57" s="37">
        <f t="shared" si="5"/>
        <v>0</v>
      </c>
    </row>
    <row r="58" spans="1:9" x14ac:dyDescent="0.25">
      <c r="A58" s="58" t="s">
        <v>106</v>
      </c>
      <c r="B58" s="32">
        <v>87531</v>
      </c>
      <c r="C58" s="49" t="s">
        <v>24</v>
      </c>
      <c r="D58" s="59" t="s">
        <v>107</v>
      </c>
      <c r="E58" s="32" t="s">
        <v>22</v>
      </c>
      <c r="F58" s="45">
        <v>1828.68</v>
      </c>
      <c r="G58" s="36"/>
      <c r="H58" s="37">
        <f t="shared" si="4"/>
        <v>0</v>
      </c>
      <c r="I58" s="37">
        <f t="shared" si="5"/>
        <v>0</v>
      </c>
    </row>
    <row r="59" spans="1:9" x14ac:dyDescent="0.25">
      <c r="A59" s="58" t="s">
        <v>108</v>
      </c>
      <c r="B59" s="32">
        <v>42765</v>
      </c>
      <c r="C59" s="32" t="s">
        <v>20</v>
      </c>
      <c r="D59" s="59" t="s">
        <v>109</v>
      </c>
      <c r="E59" s="32" t="s">
        <v>22</v>
      </c>
      <c r="F59" s="45">
        <v>1828.68</v>
      </c>
      <c r="G59" s="36"/>
      <c r="H59" s="37">
        <f t="shared" si="4"/>
        <v>0</v>
      </c>
      <c r="I59" s="37">
        <f t="shared" si="5"/>
        <v>0</v>
      </c>
    </row>
    <row r="60" spans="1:9" ht="28.5" x14ac:dyDescent="0.25">
      <c r="A60" s="58" t="s">
        <v>110</v>
      </c>
      <c r="B60" s="32">
        <v>87273</v>
      </c>
      <c r="C60" s="49" t="s">
        <v>24</v>
      </c>
      <c r="D60" s="59" t="s">
        <v>111</v>
      </c>
      <c r="E60" s="49" t="s">
        <v>22</v>
      </c>
      <c r="F60" s="45">
        <f>216.9+229.07-193.38</f>
        <v>252.59000000000003</v>
      </c>
      <c r="G60" s="36"/>
      <c r="H60" s="37">
        <f t="shared" si="4"/>
        <v>0</v>
      </c>
      <c r="I60" s="37">
        <f t="shared" si="5"/>
        <v>0</v>
      </c>
    </row>
    <row r="61" spans="1:9" x14ac:dyDescent="0.25">
      <c r="A61" s="58" t="s">
        <v>112</v>
      </c>
      <c r="B61" s="32">
        <v>88649</v>
      </c>
      <c r="C61" s="49" t="s">
        <v>24</v>
      </c>
      <c r="D61" s="44" t="s">
        <v>113</v>
      </c>
      <c r="E61" s="32" t="s">
        <v>47</v>
      </c>
      <c r="F61" s="45">
        <v>104</v>
      </c>
      <c r="G61" s="36"/>
      <c r="H61" s="37">
        <f t="shared" si="4"/>
        <v>0</v>
      </c>
      <c r="I61" s="37">
        <f t="shared" si="5"/>
        <v>0</v>
      </c>
    </row>
    <row r="62" spans="1:9" x14ac:dyDescent="0.25">
      <c r="A62" s="58" t="s">
        <v>114</v>
      </c>
      <c r="B62" s="32">
        <v>96132</v>
      </c>
      <c r="C62" s="49" t="s">
        <v>24</v>
      </c>
      <c r="D62" s="59" t="s">
        <v>115</v>
      </c>
      <c r="E62" s="49" t="s">
        <v>22</v>
      </c>
      <c r="F62" s="45">
        <f>F59</f>
        <v>1828.68</v>
      </c>
      <c r="G62" s="36"/>
      <c r="H62" s="37">
        <f t="shared" si="4"/>
        <v>0</v>
      </c>
      <c r="I62" s="37">
        <f t="shared" si="5"/>
        <v>0</v>
      </c>
    </row>
    <row r="63" spans="1:9" x14ac:dyDescent="0.25">
      <c r="A63" s="40" t="s">
        <v>116</v>
      </c>
      <c r="B63" s="40"/>
      <c r="C63" s="40"/>
      <c r="D63" s="40"/>
      <c r="E63" s="40"/>
      <c r="F63" s="40"/>
      <c r="G63" s="40"/>
      <c r="H63" s="41"/>
      <c r="I63" s="41">
        <f>SUM(I54:I62)</f>
        <v>0</v>
      </c>
    </row>
    <row r="64" spans="1:9" x14ac:dyDescent="0.25">
      <c r="A64" s="61"/>
      <c r="B64" s="62"/>
      <c r="C64" s="62"/>
      <c r="D64" s="63"/>
      <c r="E64" s="62"/>
      <c r="F64" s="64"/>
      <c r="G64" s="65"/>
      <c r="H64" s="66"/>
      <c r="I64" s="66"/>
    </row>
    <row r="65" spans="1:9" x14ac:dyDescent="0.25">
      <c r="A65" s="55" t="s">
        <v>117</v>
      </c>
      <c r="B65" s="56"/>
      <c r="C65" s="57"/>
      <c r="D65" s="46" t="s">
        <v>118</v>
      </c>
      <c r="E65" s="47"/>
      <c r="F65" s="47"/>
      <c r="G65" s="47"/>
      <c r="H65" s="47"/>
      <c r="I65" s="48"/>
    </row>
    <row r="66" spans="1:9" x14ac:dyDescent="0.25">
      <c r="A66" s="58" t="s">
        <v>119</v>
      </c>
      <c r="B66" s="32">
        <v>96622</v>
      </c>
      <c r="C66" s="32" t="s">
        <v>24</v>
      </c>
      <c r="D66" s="44" t="s">
        <v>120</v>
      </c>
      <c r="E66" s="32" t="s">
        <v>68</v>
      </c>
      <c r="F66" s="45">
        <f>(384.4+195.48)*0.05</f>
        <v>28.994</v>
      </c>
      <c r="G66" s="36"/>
      <c r="H66" s="37">
        <f t="shared" ref="H66:H74" si="6">ROUND(G66*$E$6,2)</f>
        <v>0</v>
      </c>
      <c r="I66" s="37">
        <f t="shared" ref="I66:I74" si="7">ROUND(H66*F66,2)</f>
        <v>0</v>
      </c>
    </row>
    <row r="67" spans="1:9" ht="28.5" x14ac:dyDescent="0.25">
      <c r="A67" s="58" t="s">
        <v>121</v>
      </c>
      <c r="B67" s="32">
        <v>43941</v>
      </c>
      <c r="C67" s="32" t="s">
        <v>20</v>
      </c>
      <c r="D67" s="44" t="s">
        <v>122</v>
      </c>
      <c r="E67" s="32" t="s">
        <v>68</v>
      </c>
      <c r="F67" s="60">
        <f>384.4*0.1</f>
        <v>38.44</v>
      </c>
      <c r="G67" s="36"/>
      <c r="H67" s="37">
        <f t="shared" si="6"/>
        <v>0</v>
      </c>
      <c r="I67" s="37">
        <f t="shared" si="7"/>
        <v>0</v>
      </c>
    </row>
    <row r="68" spans="1:9" ht="28.5" x14ac:dyDescent="0.25">
      <c r="A68" s="58" t="s">
        <v>123</v>
      </c>
      <c r="B68" s="32">
        <v>87256</v>
      </c>
      <c r="C68" s="49" t="s">
        <v>24</v>
      </c>
      <c r="D68" s="59" t="s">
        <v>124</v>
      </c>
      <c r="E68" s="49" t="s">
        <v>22</v>
      </c>
      <c r="F68" s="45">
        <f>384.4+193.38</f>
        <v>577.78</v>
      </c>
      <c r="G68" s="36"/>
      <c r="H68" s="37">
        <f t="shared" si="6"/>
        <v>0</v>
      </c>
      <c r="I68" s="37">
        <f t="shared" si="7"/>
        <v>0</v>
      </c>
    </row>
    <row r="69" spans="1:9" x14ac:dyDescent="0.25">
      <c r="A69" s="58" t="s">
        <v>125</v>
      </c>
      <c r="B69" s="32">
        <v>98689</v>
      </c>
      <c r="C69" s="49" t="s">
        <v>24</v>
      </c>
      <c r="D69" s="44" t="s">
        <v>126</v>
      </c>
      <c r="E69" s="32" t="s">
        <v>47</v>
      </c>
      <c r="F69" s="45">
        <v>35.6</v>
      </c>
      <c r="G69" s="36"/>
      <c r="H69" s="37">
        <f>ROUND(G69*$E$6,2)</f>
        <v>0</v>
      </c>
      <c r="I69" s="37">
        <f>ROUND(H69*F69,2)</f>
        <v>0</v>
      </c>
    </row>
    <row r="70" spans="1:9" x14ac:dyDescent="0.25">
      <c r="A70" s="58" t="s">
        <v>127</v>
      </c>
      <c r="B70" s="32" t="s">
        <v>128</v>
      </c>
      <c r="C70" s="49" t="s">
        <v>129</v>
      </c>
      <c r="D70" s="44" t="s">
        <v>130</v>
      </c>
      <c r="E70" s="32" t="s">
        <v>22</v>
      </c>
      <c r="F70" s="60">
        <v>177.55</v>
      </c>
      <c r="G70" s="36"/>
      <c r="H70" s="37">
        <f t="shared" si="6"/>
        <v>0</v>
      </c>
      <c r="I70" s="37">
        <f t="shared" si="7"/>
        <v>0</v>
      </c>
    </row>
    <row r="71" spans="1:9" x14ac:dyDescent="0.25">
      <c r="A71" s="58" t="s">
        <v>131</v>
      </c>
      <c r="B71" s="49">
        <v>40059</v>
      </c>
      <c r="C71" s="49" t="s">
        <v>20</v>
      </c>
      <c r="D71" s="44" t="s">
        <v>132</v>
      </c>
      <c r="E71" s="32" t="s">
        <v>47</v>
      </c>
      <c r="F71" s="60">
        <f>(2.5+2.5+1.85)</f>
        <v>6.85</v>
      </c>
      <c r="G71" s="36"/>
      <c r="H71" s="37">
        <f t="shared" si="6"/>
        <v>0</v>
      </c>
      <c r="I71" s="37">
        <f t="shared" si="7"/>
        <v>0</v>
      </c>
    </row>
    <row r="72" spans="1:9" ht="28.5" x14ac:dyDescent="0.25">
      <c r="A72" s="58" t="s">
        <v>133</v>
      </c>
      <c r="B72" s="32">
        <v>40062</v>
      </c>
      <c r="C72" s="32" t="s">
        <v>20</v>
      </c>
      <c r="D72" s="44" t="s">
        <v>134</v>
      </c>
      <c r="E72" s="32" t="s">
        <v>22</v>
      </c>
      <c r="F72" s="45">
        <f>(2.36+2.5+2.5+2.5+17+25.5)*0.2</f>
        <v>10.472000000000001</v>
      </c>
      <c r="G72" s="36"/>
      <c r="H72" s="37">
        <f t="shared" si="6"/>
        <v>0</v>
      </c>
      <c r="I72" s="37">
        <f t="shared" si="7"/>
        <v>0</v>
      </c>
    </row>
    <row r="73" spans="1:9" x14ac:dyDescent="0.25">
      <c r="A73" s="58" t="s">
        <v>135</v>
      </c>
      <c r="B73" s="32">
        <v>94265</v>
      </c>
      <c r="C73" s="32" t="s">
        <v>24</v>
      </c>
      <c r="D73" s="44" t="s">
        <v>136</v>
      </c>
      <c r="E73" s="32" t="s">
        <v>47</v>
      </c>
      <c r="F73" s="60">
        <f>25.5</f>
        <v>25.5</v>
      </c>
      <c r="G73" s="36"/>
      <c r="H73" s="37">
        <f t="shared" si="6"/>
        <v>0</v>
      </c>
      <c r="I73" s="37">
        <f t="shared" si="7"/>
        <v>0</v>
      </c>
    </row>
    <row r="74" spans="1:9" ht="28.5" x14ac:dyDescent="0.25">
      <c r="A74" s="58" t="s">
        <v>137</v>
      </c>
      <c r="B74" s="32">
        <v>92394</v>
      </c>
      <c r="C74" s="32" t="s">
        <v>24</v>
      </c>
      <c r="D74" s="44" t="s">
        <v>138</v>
      </c>
      <c r="E74" s="32" t="s">
        <v>22</v>
      </c>
      <c r="F74" s="45">
        <f>78.35+40+25+(10.87*1.0833)+(4.63)+(8.65*1.0833)+6.52+(7.23*1.0833)+12</f>
        <v>195.478275</v>
      </c>
      <c r="G74" s="36"/>
      <c r="H74" s="37">
        <f t="shared" si="6"/>
        <v>0</v>
      </c>
      <c r="I74" s="37">
        <f t="shared" si="7"/>
        <v>0</v>
      </c>
    </row>
    <row r="75" spans="1:9" x14ac:dyDescent="0.25">
      <c r="A75" s="40" t="s">
        <v>139</v>
      </c>
      <c r="B75" s="40"/>
      <c r="C75" s="40"/>
      <c r="D75" s="40"/>
      <c r="E75" s="40"/>
      <c r="F75" s="40"/>
      <c r="G75" s="40"/>
      <c r="H75" s="41"/>
      <c r="I75" s="41">
        <f>SUM(I66:I74)</f>
        <v>0</v>
      </c>
    </row>
    <row r="76" spans="1:9" x14ac:dyDescent="0.25">
      <c r="A76" s="53"/>
      <c r="B76" s="53"/>
      <c r="C76" s="53"/>
      <c r="D76" s="53"/>
      <c r="E76" s="53"/>
      <c r="F76" s="53"/>
      <c r="G76" s="53"/>
      <c r="H76" s="54"/>
      <c r="I76" s="54"/>
    </row>
    <row r="77" spans="1:9" x14ac:dyDescent="0.25">
      <c r="A77" s="55" t="s">
        <v>140</v>
      </c>
      <c r="B77" s="56"/>
      <c r="C77" s="57"/>
      <c r="D77" s="31" t="s">
        <v>141</v>
      </c>
      <c r="E77" s="31"/>
      <c r="F77" s="31"/>
      <c r="G77" s="31"/>
      <c r="H77" s="31"/>
      <c r="I77" s="31"/>
    </row>
    <row r="78" spans="1:9" ht="28.5" x14ac:dyDescent="0.25">
      <c r="A78" s="58" t="s">
        <v>142</v>
      </c>
      <c r="B78" s="49">
        <v>92541</v>
      </c>
      <c r="C78" s="32" t="s">
        <v>24</v>
      </c>
      <c r="D78" s="59" t="s">
        <v>143</v>
      </c>
      <c r="E78" s="32" t="s">
        <v>22</v>
      </c>
      <c r="F78" s="60">
        <f>(330.95*1.15)+(166.27*1.25)</f>
        <v>588.42999999999995</v>
      </c>
      <c r="G78" s="36"/>
      <c r="H78" s="37">
        <f t="shared" ref="H78:H83" si="8">ROUND(G78*$E$6,2)</f>
        <v>0</v>
      </c>
      <c r="I78" s="37">
        <f t="shared" ref="I78:I83" si="9">ROUND(H78*F78,2)</f>
        <v>0</v>
      </c>
    </row>
    <row r="79" spans="1:9" x14ac:dyDescent="0.25">
      <c r="A79" s="58" t="s">
        <v>144</v>
      </c>
      <c r="B79" s="32">
        <v>42729</v>
      </c>
      <c r="C79" s="32" t="s">
        <v>20</v>
      </c>
      <c r="D79" s="44" t="s">
        <v>145</v>
      </c>
      <c r="E79" s="32" t="s">
        <v>22</v>
      </c>
      <c r="F79" s="60">
        <f>F78</f>
        <v>588.42999999999995</v>
      </c>
      <c r="G79" s="36"/>
      <c r="H79" s="37">
        <f t="shared" si="8"/>
        <v>0</v>
      </c>
      <c r="I79" s="37">
        <f t="shared" si="9"/>
        <v>0</v>
      </c>
    </row>
    <row r="80" spans="1:9" x14ac:dyDescent="0.25">
      <c r="A80" s="58" t="s">
        <v>146</v>
      </c>
      <c r="B80" s="32">
        <v>94223</v>
      </c>
      <c r="C80" s="32" t="s">
        <v>24</v>
      </c>
      <c r="D80" s="44" t="s">
        <v>147</v>
      </c>
      <c r="E80" s="32" t="s">
        <v>47</v>
      </c>
      <c r="F80" s="60">
        <f>4.85*2</f>
        <v>9.6999999999999993</v>
      </c>
      <c r="G80" s="36"/>
      <c r="H80" s="37">
        <f t="shared" si="8"/>
        <v>0</v>
      </c>
      <c r="I80" s="37">
        <f t="shared" si="9"/>
        <v>0</v>
      </c>
    </row>
    <row r="81" spans="1:9" x14ac:dyDescent="0.25">
      <c r="A81" s="58" t="s">
        <v>148</v>
      </c>
      <c r="B81" s="32">
        <v>100327</v>
      </c>
      <c r="C81" s="49" t="s">
        <v>24</v>
      </c>
      <c r="D81" s="44" t="s">
        <v>149</v>
      </c>
      <c r="E81" s="32" t="s">
        <v>47</v>
      </c>
      <c r="F81" s="60">
        <f>21.55+21.75+5.35+5.35+13.05+3.23+2.08+5.45</f>
        <v>77.81</v>
      </c>
      <c r="G81" s="36"/>
      <c r="H81" s="37">
        <f>ROUND(G81*$E$6,2)</f>
        <v>0</v>
      </c>
      <c r="I81" s="37">
        <f>ROUND(H81*F81,2)</f>
        <v>0</v>
      </c>
    </row>
    <row r="82" spans="1:9" x14ac:dyDescent="0.25">
      <c r="A82" s="58" t="s">
        <v>150</v>
      </c>
      <c r="B82" s="32">
        <v>96111</v>
      </c>
      <c r="C82" s="32" t="s">
        <v>24</v>
      </c>
      <c r="D82" s="59" t="s">
        <v>151</v>
      </c>
      <c r="E82" s="32" t="s">
        <v>22</v>
      </c>
      <c r="F82" s="60">
        <v>73</v>
      </c>
      <c r="G82" s="36"/>
      <c r="H82" s="37">
        <f t="shared" si="8"/>
        <v>0</v>
      </c>
      <c r="I82" s="37">
        <f t="shared" si="9"/>
        <v>0</v>
      </c>
    </row>
    <row r="83" spans="1:9" ht="24" x14ac:dyDescent="0.25">
      <c r="A83" s="58" t="s">
        <v>152</v>
      </c>
      <c r="B83" s="32">
        <v>96121</v>
      </c>
      <c r="C83" s="32" t="s">
        <v>24</v>
      </c>
      <c r="D83" s="67" t="s">
        <v>153</v>
      </c>
      <c r="E83" s="32" t="s">
        <v>47</v>
      </c>
      <c r="F83" s="45">
        <v>110</v>
      </c>
      <c r="G83" s="36"/>
      <c r="H83" s="37">
        <f t="shared" si="8"/>
        <v>0</v>
      </c>
      <c r="I83" s="37">
        <f t="shared" si="9"/>
        <v>0</v>
      </c>
    </row>
    <row r="84" spans="1:9" x14ac:dyDescent="0.25">
      <c r="A84" s="58" t="s">
        <v>154</v>
      </c>
      <c r="B84" s="32">
        <v>42751</v>
      </c>
      <c r="C84" s="32" t="s">
        <v>20</v>
      </c>
      <c r="D84" s="59" t="s">
        <v>155</v>
      </c>
      <c r="E84" s="32" t="s">
        <v>47</v>
      </c>
      <c r="F84" s="45">
        <f>114.4-(12.75+5.45+1.45+5.23+5.23+5.35+5.35+21.75)</f>
        <v>51.84</v>
      </c>
      <c r="G84" s="36"/>
      <c r="H84" s="37">
        <f>ROUND(G84*$E$6,2)</f>
        <v>0</v>
      </c>
      <c r="I84" s="37">
        <f>ROUND(H84*F84,2)</f>
        <v>0</v>
      </c>
    </row>
    <row r="85" spans="1:9" ht="28.5" x14ac:dyDescent="0.25">
      <c r="A85" s="58" t="s">
        <v>156</v>
      </c>
      <c r="B85" s="32" t="s">
        <v>157</v>
      </c>
      <c r="C85" s="32" t="s">
        <v>158</v>
      </c>
      <c r="D85" s="44" t="s">
        <v>159</v>
      </c>
      <c r="E85" s="32" t="s">
        <v>22</v>
      </c>
      <c r="F85" s="60">
        <v>36.450000000000003</v>
      </c>
      <c r="G85" s="36"/>
      <c r="H85" s="37">
        <f>ROUND(G85*$E$6,2)</f>
        <v>0</v>
      </c>
      <c r="I85" s="37">
        <f>ROUND(H85*F85,2)</f>
        <v>0</v>
      </c>
    </row>
    <row r="86" spans="1:9" x14ac:dyDescent="0.25">
      <c r="A86" s="68" t="s">
        <v>160</v>
      </c>
      <c r="B86" s="69"/>
      <c r="C86" s="69"/>
      <c r="D86" s="69"/>
      <c r="E86" s="69"/>
      <c r="F86" s="69"/>
      <c r="G86" s="70"/>
      <c r="H86" s="41"/>
      <c r="I86" s="41">
        <f>SUM(I78:I85)</f>
        <v>0</v>
      </c>
    </row>
    <row r="88" spans="1:9" x14ac:dyDescent="0.25">
      <c r="A88" s="55" t="s">
        <v>161</v>
      </c>
      <c r="B88" s="56"/>
      <c r="C88" s="57"/>
      <c r="D88" s="31" t="s">
        <v>162</v>
      </c>
      <c r="E88" s="31"/>
      <c r="F88" s="31"/>
      <c r="G88" s="31"/>
      <c r="H88" s="31"/>
      <c r="I88" s="31"/>
    </row>
    <row r="89" spans="1:9" x14ac:dyDescent="0.25">
      <c r="A89" s="58" t="s">
        <v>163</v>
      </c>
      <c r="B89" s="32">
        <v>90798</v>
      </c>
      <c r="C89" s="49" t="s">
        <v>24</v>
      </c>
      <c r="D89" s="44" t="s">
        <v>164</v>
      </c>
      <c r="E89" s="32" t="s">
        <v>32</v>
      </c>
      <c r="F89" s="60">
        <v>20</v>
      </c>
      <c r="G89" s="36"/>
      <c r="H89" s="37">
        <f t="shared" ref="H89:H109" si="10">ROUND(G89*$E$6,2)</f>
        <v>0</v>
      </c>
      <c r="I89" s="37">
        <f t="shared" ref="I89:I109" si="11">ROUND(H89*F89,2)</f>
        <v>0</v>
      </c>
    </row>
    <row r="90" spans="1:9" x14ac:dyDescent="0.25">
      <c r="A90" s="58" t="s">
        <v>165</v>
      </c>
      <c r="B90" s="32">
        <v>90799</v>
      </c>
      <c r="C90" s="49" t="s">
        <v>24</v>
      </c>
      <c r="D90" s="44" t="s">
        <v>166</v>
      </c>
      <c r="E90" s="32" t="s">
        <v>32</v>
      </c>
      <c r="F90" s="60">
        <v>1</v>
      </c>
      <c r="G90" s="36"/>
      <c r="H90" s="37">
        <f t="shared" si="10"/>
        <v>0</v>
      </c>
      <c r="I90" s="37">
        <f t="shared" si="11"/>
        <v>0</v>
      </c>
    </row>
    <row r="91" spans="1:9" x14ac:dyDescent="0.25">
      <c r="A91" s="58" t="s">
        <v>167</v>
      </c>
      <c r="B91" s="32">
        <v>100702</v>
      </c>
      <c r="C91" s="49" t="s">
        <v>24</v>
      </c>
      <c r="D91" s="44" t="s">
        <v>168</v>
      </c>
      <c r="E91" s="32" t="s">
        <v>22</v>
      </c>
      <c r="F91" s="60">
        <f>((1.5*2.1)*2)+((2*2.1)*6)</f>
        <v>31.500000000000004</v>
      </c>
      <c r="G91" s="36"/>
      <c r="H91" s="37">
        <f t="shared" si="10"/>
        <v>0</v>
      </c>
      <c r="I91" s="37">
        <f t="shared" si="11"/>
        <v>0</v>
      </c>
    </row>
    <row r="92" spans="1:9" x14ac:dyDescent="0.25">
      <c r="A92" s="58" t="s">
        <v>169</v>
      </c>
      <c r="B92" s="32">
        <v>42699</v>
      </c>
      <c r="C92" s="49" t="s">
        <v>20</v>
      </c>
      <c r="D92" s="44" t="s">
        <v>170</v>
      </c>
      <c r="E92" s="32" t="s">
        <v>22</v>
      </c>
      <c r="F92" s="60">
        <f>(1.85*2.1)</f>
        <v>3.8850000000000002</v>
      </c>
      <c r="G92" s="36"/>
      <c r="H92" s="37">
        <f t="shared" si="10"/>
        <v>0</v>
      </c>
      <c r="I92" s="37">
        <f t="shared" si="11"/>
        <v>0</v>
      </c>
    </row>
    <row r="93" spans="1:9" x14ac:dyDescent="0.25">
      <c r="A93" s="58" t="s">
        <v>171</v>
      </c>
      <c r="B93" s="32">
        <v>94569</v>
      </c>
      <c r="C93" s="49" t="s">
        <v>24</v>
      </c>
      <c r="D93" s="44" t="s">
        <v>172</v>
      </c>
      <c r="E93" s="32" t="s">
        <v>22</v>
      </c>
      <c r="F93" s="60">
        <f>(0.6*0.6)*9</f>
        <v>3.2399999999999998</v>
      </c>
      <c r="G93" s="36"/>
      <c r="H93" s="37">
        <f t="shared" si="10"/>
        <v>0</v>
      </c>
      <c r="I93" s="37">
        <f t="shared" si="11"/>
        <v>0</v>
      </c>
    </row>
    <row r="94" spans="1:9" ht="28.5" x14ac:dyDescent="0.25">
      <c r="A94" s="58" t="s">
        <v>173</v>
      </c>
      <c r="B94" s="32">
        <v>94570</v>
      </c>
      <c r="C94" s="49" t="s">
        <v>24</v>
      </c>
      <c r="D94" s="44" t="s">
        <v>174</v>
      </c>
      <c r="E94" s="32" t="s">
        <v>22</v>
      </c>
      <c r="F94" s="60">
        <f>(1.5*1.1)*6</f>
        <v>9.9</v>
      </c>
      <c r="G94" s="36"/>
      <c r="H94" s="37">
        <f t="shared" si="10"/>
        <v>0</v>
      </c>
      <c r="I94" s="37">
        <f t="shared" si="11"/>
        <v>0</v>
      </c>
    </row>
    <row r="95" spans="1:9" ht="28.5" x14ac:dyDescent="0.25">
      <c r="A95" s="58" t="s">
        <v>175</v>
      </c>
      <c r="B95" s="32">
        <v>94573</v>
      </c>
      <c r="C95" s="49" t="s">
        <v>24</v>
      </c>
      <c r="D95" s="44" t="s">
        <v>176</v>
      </c>
      <c r="E95" s="32" t="s">
        <v>22</v>
      </c>
      <c r="F95" s="60">
        <f>2*1*4</f>
        <v>8</v>
      </c>
      <c r="G95" s="36"/>
      <c r="H95" s="37">
        <f t="shared" si="10"/>
        <v>0</v>
      </c>
      <c r="I95" s="37">
        <f t="shared" si="11"/>
        <v>0</v>
      </c>
    </row>
    <row r="96" spans="1:9" x14ac:dyDescent="0.25">
      <c r="A96" s="58" t="s">
        <v>177</v>
      </c>
      <c r="B96" s="32">
        <v>42892</v>
      </c>
      <c r="C96" s="49" t="s">
        <v>20</v>
      </c>
      <c r="D96" s="44" t="s">
        <v>178</v>
      </c>
      <c r="E96" s="32" t="s">
        <v>22</v>
      </c>
      <c r="F96" s="45">
        <f>(2*1)*3+(0.6*0.6)+(1.5*1.1)</f>
        <v>8.01</v>
      </c>
      <c r="G96" s="36"/>
      <c r="H96" s="37">
        <f t="shared" si="10"/>
        <v>0</v>
      </c>
      <c r="I96" s="37">
        <f t="shared" si="11"/>
        <v>0</v>
      </c>
    </row>
    <row r="97" spans="1:9" ht="28.5" x14ac:dyDescent="0.25">
      <c r="A97" s="58" t="s">
        <v>179</v>
      </c>
      <c r="B97" s="32">
        <v>42701</v>
      </c>
      <c r="C97" s="49" t="s">
        <v>20</v>
      </c>
      <c r="D97" s="59" t="s">
        <v>180</v>
      </c>
      <c r="E97" s="32" t="s">
        <v>22</v>
      </c>
      <c r="F97" s="45">
        <f>6.3+25.2</f>
        <v>31.5</v>
      </c>
      <c r="G97" s="36"/>
      <c r="H97" s="37">
        <f t="shared" si="10"/>
        <v>0</v>
      </c>
      <c r="I97" s="37">
        <f t="shared" si="11"/>
        <v>0</v>
      </c>
    </row>
    <row r="98" spans="1:9" x14ac:dyDescent="0.25">
      <c r="A98" s="58" t="s">
        <v>181</v>
      </c>
      <c r="B98" s="49">
        <v>43681</v>
      </c>
      <c r="C98" s="49" t="s">
        <v>20</v>
      </c>
      <c r="D98" s="59" t="s">
        <v>182</v>
      </c>
      <c r="E98" s="49" t="s">
        <v>22</v>
      </c>
      <c r="F98" s="45">
        <f>1.85*2.1</f>
        <v>3.8850000000000002</v>
      </c>
      <c r="G98" s="36"/>
      <c r="H98" s="37">
        <f t="shared" si="10"/>
        <v>0</v>
      </c>
      <c r="I98" s="37">
        <f t="shared" si="11"/>
        <v>0</v>
      </c>
    </row>
    <row r="99" spans="1:9" x14ac:dyDescent="0.25">
      <c r="A99" s="58" t="s">
        <v>183</v>
      </c>
      <c r="B99" s="32">
        <v>100874</v>
      </c>
      <c r="C99" s="49" t="s">
        <v>24</v>
      </c>
      <c r="D99" s="44" t="s">
        <v>184</v>
      </c>
      <c r="E99" s="32" t="s">
        <v>32</v>
      </c>
      <c r="F99" s="60">
        <v>2</v>
      </c>
      <c r="G99" s="36"/>
      <c r="H99" s="37">
        <f t="shared" si="10"/>
        <v>0</v>
      </c>
      <c r="I99" s="37">
        <f t="shared" si="11"/>
        <v>0</v>
      </c>
    </row>
    <row r="100" spans="1:9" x14ac:dyDescent="0.25">
      <c r="A100" s="58" t="s">
        <v>185</v>
      </c>
      <c r="B100" s="32">
        <v>42699</v>
      </c>
      <c r="C100" s="49" t="s">
        <v>20</v>
      </c>
      <c r="D100" s="59" t="s">
        <v>186</v>
      </c>
      <c r="E100" s="32" t="s">
        <v>22</v>
      </c>
      <c r="F100" s="45">
        <f>(0.65*0.6)*2+(1.4*0.6)</f>
        <v>1.62</v>
      </c>
      <c r="G100" s="36"/>
      <c r="H100" s="37">
        <f t="shared" si="10"/>
        <v>0</v>
      </c>
      <c r="I100" s="37">
        <f t="shared" si="11"/>
        <v>0</v>
      </c>
    </row>
    <row r="101" spans="1:9" x14ac:dyDescent="0.25">
      <c r="A101" s="58" t="s">
        <v>187</v>
      </c>
      <c r="B101" s="32">
        <v>101965</v>
      </c>
      <c r="C101" s="49" t="s">
        <v>24</v>
      </c>
      <c r="D101" s="59" t="s">
        <v>188</v>
      </c>
      <c r="E101" s="32" t="s">
        <v>47</v>
      </c>
      <c r="F101" s="45">
        <f>(4*2)+(6*1.5)+(9*0.6)+(3*1.5)+1.2</f>
        <v>28.099999999999998</v>
      </c>
      <c r="G101" s="36"/>
      <c r="H101" s="37">
        <f t="shared" si="10"/>
        <v>0</v>
      </c>
      <c r="I101" s="37">
        <f>ROUND(H101*F101,2)</f>
        <v>0</v>
      </c>
    </row>
    <row r="102" spans="1:9" x14ac:dyDescent="0.25">
      <c r="A102" s="58" t="s">
        <v>189</v>
      </c>
      <c r="B102" s="32">
        <v>93188</v>
      </c>
      <c r="C102" s="49" t="s">
        <v>24</v>
      </c>
      <c r="D102" s="59" t="s">
        <v>190</v>
      </c>
      <c r="E102" s="32" t="s">
        <v>47</v>
      </c>
      <c r="F102" s="45">
        <f>((0.8+0.4)*20)+((1.5+0.4)*2)+((2+0.4)*6)+((1.85+0.4))+(0.9+0.4)+((2+0.4)*4)+((1.5+0.4)*6)+((0.6+0.4)*9)+((1.2+0.4))</f>
        <v>77.349999999999994</v>
      </c>
      <c r="G102" s="36"/>
      <c r="H102" s="37">
        <f t="shared" si="10"/>
        <v>0</v>
      </c>
      <c r="I102" s="37">
        <f>ROUND(H102*F102,2)</f>
        <v>0</v>
      </c>
    </row>
    <row r="103" spans="1:9" x14ac:dyDescent="0.25">
      <c r="A103" s="58" t="s">
        <v>191</v>
      </c>
      <c r="B103" s="32">
        <v>93196</v>
      </c>
      <c r="C103" s="49" t="s">
        <v>24</v>
      </c>
      <c r="D103" s="59" t="s">
        <v>192</v>
      </c>
      <c r="E103" s="32" t="s">
        <v>47</v>
      </c>
      <c r="F103" s="45">
        <f>((2+0.4)*4)+((1.5+0.4)*6)+((0.6+0.4)*9)+((1.2+0.4))</f>
        <v>31.6</v>
      </c>
      <c r="G103" s="36"/>
      <c r="H103" s="37">
        <f t="shared" si="10"/>
        <v>0</v>
      </c>
      <c r="I103" s="37">
        <f>ROUND(H103*F103,2)</f>
        <v>0</v>
      </c>
    </row>
    <row r="104" spans="1:9" ht="28.5" x14ac:dyDescent="0.25">
      <c r="A104" s="58" t="s">
        <v>193</v>
      </c>
      <c r="B104" s="32">
        <v>42684</v>
      </c>
      <c r="C104" s="49" t="s">
        <v>20</v>
      </c>
      <c r="D104" s="59" t="s">
        <v>194</v>
      </c>
      <c r="E104" s="32" t="s">
        <v>22</v>
      </c>
      <c r="F104" s="45">
        <f>(3*1.5)+(1.5*12.41)</f>
        <v>23.115000000000002</v>
      </c>
      <c r="G104" s="36"/>
      <c r="H104" s="37">
        <f t="shared" si="10"/>
        <v>0</v>
      </c>
      <c r="I104" s="37">
        <f>ROUND(H104*F104,2)</f>
        <v>0</v>
      </c>
    </row>
    <row r="105" spans="1:9" x14ac:dyDescent="0.25">
      <c r="A105" s="58" t="s">
        <v>195</v>
      </c>
      <c r="B105" s="32">
        <v>90830</v>
      </c>
      <c r="C105" s="49" t="s">
        <v>24</v>
      </c>
      <c r="D105" s="59" t="s">
        <v>196</v>
      </c>
      <c r="E105" s="32" t="s">
        <v>32</v>
      </c>
      <c r="F105" s="45">
        <v>1</v>
      </c>
      <c r="G105" s="36"/>
      <c r="H105" s="37">
        <f t="shared" si="10"/>
        <v>0</v>
      </c>
      <c r="I105" s="37">
        <f>ROUND(H105*F105,2)</f>
        <v>0</v>
      </c>
    </row>
    <row r="106" spans="1:9" x14ac:dyDescent="0.25">
      <c r="A106" s="58" t="s">
        <v>197</v>
      </c>
      <c r="B106" s="32">
        <v>42872</v>
      </c>
      <c r="C106" s="49" t="s">
        <v>20</v>
      </c>
      <c r="D106" s="59" t="s">
        <v>198</v>
      </c>
      <c r="E106" s="32" t="s">
        <v>22</v>
      </c>
      <c r="F106" s="60">
        <f>2*1</f>
        <v>2</v>
      </c>
      <c r="G106" s="36"/>
      <c r="H106" s="37">
        <f t="shared" si="10"/>
        <v>0</v>
      </c>
      <c r="I106" s="37">
        <f t="shared" si="11"/>
        <v>0</v>
      </c>
    </row>
    <row r="107" spans="1:9" x14ac:dyDescent="0.25">
      <c r="A107" s="58" t="s">
        <v>199</v>
      </c>
      <c r="B107" s="49" t="s">
        <v>200</v>
      </c>
      <c r="C107" s="49" t="s">
        <v>201</v>
      </c>
      <c r="D107" s="59" t="s">
        <v>202</v>
      </c>
      <c r="E107" s="32" t="s">
        <v>22</v>
      </c>
      <c r="F107" s="60">
        <f>2*(6*0.8*0.4)</f>
        <v>3.8400000000000007</v>
      </c>
      <c r="G107" s="71"/>
      <c r="H107" s="37">
        <f t="shared" si="10"/>
        <v>0</v>
      </c>
      <c r="I107" s="37">
        <f t="shared" si="11"/>
        <v>0</v>
      </c>
    </row>
    <row r="108" spans="1:9" x14ac:dyDescent="0.25">
      <c r="A108" s="58" t="s">
        <v>203</v>
      </c>
      <c r="B108" s="49">
        <v>102179</v>
      </c>
      <c r="C108" s="49" t="s">
        <v>24</v>
      </c>
      <c r="D108" s="59" t="s">
        <v>204</v>
      </c>
      <c r="E108" s="32" t="s">
        <v>22</v>
      </c>
      <c r="F108" s="60">
        <f>6*(0.2*1.1)</f>
        <v>1.3200000000000003</v>
      </c>
      <c r="G108" s="36"/>
      <c r="H108" s="37">
        <f t="shared" si="10"/>
        <v>0</v>
      </c>
      <c r="I108" s="37">
        <f t="shared" si="11"/>
        <v>0</v>
      </c>
    </row>
    <row r="109" spans="1:9" x14ac:dyDescent="0.25">
      <c r="A109" s="58" t="s">
        <v>205</v>
      </c>
      <c r="B109" s="49">
        <v>102181</v>
      </c>
      <c r="C109" s="49" t="s">
        <v>24</v>
      </c>
      <c r="D109" s="59" t="s">
        <v>206</v>
      </c>
      <c r="E109" s="32" t="s">
        <v>22</v>
      </c>
      <c r="F109" s="60">
        <v>1.2</v>
      </c>
      <c r="G109" s="36"/>
      <c r="H109" s="37">
        <f t="shared" si="10"/>
        <v>0</v>
      </c>
      <c r="I109" s="37">
        <f t="shared" si="11"/>
        <v>0</v>
      </c>
    </row>
    <row r="110" spans="1:9" x14ac:dyDescent="0.25">
      <c r="A110" s="68" t="s">
        <v>207</v>
      </c>
      <c r="B110" s="69"/>
      <c r="C110" s="69"/>
      <c r="D110" s="69"/>
      <c r="E110" s="69"/>
      <c r="F110" s="69"/>
      <c r="G110" s="70"/>
      <c r="H110" s="41"/>
      <c r="I110" s="41">
        <f>SUM(I89:I109)</f>
        <v>0</v>
      </c>
    </row>
    <row r="112" spans="1:9" x14ac:dyDescent="0.25">
      <c r="A112" s="55" t="s">
        <v>208</v>
      </c>
      <c r="B112" s="56"/>
      <c r="C112" s="57"/>
      <c r="D112" s="42" t="s">
        <v>209</v>
      </c>
      <c r="E112" s="42"/>
      <c r="F112" s="42"/>
      <c r="G112" s="42"/>
      <c r="H112" s="42"/>
      <c r="I112" s="42"/>
    </row>
    <row r="113" spans="1:9" x14ac:dyDescent="0.25">
      <c r="A113" s="58" t="s">
        <v>210</v>
      </c>
      <c r="B113" s="32">
        <v>94229</v>
      </c>
      <c r="C113" s="49" t="s">
        <v>24</v>
      </c>
      <c r="D113" s="44" t="s">
        <v>211</v>
      </c>
      <c r="E113" s="32" t="s">
        <v>47</v>
      </c>
      <c r="F113" s="45">
        <f>12.75+5.45+5.23+5.23+21.75</f>
        <v>50.41</v>
      </c>
      <c r="G113" s="36"/>
      <c r="H113" s="37">
        <f t="shared" ref="H113:H115" si="12">ROUND(G113*$E$6,2)</f>
        <v>0</v>
      </c>
      <c r="I113" s="37">
        <f t="shared" ref="I113:I115" si="13">ROUND(H113*F113,2)</f>
        <v>0</v>
      </c>
    </row>
    <row r="114" spans="1:9" ht="28.5" x14ac:dyDescent="0.25">
      <c r="A114" s="58" t="s">
        <v>212</v>
      </c>
      <c r="B114" s="32" t="s">
        <v>213</v>
      </c>
      <c r="C114" s="49" t="s">
        <v>201</v>
      </c>
      <c r="D114" s="44" t="s">
        <v>214</v>
      </c>
      <c r="E114" s="32" t="s">
        <v>32</v>
      </c>
      <c r="F114" s="60">
        <v>6</v>
      </c>
      <c r="G114" s="36"/>
      <c r="H114" s="37">
        <f t="shared" si="12"/>
        <v>0</v>
      </c>
      <c r="I114" s="37">
        <f t="shared" si="13"/>
        <v>0</v>
      </c>
    </row>
    <row r="115" spans="1:9" x14ac:dyDescent="0.25">
      <c r="A115" s="58" t="s">
        <v>215</v>
      </c>
      <c r="B115" s="32">
        <v>89512</v>
      </c>
      <c r="C115" s="49" t="s">
        <v>24</v>
      </c>
      <c r="D115" s="44" t="s">
        <v>216</v>
      </c>
      <c r="E115" s="32" t="s">
        <v>47</v>
      </c>
      <c r="F115" s="60">
        <f>(21.17+10.63+4+4+10.6+16.5)*1.1</f>
        <v>73.590000000000018</v>
      </c>
      <c r="G115" s="36"/>
      <c r="H115" s="37">
        <f t="shared" si="12"/>
        <v>0</v>
      </c>
      <c r="I115" s="37">
        <f t="shared" si="13"/>
        <v>0</v>
      </c>
    </row>
    <row r="116" spans="1:9" x14ac:dyDescent="0.25">
      <c r="A116" s="68" t="s">
        <v>217</v>
      </c>
      <c r="B116" s="69"/>
      <c r="C116" s="69"/>
      <c r="D116" s="69"/>
      <c r="E116" s="69"/>
      <c r="F116" s="69"/>
      <c r="G116" s="70"/>
      <c r="H116" s="41"/>
      <c r="I116" s="41">
        <f>SUM(I113:I115)</f>
        <v>0</v>
      </c>
    </row>
    <row r="118" spans="1:9" x14ac:dyDescent="0.25">
      <c r="A118" s="55" t="s">
        <v>218</v>
      </c>
      <c r="B118" s="56"/>
      <c r="C118" s="57"/>
      <c r="D118" s="31" t="s">
        <v>219</v>
      </c>
      <c r="E118" s="31"/>
      <c r="F118" s="31"/>
      <c r="G118" s="31"/>
      <c r="H118" s="31"/>
      <c r="I118" s="31"/>
    </row>
    <row r="119" spans="1:9" x14ac:dyDescent="0.25">
      <c r="A119" s="55" t="s">
        <v>220</v>
      </c>
      <c r="B119" s="56"/>
      <c r="C119" s="57"/>
      <c r="D119" s="42" t="s">
        <v>221</v>
      </c>
      <c r="E119" s="42"/>
      <c r="F119" s="42"/>
      <c r="G119" s="42"/>
      <c r="H119" s="42"/>
      <c r="I119" s="42"/>
    </row>
    <row r="120" spans="1:9" x14ac:dyDescent="0.25">
      <c r="A120" s="58" t="s">
        <v>222</v>
      </c>
      <c r="B120" s="32">
        <v>89512</v>
      </c>
      <c r="C120" s="49" t="s">
        <v>24</v>
      </c>
      <c r="D120" s="44" t="s">
        <v>223</v>
      </c>
      <c r="E120" s="32" t="s">
        <v>47</v>
      </c>
      <c r="F120" s="45">
        <f>(20.76+10.3+2.21+8.75+10)*1.1</f>
        <v>57.222000000000008</v>
      </c>
      <c r="G120" s="36"/>
      <c r="H120" s="37">
        <f t="shared" ref="H120:H128" si="14">ROUND(G120*$E$6,2)</f>
        <v>0</v>
      </c>
      <c r="I120" s="37">
        <f t="shared" ref="I120:I128" si="15">ROUND(H120*F120,2)</f>
        <v>0</v>
      </c>
    </row>
    <row r="121" spans="1:9" x14ac:dyDescent="0.25">
      <c r="A121" s="58" t="s">
        <v>224</v>
      </c>
      <c r="B121" s="32" t="s">
        <v>225</v>
      </c>
      <c r="C121" s="49" t="s">
        <v>201</v>
      </c>
      <c r="D121" s="44" t="s">
        <v>226</v>
      </c>
      <c r="E121" s="32" t="s">
        <v>32</v>
      </c>
      <c r="F121" s="60">
        <v>13</v>
      </c>
      <c r="G121" s="36"/>
      <c r="H121" s="37">
        <f t="shared" si="14"/>
        <v>0</v>
      </c>
      <c r="I121" s="37">
        <f t="shared" si="15"/>
        <v>0</v>
      </c>
    </row>
    <row r="122" spans="1:9" x14ac:dyDescent="0.25">
      <c r="A122" s="58" t="s">
        <v>227</v>
      </c>
      <c r="B122" s="32">
        <v>42959</v>
      </c>
      <c r="C122" s="49" t="s">
        <v>20</v>
      </c>
      <c r="D122" s="44" t="s">
        <v>228</v>
      </c>
      <c r="E122" s="32" t="s">
        <v>32</v>
      </c>
      <c r="F122" s="60">
        <v>7</v>
      </c>
      <c r="G122" s="36"/>
      <c r="H122" s="37">
        <f t="shared" si="14"/>
        <v>0</v>
      </c>
      <c r="I122" s="37">
        <f t="shared" si="15"/>
        <v>0</v>
      </c>
    </row>
    <row r="123" spans="1:9" x14ac:dyDescent="0.25">
      <c r="A123" s="58" t="s">
        <v>229</v>
      </c>
      <c r="B123" s="32">
        <v>42968</v>
      </c>
      <c r="C123" s="49" t="s">
        <v>20</v>
      </c>
      <c r="D123" s="44" t="s">
        <v>230</v>
      </c>
      <c r="E123" s="32" t="s">
        <v>32</v>
      </c>
      <c r="F123" s="60">
        <v>7</v>
      </c>
      <c r="G123" s="36"/>
      <c r="H123" s="37">
        <f t="shared" si="14"/>
        <v>0</v>
      </c>
      <c r="I123" s="37">
        <f t="shared" si="15"/>
        <v>0</v>
      </c>
    </row>
    <row r="124" spans="1:9" x14ac:dyDescent="0.25">
      <c r="A124" s="58" t="s">
        <v>231</v>
      </c>
      <c r="B124" s="32">
        <v>47977</v>
      </c>
      <c r="C124" s="49" t="s">
        <v>20</v>
      </c>
      <c r="D124" s="44" t="s">
        <v>232</v>
      </c>
      <c r="E124" s="32" t="s">
        <v>32</v>
      </c>
      <c r="F124" s="45">
        <v>5</v>
      </c>
      <c r="G124" s="36"/>
      <c r="H124" s="37">
        <f t="shared" si="14"/>
        <v>0</v>
      </c>
      <c r="I124" s="37">
        <f t="shared" si="15"/>
        <v>0</v>
      </c>
    </row>
    <row r="125" spans="1:9" x14ac:dyDescent="0.25">
      <c r="A125" s="58" t="s">
        <v>233</v>
      </c>
      <c r="B125" s="32">
        <v>98104</v>
      </c>
      <c r="C125" s="49" t="s">
        <v>24</v>
      </c>
      <c r="D125" s="44" t="s">
        <v>234</v>
      </c>
      <c r="E125" s="32" t="s">
        <v>32</v>
      </c>
      <c r="F125" s="60">
        <v>1</v>
      </c>
      <c r="G125" s="36"/>
      <c r="H125" s="37">
        <f t="shared" si="14"/>
        <v>0</v>
      </c>
      <c r="I125" s="37">
        <f t="shared" si="15"/>
        <v>0</v>
      </c>
    </row>
    <row r="126" spans="1:9" x14ac:dyDescent="0.25">
      <c r="A126" s="58" t="s">
        <v>235</v>
      </c>
      <c r="B126" s="49">
        <v>43192</v>
      </c>
      <c r="C126" s="49" t="s">
        <v>20</v>
      </c>
      <c r="D126" s="44" t="s">
        <v>236</v>
      </c>
      <c r="E126" s="32" t="s">
        <v>32</v>
      </c>
      <c r="F126" s="60">
        <v>8</v>
      </c>
      <c r="G126" s="36"/>
      <c r="H126" s="37">
        <f t="shared" si="14"/>
        <v>0</v>
      </c>
      <c r="I126" s="37">
        <f t="shared" si="15"/>
        <v>0</v>
      </c>
    </row>
    <row r="127" spans="1:9" x14ac:dyDescent="0.25">
      <c r="A127" s="58" t="s">
        <v>237</v>
      </c>
      <c r="B127" s="32">
        <v>98054</v>
      </c>
      <c r="C127" s="49" t="s">
        <v>20</v>
      </c>
      <c r="D127" s="59" t="s">
        <v>238</v>
      </c>
      <c r="E127" s="32" t="s">
        <v>239</v>
      </c>
      <c r="F127" s="60">
        <v>8.1999999999999993</v>
      </c>
      <c r="G127" s="36"/>
      <c r="H127" s="37">
        <f t="shared" si="14"/>
        <v>0</v>
      </c>
      <c r="I127" s="37">
        <f t="shared" si="15"/>
        <v>0</v>
      </c>
    </row>
    <row r="128" spans="1:9" x14ac:dyDescent="0.25">
      <c r="A128" s="58" t="s">
        <v>240</v>
      </c>
      <c r="B128" s="32">
        <v>98059</v>
      </c>
      <c r="C128" s="49" t="s">
        <v>20</v>
      </c>
      <c r="D128" s="59" t="s">
        <v>241</v>
      </c>
      <c r="E128" s="32" t="s">
        <v>239</v>
      </c>
      <c r="F128" s="60">
        <v>5.8</v>
      </c>
      <c r="G128" s="36"/>
      <c r="H128" s="37">
        <f t="shared" si="14"/>
        <v>0</v>
      </c>
      <c r="I128" s="37">
        <f t="shared" si="15"/>
        <v>0</v>
      </c>
    </row>
    <row r="129" spans="1:9" x14ac:dyDescent="0.25">
      <c r="A129" s="68" t="s">
        <v>242</v>
      </c>
      <c r="B129" s="69"/>
      <c r="C129" s="69"/>
      <c r="D129" s="69"/>
      <c r="E129" s="69"/>
      <c r="F129" s="69"/>
      <c r="G129" s="70"/>
      <c r="H129" s="41"/>
      <c r="I129" s="41">
        <f>SUM(I120:I128)</f>
        <v>0</v>
      </c>
    </row>
    <row r="130" spans="1:9" x14ac:dyDescent="0.25">
      <c r="A130" s="55" t="s">
        <v>243</v>
      </c>
      <c r="B130" s="56"/>
      <c r="C130" s="57"/>
      <c r="D130" s="72" t="s">
        <v>244</v>
      </c>
      <c r="E130" s="73"/>
      <c r="F130" s="73"/>
      <c r="G130" s="73"/>
      <c r="H130" s="73"/>
      <c r="I130" s="74"/>
    </row>
    <row r="131" spans="1:9" x14ac:dyDescent="0.25">
      <c r="A131" s="58" t="s">
        <v>245</v>
      </c>
      <c r="B131" s="49">
        <v>40048</v>
      </c>
      <c r="C131" s="49" t="s">
        <v>20</v>
      </c>
      <c r="D131" s="44" t="s">
        <v>246</v>
      </c>
      <c r="E131" s="32" t="s">
        <v>32</v>
      </c>
      <c r="F131" s="60">
        <v>2</v>
      </c>
      <c r="G131" s="36"/>
      <c r="H131" s="37">
        <f t="shared" ref="H131:H134" si="16">ROUND(G131*$E$6,2)</f>
        <v>0</v>
      </c>
      <c r="I131" s="37">
        <f t="shared" ref="I131:I134" si="17">ROUND(H131*F131,2)</f>
        <v>0</v>
      </c>
    </row>
    <row r="132" spans="1:9" ht="28.5" x14ac:dyDescent="0.25">
      <c r="A132" s="58" t="s">
        <v>247</v>
      </c>
      <c r="B132" s="32">
        <v>42964</v>
      </c>
      <c r="C132" s="49" t="s">
        <v>20</v>
      </c>
      <c r="D132" s="44" t="s">
        <v>248</v>
      </c>
      <c r="E132" s="32" t="s">
        <v>32</v>
      </c>
      <c r="F132" s="75">
        <v>21</v>
      </c>
      <c r="G132" s="36"/>
      <c r="H132" s="37">
        <f t="shared" si="16"/>
        <v>0</v>
      </c>
      <c r="I132" s="37">
        <f t="shared" si="17"/>
        <v>0</v>
      </c>
    </row>
    <row r="133" spans="1:9" x14ac:dyDescent="0.25">
      <c r="A133" s="58" t="s">
        <v>249</v>
      </c>
      <c r="B133" s="32">
        <v>89986</v>
      </c>
      <c r="C133" s="49" t="s">
        <v>24</v>
      </c>
      <c r="D133" s="43" t="s">
        <v>250</v>
      </c>
      <c r="E133" s="32" t="s">
        <v>32</v>
      </c>
      <c r="F133" s="45">
        <v>9</v>
      </c>
      <c r="G133" s="36"/>
      <c r="H133" s="37">
        <f t="shared" si="16"/>
        <v>0</v>
      </c>
      <c r="I133" s="37">
        <f t="shared" si="17"/>
        <v>0</v>
      </c>
    </row>
    <row r="134" spans="1:9" ht="28.5" x14ac:dyDescent="0.25">
      <c r="A134" s="58" t="s">
        <v>251</v>
      </c>
      <c r="B134" s="32">
        <v>89985</v>
      </c>
      <c r="C134" s="32" t="s">
        <v>24</v>
      </c>
      <c r="D134" s="43" t="s">
        <v>252</v>
      </c>
      <c r="E134" s="32" t="s">
        <v>32</v>
      </c>
      <c r="F134" s="45">
        <v>2</v>
      </c>
      <c r="G134" s="36"/>
      <c r="H134" s="37">
        <f t="shared" si="16"/>
        <v>0</v>
      </c>
      <c r="I134" s="37">
        <f t="shared" si="17"/>
        <v>0</v>
      </c>
    </row>
    <row r="135" spans="1:9" x14ac:dyDescent="0.25">
      <c r="A135" s="68" t="s">
        <v>253</v>
      </c>
      <c r="B135" s="69"/>
      <c r="C135" s="69"/>
      <c r="D135" s="69"/>
      <c r="E135" s="69"/>
      <c r="F135" s="69"/>
      <c r="G135" s="70"/>
      <c r="H135" s="41"/>
      <c r="I135" s="41">
        <f>SUM(I131:I134)</f>
        <v>0</v>
      </c>
    </row>
    <row r="136" spans="1:9" x14ac:dyDescent="0.25">
      <c r="A136" s="55" t="s">
        <v>254</v>
      </c>
      <c r="B136" s="56"/>
      <c r="C136" s="57"/>
      <c r="D136" s="72" t="s">
        <v>255</v>
      </c>
      <c r="E136" s="73"/>
      <c r="F136" s="73"/>
      <c r="G136" s="73"/>
      <c r="H136" s="73"/>
      <c r="I136" s="74"/>
    </row>
    <row r="137" spans="1:9" ht="28.5" x14ac:dyDescent="0.25">
      <c r="A137" s="58" t="s">
        <v>256</v>
      </c>
      <c r="B137" s="32">
        <v>86932</v>
      </c>
      <c r="C137" s="49" t="s">
        <v>24</v>
      </c>
      <c r="D137" s="44" t="s">
        <v>257</v>
      </c>
      <c r="E137" s="32" t="s">
        <v>32</v>
      </c>
      <c r="F137" s="60">
        <v>6</v>
      </c>
      <c r="G137" s="36"/>
      <c r="H137" s="37">
        <f>ROUND(G137*$E$6,2)</f>
        <v>0</v>
      </c>
      <c r="I137" s="37">
        <f>ROUND(H137*F137,2)</f>
        <v>0</v>
      </c>
    </row>
    <row r="138" spans="1:9" ht="28.5" x14ac:dyDescent="0.25">
      <c r="A138" s="58" t="s">
        <v>258</v>
      </c>
      <c r="B138" s="32">
        <v>95472</v>
      </c>
      <c r="C138" s="49" t="s">
        <v>24</v>
      </c>
      <c r="D138" s="44" t="s">
        <v>259</v>
      </c>
      <c r="E138" s="32" t="s">
        <v>32</v>
      </c>
      <c r="F138" s="60">
        <v>1</v>
      </c>
      <c r="G138" s="36"/>
      <c r="H138" s="37">
        <f t="shared" ref="H138:H151" si="18">ROUND(G138*$E$6,2)</f>
        <v>0</v>
      </c>
      <c r="I138" s="37">
        <f t="shared" ref="I138:I151" si="19">ROUND(H138*F138,2)</f>
        <v>0</v>
      </c>
    </row>
    <row r="139" spans="1:9" x14ac:dyDescent="0.25">
      <c r="A139" s="58" t="s">
        <v>260</v>
      </c>
      <c r="B139" s="32">
        <v>42913</v>
      </c>
      <c r="C139" s="49" t="s">
        <v>20</v>
      </c>
      <c r="D139" s="44" t="s">
        <v>261</v>
      </c>
      <c r="E139" s="32" t="s">
        <v>32</v>
      </c>
      <c r="F139" s="60">
        <v>1</v>
      </c>
      <c r="G139" s="36"/>
      <c r="H139" s="37">
        <f t="shared" si="18"/>
        <v>0</v>
      </c>
      <c r="I139" s="37">
        <f t="shared" si="19"/>
        <v>0</v>
      </c>
    </row>
    <row r="140" spans="1:9" ht="42.75" x14ac:dyDescent="0.25">
      <c r="A140" s="58" t="s">
        <v>262</v>
      </c>
      <c r="B140" s="32" t="s">
        <v>263</v>
      </c>
      <c r="C140" s="76" t="s">
        <v>264</v>
      </c>
      <c r="D140" s="44" t="s">
        <v>265</v>
      </c>
      <c r="E140" s="32" t="s">
        <v>32</v>
      </c>
      <c r="F140" s="60">
        <v>6</v>
      </c>
      <c r="G140" s="36"/>
      <c r="H140" s="37">
        <f t="shared" si="18"/>
        <v>0</v>
      </c>
      <c r="I140" s="37">
        <f t="shared" si="19"/>
        <v>0</v>
      </c>
    </row>
    <row r="141" spans="1:9" ht="28.5" x14ac:dyDescent="0.25">
      <c r="A141" s="58" t="s">
        <v>266</v>
      </c>
      <c r="B141" s="32" t="s">
        <v>267</v>
      </c>
      <c r="C141" s="76" t="s">
        <v>264</v>
      </c>
      <c r="D141" s="44" t="s">
        <v>268</v>
      </c>
      <c r="E141" s="32" t="s">
        <v>32</v>
      </c>
      <c r="F141" s="60">
        <v>2</v>
      </c>
      <c r="G141" s="36"/>
      <c r="H141" s="37">
        <f t="shared" si="18"/>
        <v>0</v>
      </c>
      <c r="I141" s="37">
        <f t="shared" si="19"/>
        <v>0</v>
      </c>
    </row>
    <row r="142" spans="1:9" ht="28.5" x14ac:dyDescent="0.25">
      <c r="A142" s="58" t="s">
        <v>269</v>
      </c>
      <c r="B142" s="32">
        <v>86920</v>
      </c>
      <c r="C142" s="49" t="s">
        <v>24</v>
      </c>
      <c r="D142" s="44" t="s">
        <v>270</v>
      </c>
      <c r="E142" s="32" t="s">
        <v>32</v>
      </c>
      <c r="F142" s="60">
        <v>1</v>
      </c>
      <c r="G142" s="36"/>
      <c r="H142" s="37">
        <f t="shared" si="18"/>
        <v>0</v>
      </c>
      <c r="I142" s="37">
        <f t="shared" si="19"/>
        <v>0</v>
      </c>
    </row>
    <row r="143" spans="1:9" x14ac:dyDescent="0.25">
      <c r="A143" s="58" t="s">
        <v>271</v>
      </c>
      <c r="B143" s="32">
        <v>42949</v>
      </c>
      <c r="C143" s="49" t="s">
        <v>20</v>
      </c>
      <c r="D143" s="44" t="s">
        <v>272</v>
      </c>
      <c r="E143" s="32" t="s">
        <v>32</v>
      </c>
      <c r="F143" s="77">
        <v>1</v>
      </c>
      <c r="G143" s="36"/>
      <c r="H143" s="37">
        <f t="shared" si="18"/>
        <v>0</v>
      </c>
      <c r="I143" s="37">
        <f t="shared" si="19"/>
        <v>0</v>
      </c>
    </row>
    <row r="144" spans="1:9" x14ac:dyDescent="0.25">
      <c r="A144" s="58" t="s">
        <v>273</v>
      </c>
      <c r="B144" s="32">
        <v>42949</v>
      </c>
      <c r="C144" s="49" t="s">
        <v>20</v>
      </c>
      <c r="D144" s="44" t="s">
        <v>274</v>
      </c>
      <c r="E144" s="32" t="s">
        <v>32</v>
      </c>
      <c r="F144" s="60">
        <v>2</v>
      </c>
      <c r="G144" s="36"/>
      <c r="H144" s="37">
        <f t="shared" si="18"/>
        <v>0</v>
      </c>
      <c r="I144" s="37">
        <f t="shared" si="19"/>
        <v>0</v>
      </c>
    </row>
    <row r="145" spans="1:9" x14ac:dyDescent="0.25">
      <c r="A145" s="58" t="s">
        <v>275</v>
      </c>
      <c r="B145" s="49">
        <v>86909</v>
      </c>
      <c r="C145" s="49" t="s">
        <v>24</v>
      </c>
      <c r="D145" s="44" t="s">
        <v>276</v>
      </c>
      <c r="E145" s="49" t="s">
        <v>32</v>
      </c>
      <c r="F145" s="77">
        <v>2</v>
      </c>
      <c r="G145" s="36"/>
      <c r="H145" s="37">
        <f t="shared" si="18"/>
        <v>0</v>
      </c>
      <c r="I145" s="37">
        <f t="shared" si="19"/>
        <v>0</v>
      </c>
    </row>
    <row r="146" spans="1:9" x14ac:dyDescent="0.25">
      <c r="A146" s="58" t="s">
        <v>277</v>
      </c>
      <c r="B146" s="49">
        <v>42950</v>
      </c>
      <c r="C146" s="49" t="s">
        <v>20</v>
      </c>
      <c r="D146" s="44" t="s">
        <v>278</v>
      </c>
      <c r="E146" s="49" t="s">
        <v>32</v>
      </c>
      <c r="F146" s="77">
        <v>2</v>
      </c>
      <c r="G146" s="36"/>
      <c r="H146" s="37">
        <f t="shared" si="18"/>
        <v>0</v>
      </c>
      <c r="I146" s="37">
        <f t="shared" si="19"/>
        <v>0</v>
      </c>
    </row>
    <row r="147" spans="1:9" x14ac:dyDescent="0.25">
      <c r="A147" s="58" t="s">
        <v>279</v>
      </c>
      <c r="B147" s="49">
        <v>42768</v>
      </c>
      <c r="C147" s="49" t="s">
        <v>20</v>
      </c>
      <c r="D147" s="44" t="s">
        <v>280</v>
      </c>
      <c r="E147" s="49" t="s">
        <v>22</v>
      </c>
      <c r="F147" s="45">
        <v>2.4</v>
      </c>
      <c r="G147" s="36"/>
      <c r="H147" s="37">
        <f t="shared" si="18"/>
        <v>0</v>
      </c>
      <c r="I147" s="37">
        <f t="shared" si="19"/>
        <v>0</v>
      </c>
    </row>
    <row r="148" spans="1:9" ht="24" x14ac:dyDescent="0.25">
      <c r="A148" s="58" t="s">
        <v>281</v>
      </c>
      <c r="B148" s="49">
        <v>95543</v>
      </c>
      <c r="C148" s="49" t="s">
        <v>24</v>
      </c>
      <c r="D148" s="50" t="s">
        <v>282</v>
      </c>
      <c r="E148" s="49" t="s">
        <v>32</v>
      </c>
      <c r="F148" s="45">
        <v>7</v>
      </c>
      <c r="G148" s="36"/>
      <c r="H148" s="37">
        <f t="shared" si="18"/>
        <v>0</v>
      </c>
      <c r="I148" s="37">
        <f t="shared" si="19"/>
        <v>0</v>
      </c>
    </row>
    <row r="149" spans="1:9" ht="28.5" x14ac:dyDescent="0.25">
      <c r="A149" s="58" t="s">
        <v>283</v>
      </c>
      <c r="B149" s="32">
        <v>95547</v>
      </c>
      <c r="C149" s="49" t="s">
        <v>24</v>
      </c>
      <c r="D149" s="44" t="s">
        <v>284</v>
      </c>
      <c r="E149" s="32" t="s">
        <v>32</v>
      </c>
      <c r="F149" s="60">
        <v>7</v>
      </c>
      <c r="G149" s="36"/>
      <c r="H149" s="37">
        <f t="shared" si="18"/>
        <v>0</v>
      </c>
      <c r="I149" s="37">
        <f t="shared" si="19"/>
        <v>0</v>
      </c>
    </row>
    <row r="150" spans="1:9" x14ac:dyDescent="0.25">
      <c r="A150" s="58" t="s">
        <v>285</v>
      </c>
      <c r="B150" s="32">
        <v>43807</v>
      </c>
      <c r="C150" s="49" t="s">
        <v>20</v>
      </c>
      <c r="D150" s="44" t="s">
        <v>286</v>
      </c>
      <c r="E150" s="32" t="s">
        <v>32</v>
      </c>
      <c r="F150" s="60">
        <v>7</v>
      </c>
      <c r="G150" s="36"/>
      <c r="H150" s="37">
        <f t="shared" si="18"/>
        <v>0</v>
      </c>
      <c r="I150" s="37">
        <f t="shared" si="19"/>
        <v>0</v>
      </c>
    </row>
    <row r="151" spans="1:9" x14ac:dyDescent="0.25">
      <c r="A151" s="58" t="s">
        <v>287</v>
      </c>
      <c r="B151" s="32">
        <v>42912</v>
      </c>
      <c r="C151" s="49" t="s">
        <v>20</v>
      </c>
      <c r="D151" s="44" t="s">
        <v>288</v>
      </c>
      <c r="E151" s="32" t="s">
        <v>22</v>
      </c>
      <c r="F151" s="60">
        <v>7</v>
      </c>
      <c r="G151" s="36"/>
      <c r="H151" s="37">
        <f t="shared" si="18"/>
        <v>0</v>
      </c>
      <c r="I151" s="37">
        <f t="shared" si="19"/>
        <v>0</v>
      </c>
    </row>
    <row r="152" spans="1:9" x14ac:dyDescent="0.25">
      <c r="A152" s="58" t="s">
        <v>289</v>
      </c>
      <c r="B152" s="32">
        <v>42910</v>
      </c>
      <c r="C152" s="32" t="s">
        <v>20</v>
      </c>
      <c r="D152" s="43" t="s">
        <v>290</v>
      </c>
      <c r="E152" s="78" t="s">
        <v>32</v>
      </c>
      <c r="F152" s="79">
        <v>3</v>
      </c>
      <c r="G152" s="36"/>
      <c r="H152" s="37">
        <f>ROUND(G152*$E$6,2)</f>
        <v>0</v>
      </c>
      <c r="I152" s="37">
        <f>ROUND(H152*F152,2)</f>
        <v>0</v>
      </c>
    </row>
    <row r="153" spans="1:9" x14ac:dyDescent="0.25">
      <c r="A153" s="58" t="s">
        <v>291</v>
      </c>
      <c r="B153" s="32">
        <v>42952</v>
      </c>
      <c r="C153" s="32" t="s">
        <v>20</v>
      </c>
      <c r="D153" s="43" t="s">
        <v>292</v>
      </c>
      <c r="E153" s="78" t="s">
        <v>32</v>
      </c>
      <c r="F153" s="79">
        <v>1</v>
      </c>
      <c r="G153" s="36"/>
      <c r="H153" s="37">
        <f>ROUND(G153*$E$6,2)</f>
        <v>0</v>
      </c>
      <c r="I153" s="37">
        <f>ROUND(H153*F153,2)</f>
        <v>0</v>
      </c>
    </row>
    <row r="154" spans="1:9" ht="28.5" x14ac:dyDescent="0.25">
      <c r="A154" s="58" t="s">
        <v>293</v>
      </c>
      <c r="B154" s="32">
        <v>47980</v>
      </c>
      <c r="C154" s="32" t="s">
        <v>20</v>
      </c>
      <c r="D154" s="43" t="s">
        <v>294</v>
      </c>
      <c r="E154" s="78" t="s">
        <v>32</v>
      </c>
      <c r="F154" s="79">
        <v>1</v>
      </c>
      <c r="G154" s="36"/>
      <c r="H154" s="37">
        <f>ROUND(G154*$E$6,2)</f>
        <v>0</v>
      </c>
      <c r="I154" s="37">
        <f>ROUND(H154*F154,2)</f>
        <v>0</v>
      </c>
    </row>
    <row r="155" spans="1:9" x14ac:dyDescent="0.25">
      <c r="A155" s="68" t="s">
        <v>295</v>
      </c>
      <c r="B155" s="69"/>
      <c r="C155" s="69"/>
      <c r="D155" s="69"/>
      <c r="E155" s="69"/>
      <c r="F155" s="69"/>
      <c r="G155" s="70"/>
      <c r="H155" s="41"/>
      <c r="I155" s="41">
        <f>SUM(I137:I154)</f>
        <v>0</v>
      </c>
    </row>
    <row r="156" spans="1:9" x14ac:dyDescent="0.25">
      <c r="A156" s="68" t="s">
        <v>296</v>
      </c>
      <c r="B156" s="69"/>
      <c r="C156" s="69"/>
      <c r="D156" s="69"/>
      <c r="E156" s="69"/>
      <c r="F156" s="69"/>
      <c r="G156" s="70"/>
      <c r="H156" s="41"/>
      <c r="I156" s="41">
        <f>SUM(I129,I135,I155)</f>
        <v>0</v>
      </c>
    </row>
    <row r="158" spans="1:9" x14ac:dyDescent="0.25">
      <c r="A158" s="55" t="s">
        <v>297</v>
      </c>
      <c r="B158" s="56"/>
      <c r="C158" s="57"/>
      <c r="D158" s="42" t="s">
        <v>298</v>
      </c>
      <c r="E158" s="42"/>
      <c r="F158" s="42"/>
      <c r="G158" s="42"/>
      <c r="H158" s="42"/>
      <c r="I158" s="42"/>
    </row>
    <row r="159" spans="1:9" x14ac:dyDescent="0.25">
      <c r="A159" s="58" t="s">
        <v>299</v>
      </c>
      <c r="B159" s="32">
        <v>43534</v>
      </c>
      <c r="C159" s="49" t="s">
        <v>20</v>
      </c>
      <c r="D159" s="44" t="s">
        <v>300</v>
      </c>
      <c r="E159" s="32" t="s">
        <v>32</v>
      </c>
      <c r="F159" s="60">
        <v>1</v>
      </c>
      <c r="G159" s="36"/>
      <c r="H159" s="37">
        <f>ROUND(G159*$E$6,2)</f>
        <v>0</v>
      </c>
      <c r="I159" s="37">
        <f>ROUND(H159*F159,2)</f>
        <v>0</v>
      </c>
    </row>
    <row r="160" spans="1:9" ht="42.75" x14ac:dyDescent="0.25">
      <c r="A160" s="58" t="s">
        <v>301</v>
      </c>
      <c r="B160" s="32">
        <v>43524</v>
      </c>
      <c r="C160" s="32" t="s">
        <v>20</v>
      </c>
      <c r="D160" s="44" t="s">
        <v>302</v>
      </c>
      <c r="E160" s="32" t="s">
        <v>32</v>
      </c>
      <c r="F160" s="60">
        <v>1</v>
      </c>
      <c r="G160" s="36"/>
      <c r="H160" s="37">
        <f>ROUND(G160*$E$6,2)</f>
        <v>0</v>
      </c>
      <c r="I160" s="37">
        <f>ROUND(H160*F160,2)</f>
        <v>0</v>
      </c>
    </row>
    <row r="161" spans="1:9" ht="42.75" x14ac:dyDescent="0.25">
      <c r="A161" s="58" t="s">
        <v>303</v>
      </c>
      <c r="B161" s="32">
        <v>101878</v>
      </c>
      <c r="C161" s="49" t="s">
        <v>24</v>
      </c>
      <c r="D161" s="44" t="s">
        <v>304</v>
      </c>
      <c r="E161" s="32" t="s">
        <v>32</v>
      </c>
      <c r="F161" s="75">
        <v>1</v>
      </c>
      <c r="G161" s="36"/>
      <c r="H161" s="37">
        <f t="shared" ref="H161:H184" si="20">ROUND(G161*$E$6,2)</f>
        <v>0</v>
      </c>
      <c r="I161" s="37">
        <f>ROUND(H161*F161,2)</f>
        <v>0</v>
      </c>
    </row>
    <row r="162" spans="1:9" x14ac:dyDescent="0.25">
      <c r="A162" s="58" t="s">
        <v>305</v>
      </c>
      <c r="B162" s="49">
        <v>93657</v>
      </c>
      <c r="C162" s="32" t="s">
        <v>24</v>
      </c>
      <c r="D162" s="44" t="s">
        <v>306</v>
      </c>
      <c r="E162" s="32" t="s">
        <v>32</v>
      </c>
      <c r="F162" s="51">
        <v>5</v>
      </c>
      <c r="G162" s="36"/>
      <c r="H162" s="37">
        <f t="shared" si="20"/>
        <v>0</v>
      </c>
      <c r="I162" s="37">
        <f t="shared" ref="I162:I184" si="21">ROUND(H162*F162,2)</f>
        <v>0</v>
      </c>
    </row>
    <row r="163" spans="1:9" x14ac:dyDescent="0.25">
      <c r="A163" s="58" t="s">
        <v>307</v>
      </c>
      <c r="B163" s="49">
        <v>93659</v>
      </c>
      <c r="C163" s="32" t="s">
        <v>24</v>
      </c>
      <c r="D163" s="44" t="s">
        <v>308</v>
      </c>
      <c r="E163" s="32" t="s">
        <v>32</v>
      </c>
      <c r="F163" s="51">
        <v>18</v>
      </c>
      <c r="G163" s="36"/>
      <c r="H163" s="37">
        <f t="shared" si="20"/>
        <v>0</v>
      </c>
      <c r="I163" s="37">
        <f t="shared" si="21"/>
        <v>0</v>
      </c>
    </row>
    <row r="164" spans="1:9" x14ac:dyDescent="0.25">
      <c r="A164" s="58" t="s">
        <v>309</v>
      </c>
      <c r="B164" s="49">
        <v>93673</v>
      </c>
      <c r="C164" s="32" t="s">
        <v>24</v>
      </c>
      <c r="D164" s="44" t="s">
        <v>310</v>
      </c>
      <c r="E164" s="32" t="s">
        <v>32</v>
      </c>
      <c r="F164" s="51">
        <v>1</v>
      </c>
      <c r="G164" s="36"/>
      <c r="H164" s="37">
        <f t="shared" si="20"/>
        <v>0</v>
      </c>
      <c r="I164" s="37">
        <f t="shared" si="21"/>
        <v>0</v>
      </c>
    </row>
    <row r="165" spans="1:9" x14ac:dyDescent="0.25">
      <c r="A165" s="58" t="s">
        <v>311</v>
      </c>
      <c r="B165" s="49">
        <v>43542</v>
      </c>
      <c r="C165" s="32" t="s">
        <v>20</v>
      </c>
      <c r="D165" s="44" t="s">
        <v>312</v>
      </c>
      <c r="E165" s="32" t="s">
        <v>32</v>
      </c>
      <c r="F165" s="45">
        <v>2</v>
      </c>
      <c r="G165" s="36"/>
      <c r="H165" s="37">
        <f t="shared" si="20"/>
        <v>0</v>
      </c>
      <c r="I165" s="37">
        <f t="shared" si="21"/>
        <v>0</v>
      </c>
    </row>
    <row r="166" spans="1:9" ht="28.5" x14ac:dyDescent="0.25">
      <c r="A166" s="58" t="s">
        <v>313</v>
      </c>
      <c r="B166" s="49">
        <v>104473</v>
      </c>
      <c r="C166" s="32" t="s">
        <v>24</v>
      </c>
      <c r="D166" s="44" t="s">
        <v>314</v>
      </c>
      <c r="E166" s="32" t="s">
        <v>32</v>
      </c>
      <c r="F166" s="45">
        <v>2</v>
      </c>
      <c r="G166" s="36"/>
      <c r="H166" s="37">
        <f t="shared" si="20"/>
        <v>0</v>
      </c>
      <c r="I166" s="37">
        <f t="shared" si="21"/>
        <v>0</v>
      </c>
    </row>
    <row r="167" spans="1:9" ht="42.75" x14ac:dyDescent="0.25">
      <c r="A167" s="58" t="s">
        <v>315</v>
      </c>
      <c r="B167" s="49">
        <v>104475</v>
      </c>
      <c r="C167" s="32" t="s">
        <v>24</v>
      </c>
      <c r="D167" s="44" t="s">
        <v>316</v>
      </c>
      <c r="E167" s="32" t="s">
        <v>32</v>
      </c>
      <c r="F167" s="45">
        <v>7</v>
      </c>
      <c r="G167" s="36"/>
      <c r="H167" s="37">
        <f t="shared" si="20"/>
        <v>0</v>
      </c>
      <c r="I167" s="37">
        <f t="shared" si="21"/>
        <v>0</v>
      </c>
    </row>
    <row r="168" spans="1:9" ht="42.75" x14ac:dyDescent="0.25">
      <c r="A168" s="58" t="s">
        <v>317</v>
      </c>
      <c r="B168" s="49">
        <v>104474</v>
      </c>
      <c r="C168" s="32" t="s">
        <v>24</v>
      </c>
      <c r="D168" s="44" t="s">
        <v>318</v>
      </c>
      <c r="E168" s="32" t="s">
        <v>32</v>
      </c>
      <c r="F168" s="45">
        <v>4</v>
      </c>
      <c r="G168" s="36"/>
      <c r="H168" s="37">
        <f t="shared" si="20"/>
        <v>0</v>
      </c>
      <c r="I168" s="37">
        <f t="shared" si="21"/>
        <v>0</v>
      </c>
    </row>
    <row r="169" spans="1:9" ht="42.75" x14ac:dyDescent="0.25">
      <c r="A169" s="58" t="s">
        <v>319</v>
      </c>
      <c r="B169" s="49">
        <v>104475</v>
      </c>
      <c r="C169" s="32" t="s">
        <v>24</v>
      </c>
      <c r="D169" s="44" t="s">
        <v>320</v>
      </c>
      <c r="E169" s="32" t="s">
        <v>32</v>
      </c>
      <c r="F169" s="45">
        <f>6+1+7+38+1-4+5</f>
        <v>54</v>
      </c>
      <c r="G169" s="36"/>
      <c r="H169" s="37">
        <f t="shared" si="20"/>
        <v>0</v>
      </c>
      <c r="I169" s="37">
        <f t="shared" si="21"/>
        <v>0</v>
      </c>
    </row>
    <row r="170" spans="1:9" ht="42.75" x14ac:dyDescent="0.25">
      <c r="A170" s="58" t="s">
        <v>321</v>
      </c>
      <c r="B170" s="49">
        <v>104479</v>
      </c>
      <c r="C170" s="32" t="s">
        <v>24</v>
      </c>
      <c r="D170" s="44" t="s">
        <v>322</v>
      </c>
      <c r="E170" s="32" t="s">
        <v>32</v>
      </c>
      <c r="F170" s="45">
        <v>2</v>
      </c>
      <c r="G170" s="36"/>
      <c r="H170" s="37">
        <f t="shared" si="20"/>
        <v>0</v>
      </c>
      <c r="I170" s="37">
        <f t="shared" si="21"/>
        <v>0</v>
      </c>
    </row>
    <row r="171" spans="1:9" ht="42.75" x14ac:dyDescent="0.25">
      <c r="A171" s="58" t="s">
        <v>323</v>
      </c>
      <c r="B171" s="49">
        <v>104475</v>
      </c>
      <c r="C171" s="32" t="s">
        <v>24</v>
      </c>
      <c r="D171" s="44" t="s">
        <v>324</v>
      </c>
      <c r="E171" s="32" t="s">
        <v>32</v>
      </c>
      <c r="F171" s="45">
        <v>16</v>
      </c>
      <c r="G171" s="36"/>
      <c r="H171" s="37">
        <f t="shared" si="20"/>
        <v>0</v>
      </c>
      <c r="I171" s="37">
        <f t="shared" si="21"/>
        <v>0</v>
      </c>
    </row>
    <row r="172" spans="1:9" ht="42.75" x14ac:dyDescent="0.25">
      <c r="A172" s="58" t="s">
        <v>325</v>
      </c>
      <c r="B172" s="49">
        <v>104478</v>
      </c>
      <c r="C172" s="32" t="s">
        <v>24</v>
      </c>
      <c r="D172" s="44" t="s">
        <v>326</v>
      </c>
      <c r="E172" s="32" t="s">
        <v>32</v>
      </c>
      <c r="F172" s="45">
        <v>2</v>
      </c>
      <c r="G172" s="36"/>
      <c r="H172" s="37">
        <f t="shared" si="20"/>
        <v>0</v>
      </c>
      <c r="I172" s="37">
        <f t="shared" si="21"/>
        <v>0</v>
      </c>
    </row>
    <row r="173" spans="1:9" ht="42.75" x14ac:dyDescent="0.25">
      <c r="A173" s="58" t="s">
        <v>327</v>
      </c>
      <c r="B173" s="49">
        <v>104481</v>
      </c>
      <c r="C173" s="32" t="s">
        <v>24</v>
      </c>
      <c r="D173" s="44" t="s">
        <v>328</v>
      </c>
      <c r="E173" s="32" t="s">
        <v>32</v>
      </c>
      <c r="F173" s="60">
        <v>12</v>
      </c>
      <c r="G173" s="36"/>
      <c r="H173" s="37">
        <f t="shared" si="20"/>
        <v>0</v>
      </c>
      <c r="I173" s="37">
        <f t="shared" si="21"/>
        <v>0</v>
      </c>
    </row>
    <row r="174" spans="1:9" x14ac:dyDescent="0.25">
      <c r="A174" s="58" t="s">
        <v>329</v>
      </c>
      <c r="B174" s="49">
        <v>98307</v>
      </c>
      <c r="C174" s="32" t="s">
        <v>24</v>
      </c>
      <c r="D174" s="44" t="s">
        <v>330</v>
      </c>
      <c r="E174" s="32" t="s">
        <v>32</v>
      </c>
      <c r="F174" s="60">
        <v>2</v>
      </c>
      <c r="G174" s="36"/>
      <c r="H174" s="37">
        <f t="shared" si="20"/>
        <v>0</v>
      </c>
      <c r="I174" s="37">
        <f t="shared" si="21"/>
        <v>0</v>
      </c>
    </row>
    <row r="175" spans="1:9" ht="28.5" x14ac:dyDescent="0.25">
      <c r="A175" s="58" t="s">
        <v>331</v>
      </c>
      <c r="B175" s="49">
        <v>97587</v>
      </c>
      <c r="C175" s="32" t="s">
        <v>24</v>
      </c>
      <c r="D175" s="44" t="s">
        <v>332</v>
      </c>
      <c r="E175" s="32" t="s">
        <v>32</v>
      </c>
      <c r="F175" s="60">
        <v>34</v>
      </c>
      <c r="G175" s="36"/>
      <c r="H175" s="37">
        <f t="shared" si="20"/>
        <v>0</v>
      </c>
      <c r="I175" s="37">
        <f t="shared" si="21"/>
        <v>0</v>
      </c>
    </row>
    <row r="176" spans="1:9" ht="28.5" x14ac:dyDescent="0.25">
      <c r="A176" s="58" t="s">
        <v>333</v>
      </c>
      <c r="B176" s="49">
        <v>97591</v>
      </c>
      <c r="C176" s="32" t="s">
        <v>24</v>
      </c>
      <c r="D176" s="44" t="s">
        <v>334</v>
      </c>
      <c r="E176" s="32" t="s">
        <v>32</v>
      </c>
      <c r="F176" s="60">
        <v>20</v>
      </c>
      <c r="G176" s="36"/>
      <c r="H176" s="37">
        <f t="shared" si="20"/>
        <v>0</v>
      </c>
      <c r="I176" s="37">
        <f t="shared" si="21"/>
        <v>0</v>
      </c>
    </row>
    <row r="177" spans="1:9" ht="28.5" x14ac:dyDescent="0.25">
      <c r="A177" s="58" t="s">
        <v>335</v>
      </c>
      <c r="B177" s="49">
        <v>43727</v>
      </c>
      <c r="C177" s="32" t="s">
        <v>20</v>
      </c>
      <c r="D177" s="44" t="s">
        <v>336</v>
      </c>
      <c r="E177" s="32" t="s">
        <v>32</v>
      </c>
      <c r="F177" s="60">
        <v>3</v>
      </c>
      <c r="G177" s="36"/>
      <c r="H177" s="37">
        <f>ROUND(G177*$E$6,2)</f>
        <v>0</v>
      </c>
      <c r="I177" s="37">
        <f>ROUND(H177*F177,2)</f>
        <v>0</v>
      </c>
    </row>
    <row r="178" spans="1:9" x14ac:dyDescent="0.25">
      <c r="A178" s="58" t="s">
        <v>337</v>
      </c>
      <c r="B178" s="32">
        <v>101632</v>
      </c>
      <c r="C178" s="32" t="s">
        <v>24</v>
      </c>
      <c r="D178" s="44" t="s">
        <v>338</v>
      </c>
      <c r="E178" s="32" t="s">
        <v>32</v>
      </c>
      <c r="F178" s="77">
        <v>2</v>
      </c>
      <c r="G178" s="36"/>
      <c r="H178" s="37">
        <f t="shared" si="20"/>
        <v>0</v>
      </c>
      <c r="I178" s="37">
        <f t="shared" si="21"/>
        <v>0</v>
      </c>
    </row>
    <row r="179" spans="1:9" x14ac:dyDescent="0.25">
      <c r="A179" s="58" t="s">
        <v>339</v>
      </c>
      <c r="B179" s="32">
        <v>43526</v>
      </c>
      <c r="C179" s="32" t="s">
        <v>20</v>
      </c>
      <c r="D179" s="44" t="s">
        <v>340</v>
      </c>
      <c r="E179" s="32" t="s">
        <v>32</v>
      </c>
      <c r="F179" s="60">
        <v>1</v>
      </c>
      <c r="G179" s="36"/>
      <c r="H179" s="37">
        <f t="shared" si="20"/>
        <v>0</v>
      </c>
      <c r="I179" s="37">
        <f t="shared" si="21"/>
        <v>0</v>
      </c>
    </row>
    <row r="180" spans="1:9" x14ac:dyDescent="0.25">
      <c r="A180" s="58" t="s">
        <v>341</v>
      </c>
      <c r="B180" s="32">
        <v>97599</v>
      </c>
      <c r="C180" s="32" t="s">
        <v>24</v>
      </c>
      <c r="D180" s="44" t="s">
        <v>342</v>
      </c>
      <c r="E180" s="32" t="s">
        <v>32</v>
      </c>
      <c r="F180" s="60">
        <v>11</v>
      </c>
      <c r="G180" s="36"/>
      <c r="H180" s="37">
        <f t="shared" si="20"/>
        <v>0</v>
      </c>
      <c r="I180" s="37">
        <f t="shared" si="21"/>
        <v>0</v>
      </c>
    </row>
    <row r="181" spans="1:9" x14ac:dyDescent="0.25">
      <c r="A181" s="58" t="s">
        <v>343</v>
      </c>
      <c r="B181" s="32">
        <v>43729</v>
      </c>
      <c r="C181" s="32" t="s">
        <v>20</v>
      </c>
      <c r="D181" s="44" t="s">
        <v>344</v>
      </c>
      <c r="E181" s="32" t="s">
        <v>32</v>
      </c>
      <c r="F181" s="60">
        <v>8</v>
      </c>
      <c r="G181" s="36"/>
      <c r="H181" s="37">
        <f t="shared" si="20"/>
        <v>0</v>
      </c>
      <c r="I181" s="37">
        <f t="shared" si="21"/>
        <v>0</v>
      </c>
    </row>
    <row r="182" spans="1:9" x14ac:dyDescent="0.25">
      <c r="A182" s="58" t="s">
        <v>345</v>
      </c>
      <c r="B182" s="32">
        <v>43723</v>
      </c>
      <c r="C182" s="32" t="s">
        <v>20</v>
      </c>
      <c r="D182" s="44" t="s">
        <v>346</v>
      </c>
      <c r="E182" s="32" t="s">
        <v>32</v>
      </c>
      <c r="F182" s="60">
        <v>1</v>
      </c>
      <c r="G182" s="36"/>
      <c r="H182" s="37">
        <f t="shared" si="20"/>
        <v>0</v>
      </c>
      <c r="I182" s="37">
        <f t="shared" si="21"/>
        <v>0</v>
      </c>
    </row>
    <row r="183" spans="1:9" ht="28.5" x14ac:dyDescent="0.25">
      <c r="A183" s="58" t="s">
        <v>347</v>
      </c>
      <c r="B183" s="49">
        <v>40103</v>
      </c>
      <c r="C183" s="32" t="s">
        <v>20</v>
      </c>
      <c r="D183" s="44" t="s">
        <v>348</v>
      </c>
      <c r="E183" s="32" t="s">
        <v>32</v>
      </c>
      <c r="F183" s="60">
        <v>1</v>
      </c>
      <c r="G183" s="36"/>
      <c r="H183" s="37">
        <f t="shared" si="20"/>
        <v>0</v>
      </c>
      <c r="I183" s="37">
        <f t="shared" si="21"/>
        <v>0</v>
      </c>
    </row>
    <row r="184" spans="1:9" x14ac:dyDescent="0.25">
      <c r="A184" s="58" t="s">
        <v>349</v>
      </c>
      <c r="B184" s="32">
        <v>40192</v>
      </c>
      <c r="C184" s="32" t="s">
        <v>20</v>
      </c>
      <c r="D184" s="44" t="s">
        <v>350</v>
      </c>
      <c r="E184" s="32" t="s">
        <v>32</v>
      </c>
      <c r="F184" s="60">
        <v>1</v>
      </c>
      <c r="G184" s="36"/>
      <c r="H184" s="37">
        <f t="shared" si="20"/>
        <v>0</v>
      </c>
      <c r="I184" s="37">
        <f t="shared" si="21"/>
        <v>0</v>
      </c>
    </row>
    <row r="185" spans="1:9" x14ac:dyDescent="0.25">
      <c r="A185" s="68" t="s">
        <v>351</v>
      </c>
      <c r="B185" s="69"/>
      <c r="C185" s="69"/>
      <c r="D185" s="69"/>
      <c r="E185" s="69"/>
      <c r="F185" s="69"/>
      <c r="G185" s="70"/>
      <c r="H185" s="41"/>
      <c r="I185" s="41">
        <f>SUM(I159:I184)</f>
        <v>0</v>
      </c>
    </row>
    <row r="187" spans="1:9" x14ac:dyDescent="0.25">
      <c r="A187" s="55" t="s">
        <v>352</v>
      </c>
      <c r="B187" s="56"/>
      <c r="C187" s="57"/>
      <c r="D187" s="31" t="s">
        <v>353</v>
      </c>
      <c r="E187" s="31"/>
      <c r="F187" s="31"/>
      <c r="G187" s="31"/>
      <c r="H187" s="31"/>
      <c r="I187" s="31"/>
    </row>
    <row r="188" spans="1:9" x14ac:dyDescent="0.25">
      <c r="A188" s="58" t="s">
        <v>354</v>
      </c>
      <c r="B188" s="32">
        <v>88415</v>
      </c>
      <c r="C188" s="49" t="s">
        <v>24</v>
      </c>
      <c r="D188" s="44" t="s">
        <v>355</v>
      </c>
      <c r="E188" s="32" t="s">
        <v>22</v>
      </c>
      <c r="F188" s="60">
        <f>F59</f>
        <v>1828.68</v>
      </c>
      <c r="G188" s="36"/>
      <c r="H188" s="37">
        <f>ROUND(G188*$E$6,2)</f>
        <v>0</v>
      </c>
      <c r="I188" s="37">
        <f>ROUND(H188*F188,2)</f>
        <v>0</v>
      </c>
    </row>
    <row r="189" spans="1:9" ht="28.5" x14ac:dyDescent="0.25">
      <c r="A189" s="58" t="s">
        <v>356</v>
      </c>
      <c r="B189" s="32">
        <v>88489</v>
      </c>
      <c r="C189" s="49" t="s">
        <v>24</v>
      </c>
      <c r="D189" s="44" t="s">
        <v>357</v>
      </c>
      <c r="E189" s="32" t="s">
        <v>22</v>
      </c>
      <c r="F189" s="60">
        <f>F188</f>
        <v>1828.68</v>
      </c>
      <c r="G189" s="36"/>
      <c r="H189" s="37">
        <f>ROUND(G189*$E$6,2)</f>
        <v>0</v>
      </c>
      <c r="I189" s="37">
        <f>ROUND(H189*F189,2)</f>
        <v>0</v>
      </c>
    </row>
    <row r="190" spans="1:9" ht="28.5" x14ac:dyDescent="0.25">
      <c r="A190" s="58" t="s">
        <v>358</v>
      </c>
      <c r="B190" s="32">
        <v>102228</v>
      </c>
      <c r="C190" s="32" t="s">
        <v>24</v>
      </c>
      <c r="D190" s="59" t="s">
        <v>359</v>
      </c>
      <c r="E190" s="32" t="s">
        <v>22</v>
      </c>
      <c r="F190" s="45">
        <f>F84*0.2</f>
        <v>10.368000000000002</v>
      </c>
      <c r="G190" s="36"/>
      <c r="H190" s="37">
        <f>ROUND(G190*$E$6,2)</f>
        <v>0</v>
      </c>
      <c r="I190" s="37">
        <f>ROUND(H190*F190,2)</f>
        <v>0</v>
      </c>
    </row>
    <row r="191" spans="1:9" ht="28.5" x14ac:dyDescent="0.25">
      <c r="A191" s="58" t="s">
        <v>360</v>
      </c>
      <c r="B191" s="32">
        <v>100757</v>
      </c>
      <c r="C191" s="32" t="s">
        <v>24</v>
      </c>
      <c r="D191" s="43" t="s">
        <v>361</v>
      </c>
      <c r="E191" s="78" t="s">
        <v>22</v>
      </c>
      <c r="F191" s="79">
        <f>(12.5+12.42)*1+(1.45*2)+F97</f>
        <v>59.32</v>
      </c>
      <c r="G191" s="36"/>
      <c r="H191" s="37">
        <f>ROUND(G191*$E$6,2)</f>
        <v>0</v>
      </c>
      <c r="I191" s="37">
        <f>ROUND(H191*F191,2)</f>
        <v>0</v>
      </c>
    </row>
    <row r="192" spans="1:9" x14ac:dyDescent="0.25">
      <c r="A192" s="68" t="s">
        <v>362</v>
      </c>
      <c r="B192" s="69"/>
      <c r="C192" s="69"/>
      <c r="D192" s="69"/>
      <c r="E192" s="69"/>
      <c r="F192" s="69"/>
      <c r="G192" s="70"/>
      <c r="H192" s="41"/>
      <c r="I192" s="41">
        <f>SUM(I188:I191)</f>
        <v>0</v>
      </c>
    </row>
    <row r="194" spans="1:9" x14ac:dyDescent="0.25">
      <c r="A194" s="55" t="s">
        <v>363</v>
      </c>
      <c r="B194" s="56"/>
      <c r="C194" s="57"/>
      <c r="D194" s="31" t="s">
        <v>364</v>
      </c>
      <c r="E194" s="31"/>
      <c r="F194" s="31"/>
      <c r="G194" s="31"/>
      <c r="H194" s="31"/>
      <c r="I194" s="31"/>
    </row>
    <row r="195" spans="1:9" ht="28.5" x14ac:dyDescent="0.25">
      <c r="A195" s="58" t="s">
        <v>365</v>
      </c>
      <c r="B195" s="32">
        <v>43765</v>
      </c>
      <c r="C195" s="32" t="s">
        <v>20</v>
      </c>
      <c r="D195" s="44" t="s">
        <v>366</v>
      </c>
      <c r="E195" s="32" t="s">
        <v>32</v>
      </c>
      <c r="F195" s="75">
        <v>1</v>
      </c>
      <c r="G195" s="36"/>
      <c r="H195" s="37">
        <f t="shared" ref="H195:H206" si="22">ROUND(G195*$E$6,2)</f>
        <v>0</v>
      </c>
      <c r="I195" s="37">
        <f t="shared" ref="I195:I206" si="23">ROUND(H195*F195,2)</f>
        <v>0</v>
      </c>
    </row>
    <row r="196" spans="1:9" x14ac:dyDescent="0.25">
      <c r="A196" s="58" t="s">
        <v>367</v>
      </c>
      <c r="B196" s="32">
        <v>101908</v>
      </c>
      <c r="C196" s="32" t="s">
        <v>24</v>
      </c>
      <c r="D196" s="44" t="s">
        <v>368</v>
      </c>
      <c r="E196" s="32" t="s">
        <v>32</v>
      </c>
      <c r="F196" s="75">
        <v>5</v>
      </c>
      <c r="G196" s="36"/>
      <c r="H196" s="37">
        <f t="shared" si="22"/>
        <v>0</v>
      </c>
      <c r="I196" s="37">
        <f t="shared" si="23"/>
        <v>0</v>
      </c>
    </row>
    <row r="197" spans="1:9" x14ac:dyDescent="0.25">
      <c r="A197" s="58" t="s">
        <v>369</v>
      </c>
      <c r="B197" s="80">
        <v>40171</v>
      </c>
      <c r="C197" s="80" t="s">
        <v>20</v>
      </c>
      <c r="D197" s="81" t="s">
        <v>370</v>
      </c>
      <c r="E197" s="32" t="s">
        <v>32</v>
      </c>
      <c r="F197" s="51">
        <v>30</v>
      </c>
      <c r="G197" s="82"/>
      <c r="H197" s="37">
        <f t="shared" si="22"/>
        <v>0</v>
      </c>
      <c r="I197" s="37">
        <f t="shared" si="23"/>
        <v>0</v>
      </c>
    </row>
    <row r="198" spans="1:9" x14ac:dyDescent="0.25">
      <c r="A198" s="58" t="s">
        <v>371</v>
      </c>
      <c r="B198" s="32">
        <v>40172</v>
      </c>
      <c r="C198" s="32" t="s">
        <v>20</v>
      </c>
      <c r="D198" s="44" t="s">
        <v>372</v>
      </c>
      <c r="E198" s="32" t="s">
        <v>32</v>
      </c>
      <c r="F198" s="51">
        <v>1</v>
      </c>
      <c r="G198" s="83"/>
      <c r="H198" s="37">
        <f t="shared" si="22"/>
        <v>0</v>
      </c>
      <c r="I198" s="37">
        <f t="shared" si="23"/>
        <v>0</v>
      </c>
    </row>
    <row r="199" spans="1:9" x14ac:dyDescent="0.25">
      <c r="A199" s="58" t="s">
        <v>373</v>
      </c>
      <c r="B199" s="32">
        <v>43700</v>
      </c>
      <c r="C199" s="32" t="s">
        <v>20</v>
      </c>
      <c r="D199" s="44" t="s">
        <v>374</v>
      </c>
      <c r="E199" s="32" t="s">
        <v>32</v>
      </c>
      <c r="F199" s="51">
        <v>8</v>
      </c>
      <c r="G199" s="83"/>
      <c r="H199" s="37">
        <f t="shared" si="22"/>
        <v>0</v>
      </c>
      <c r="I199" s="37">
        <f t="shared" si="23"/>
        <v>0</v>
      </c>
    </row>
    <row r="200" spans="1:9" x14ac:dyDescent="0.25">
      <c r="A200" s="58" t="s">
        <v>375</v>
      </c>
      <c r="B200" s="32">
        <v>43702</v>
      </c>
      <c r="C200" s="32" t="s">
        <v>20</v>
      </c>
      <c r="D200" s="44" t="s">
        <v>376</v>
      </c>
      <c r="E200" s="32" t="s">
        <v>47</v>
      </c>
      <c r="F200" s="51">
        <f>8.6+1.5+1.5</f>
        <v>11.6</v>
      </c>
      <c r="G200" s="83"/>
      <c r="H200" s="37">
        <f t="shared" si="22"/>
        <v>0</v>
      </c>
      <c r="I200" s="37">
        <f t="shared" si="23"/>
        <v>0</v>
      </c>
    </row>
    <row r="201" spans="1:9" x14ac:dyDescent="0.25">
      <c r="A201" s="58" t="s">
        <v>377</v>
      </c>
      <c r="B201" s="32">
        <v>43704</v>
      </c>
      <c r="C201" s="32" t="s">
        <v>20</v>
      </c>
      <c r="D201" s="44" t="s">
        <v>378</v>
      </c>
      <c r="E201" s="32" t="s">
        <v>32</v>
      </c>
      <c r="F201" s="75">
        <v>6</v>
      </c>
      <c r="G201" s="83"/>
      <c r="H201" s="37">
        <f t="shared" si="22"/>
        <v>0</v>
      </c>
      <c r="I201" s="37">
        <f t="shared" si="23"/>
        <v>0</v>
      </c>
    </row>
    <row r="202" spans="1:9" x14ac:dyDescent="0.25">
      <c r="A202" s="58" t="s">
        <v>379</v>
      </c>
      <c r="B202" s="32">
        <v>40193</v>
      </c>
      <c r="C202" s="32" t="s">
        <v>20</v>
      </c>
      <c r="D202" s="59" t="s">
        <v>380</v>
      </c>
      <c r="E202" s="32" t="s">
        <v>47</v>
      </c>
      <c r="F202" s="51">
        <f>34.39+23.46+34.22</f>
        <v>92.07</v>
      </c>
      <c r="G202" s="83"/>
      <c r="H202" s="37">
        <f>ROUND(G202*$E$6,2)</f>
        <v>0</v>
      </c>
      <c r="I202" s="37">
        <f>ROUND(H202*F202,2)</f>
        <v>0</v>
      </c>
    </row>
    <row r="203" spans="1:9" x14ac:dyDescent="0.25">
      <c r="A203" s="58" t="s">
        <v>381</v>
      </c>
      <c r="B203" s="49">
        <v>101965</v>
      </c>
      <c r="C203" s="78" t="s">
        <v>24</v>
      </c>
      <c r="D203" s="43" t="s">
        <v>382</v>
      </c>
      <c r="E203" s="32" t="s">
        <v>47</v>
      </c>
      <c r="F203" s="51">
        <v>63.7</v>
      </c>
      <c r="G203" s="83"/>
      <c r="H203" s="37">
        <f>ROUND(G203*$E$6,2)</f>
        <v>0</v>
      </c>
      <c r="I203" s="37">
        <f>ROUND(H203*F203,2)</f>
        <v>0</v>
      </c>
    </row>
    <row r="204" spans="1:9" x14ac:dyDescent="0.25">
      <c r="A204" s="58" t="s">
        <v>383</v>
      </c>
      <c r="B204" s="49">
        <v>99855</v>
      </c>
      <c r="C204" s="32" t="s">
        <v>24</v>
      </c>
      <c r="D204" s="59" t="s">
        <v>384</v>
      </c>
      <c r="E204" s="32" t="s">
        <v>47</v>
      </c>
      <c r="F204" s="51">
        <f>5.5+12+4.2+4.95</f>
        <v>26.65</v>
      </c>
      <c r="G204" s="83"/>
      <c r="H204" s="37">
        <f>ROUND(G204*$E$6,2)</f>
        <v>0</v>
      </c>
      <c r="I204" s="37">
        <f>ROUND(H204*F204,2)</f>
        <v>0</v>
      </c>
    </row>
    <row r="205" spans="1:9" x14ac:dyDescent="0.25">
      <c r="A205" s="58" t="s">
        <v>385</v>
      </c>
      <c r="B205" s="49">
        <v>40220</v>
      </c>
      <c r="C205" s="32" t="s">
        <v>20</v>
      </c>
      <c r="D205" s="59" t="s">
        <v>386</v>
      </c>
      <c r="E205" s="32" t="s">
        <v>47</v>
      </c>
      <c r="F205" s="51">
        <f>5.5+7</f>
        <v>12.5</v>
      </c>
      <c r="G205" s="83"/>
      <c r="H205" s="37">
        <f>ROUND(G205*$E$6,2)</f>
        <v>0</v>
      </c>
      <c r="I205" s="37">
        <f>ROUND(H205*F205,2)</f>
        <v>0</v>
      </c>
    </row>
    <row r="206" spans="1:9" x14ac:dyDescent="0.25">
      <c r="A206" s="58" t="s">
        <v>387</v>
      </c>
      <c r="B206" s="32">
        <v>42846</v>
      </c>
      <c r="C206" s="32" t="s">
        <v>20</v>
      </c>
      <c r="D206" s="44" t="s">
        <v>388</v>
      </c>
      <c r="E206" s="32" t="s">
        <v>22</v>
      </c>
      <c r="F206" s="75">
        <f>F17</f>
        <v>424.2</v>
      </c>
      <c r="G206" s="36"/>
      <c r="H206" s="37">
        <f t="shared" si="22"/>
        <v>0</v>
      </c>
      <c r="I206" s="37">
        <f t="shared" si="23"/>
        <v>0</v>
      </c>
    </row>
    <row r="207" spans="1:9" x14ac:dyDescent="0.25">
      <c r="A207" s="68" t="s">
        <v>389</v>
      </c>
      <c r="B207" s="69"/>
      <c r="C207" s="69"/>
      <c r="D207" s="69"/>
      <c r="E207" s="69"/>
      <c r="F207" s="69"/>
      <c r="G207" s="70"/>
      <c r="H207" s="41"/>
      <c r="I207" s="41">
        <f>SUM(I195:I206)</f>
        <v>0</v>
      </c>
    </row>
    <row r="209" spans="1:9" x14ac:dyDescent="0.25">
      <c r="A209" s="68" t="s">
        <v>390</v>
      </c>
      <c r="B209" s="69"/>
      <c r="C209" s="69"/>
      <c r="D209" s="69"/>
      <c r="E209" s="69"/>
      <c r="F209" s="69"/>
      <c r="G209" s="69"/>
      <c r="H209" s="70"/>
      <c r="I209" s="41">
        <f>SUM(I23,I31,I38,I46,I51,I63,I75,I86,I110,I116,I156,I185,I192,I207)</f>
        <v>0</v>
      </c>
    </row>
    <row r="210" spans="1:9" x14ac:dyDescent="0.25">
      <c r="A210" s="84" t="s">
        <v>391</v>
      </c>
      <c r="B210" s="85"/>
      <c r="C210" s="85"/>
      <c r="D210" s="85"/>
      <c r="E210" s="85"/>
      <c r="F210" s="85"/>
      <c r="G210" s="85"/>
      <c r="H210" s="85"/>
      <c r="I210" s="86"/>
    </row>
    <row r="211" spans="1:9" x14ac:dyDescent="0.25">
      <c r="A211" s="87"/>
      <c r="B211" s="88"/>
      <c r="C211" s="88"/>
      <c r="D211" s="88"/>
      <c r="E211" s="88"/>
      <c r="F211" s="88"/>
      <c r="G211" s="88"/>
      <c r="H211" s="88"/>
      <c r="I211" s="89"/>
    </row>
    <row r="214" spans="1:9" x14ac:dyDescent="0.25">
      <c r="C214" s="90"/>
    </row>
    <row r="217" spans="1:9" x14ac:dyDescent="0.25">
      <c r="D217" t="s">
        <v>392</v>
      </c>
      <c r="G217" t="s">
        <v>393</v>
      </c>
    </row>
    <row r="218" spans="1:9" x14ac:dyDescent="0.25">
      <c r="D218" t="s">
        <v>394</v>
      </c>
      <c r="G218" t="s">
        <v>395</v>
      </c>
    </row>
    <row r="219" spans="1:9" x14ac:dyDescent="0.25">
      <c r="G219" t="s">
        <v>396</v>
      </c>
    </row>
  </sheetData>
  <mergeCells count="73">
    <mergeCell ref="A192:G192"/>
    <mergeCell ref="B194:C194"/>
    <mergeCell ref="D194:I194"/>
    <mergeCell ref="A207:G207"/>
    <mergeCell ref="A209:H209"/>
    <mergeCell ref="A210:I211"/>
    <mergeCell ref="A155:G155"/>
    <mergeCell ref="A156:G156"/>
    <mergeCell ref="B158:C158"/>
    <mergeCell ref="D158:I158"/>
    <mergeCell ref="A185:G185"/>
    <mergeCell ref="B187:C187"/>
    <mergeCell ref="D187:I187"/>
    <mergeCell ref="A129:G129"/>
    <mergeCell ref="B130:C130"/>
    <mergeCell ref="D130:I130"/>
    <mergeCell ref="A135:G135"/>
    <mergeCell ref="B136:C136"/>
    <mergeCell ref="D136:I136"/>
    <mergeCell ref="B112:C112"/>
    <mergeCell ref="D112:I112"/>
    <mergeCell ref="A116:G116"/>
    <mergeCell ref="B118:C118"/>
    <mergeCell ref="D118:I118"/>
    <mergeCell ref="B119:C119"/>
    <mergeCell ref="D119:I119"/>
    <mergeCell ref="B77:C77"/>
    <mergeCell ref="D77:I77"/>
    <mergeCell ref="A86:G86"/>
    <mergeCell ref="B88:C88"/>
    <mergeCell ref="D88:I88"/>
    <mergeCell ref="A110:G110"/>
    <mergeCell ref="B53:C53"/>
    <mergeCell ref="D53:I53"/>
    <mergeCell ref="A63:G63"/>
    <mergeCell ref="B65:C65"/>
    <mergeCell ref="D65:I65"/>
    <mergeCell ref="A75:G75"/>
    <mergeCell ref="B40:C40"/>
    <mergeCell ref="D40:I40"/>
    <mergeCell ref="A46:G46"/>
    <mergeCell ref="B48:C48"/>
    <mergeCell ref="D48:I48"/>
    <mergeCell ref="A51:G51"/>
    <mergeCell ref="B25:C25"/>
    <mergeCell ref="D25:I25"/>
    <mergeCell ref="A31:G31"/>
    <mergeCell ref="B33:C33"/>
    <mergeCell ref="D33:I33"/>
    <mergeCell ref="A38:G38"/>
    <mergeCell ref="G7:G8"/>
    <mergeCell ref="H7:H8"/>
    <mergeCell ref="I7:I8"/>
    <mergeCell ref="B9:C9"/>
    <mergeCell ref="D9:I9"/>
    <mergeCell ref="A23:G23"/>
    <mergeCell ref="E6:F6"/>
    <mergeCell ref="A7:A8"/>
    <mergeCell ref="B7:B8"/>
    <mergeCell ref="C7:C8"/>
    <mergeCell ref="D7:D8"/>
    <mergeCell ref="E7:E8"/>
    <mergeCell ref="F7:F8"/>
    <mergeCell ref="C1:D2"/>
    <mergeCell ref="A3:I3"/>
    <mergeCell ref="A4:D4"/>
    <mergeCell ref="E4:F4"/>
    <mergeCell ref="H4:I4"/>
    <mergeCell ref="A5:D5"/>
    <mergeCell ref="E5:F5"/>
    <mergeCell ref="G5:G6"/>
    <mergeCell ref="H5:I6"/>
    <mergeCell ref="A6:D6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38100</xdr:rowOff>
              </from>
              <to>
                <xdr:col>1</xdr:col>
                <xdr:colOff>180975</xdr:colOff>
                <xdr:row>1</xdr:row>
                <xdr:rowOff>428625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Gastão Lopes Carsten</dc:creator>
  <cp:lastModifiedBy>Gastão Lopes Carsten</cp:lastModifiedBy>
  <dcterms:created xsi:type="dcterms:W3CDTF">2023-08-03T14:40:02Z</dcterms:created>
  <dcterms:modified xsi:type="dcterms:W3CDTF">2023-08-03T14:41:12Z</dcterms:modified>
</cp:coreProperties>
</file>