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LICITAÇÃO-\2023\COLETA-CONVENCIONAL\PROCESSO\NOVA-PUBLICAÇÃO\"/>
    </mc:Choice>
  </mc:AlternateContent>
  <bookViews>
    <workbookView xWindow="0" yWindow="0" windowWidth="7470" windowHeight="2955" tabRatio="802" activeTab="1"/>
  </bookViews>
  <sheets>
    <sheet name="RESUMO" sheetId="10" r:id="rId1"/>
    <sheet name="1. Coleta Domiciliar" sheetId="2" r:id="rId2"/>
    <sheet name="2.Encargos Sociais" sheetId="8" r:id="rId3"/>
    <sheet name="3.CAGED" sheetId="5" r:id="rId4"/>
    <sheet name="4.BDI" sheetId="4" r:id="rId5"/>
    <sheet name="5. Depreciação" sheetId="6" r:id="rId6"/>
    <sheet name="6.Remuneração de capital" sheetId="7" r:id="rId7"/>
    <sheet name="7. Dimensionamento" sheetId="9" r:id="rId8"/>
  </sheets>
  <externalReferences>
    <externalReference r:id="rId9"/>
  </externalReferences>
  <definedNames>
    <definedName name="AbaDeprec">'5. Depreciação'!$B$2</definedName>
    <definedName name="AbaRemun">'6.Remuneração de capital'!$B$2</definedName>
    <definedName name="_xlnm.Print_Area" localSheetId="1">'1. Coleta Domiciliar'!$B$2:$G$364</definedName>
    <definedName name="_xlnm.Print_Area" localSheetId="0">RESUMO!$B$2:$I$4</definedName>
    <definedName name="_xlnm.Print_Titles" localSheetId="1">'1. Coleta Domiciliar'!$2:$9</definedName>
    <definedName name="_xlnm.Print_Titles" localSheetId="0">RESUMO!$2:$4</definedName>
  </definedNames>
  <calcPr calcId="152511"/>
</workbook>
</file>

<file path=xl/calcChain.xml><?xml version="1.0" encoding="utf-8"?>
<calcChain xmlns="http://schemas.openxmlformats.org/spreadsheetml/2006/main">
  <c r="I4" i="10" l="1"/>
  <c r="I3" i="10"/>
  <c r="H4" i="10" l="1"/>
  <c r="D81" i="2" l="1"/>
  <c r="D274" i="2" l="1"/>
  <c r="C5" i="5" l="1"/>
  <c r="D188" i="2"/>
  <c r="D195" i="2"/>
  <c r="D223" i="2"/>
  <c r="B15" i="2"/>
  <c r="B14" i="2"/>
  <c r="B13" i="2"/>
  <c r="B12" i="2"/>
  <c r="B40" i="2" s="1"/>
  <c r="F44" i="2"/>
  <c r="B43" i="2"/>
  <c r="B42" i="2"/>
  <c r="B41" i="2"/>
  <c r="D202" i="2"/>
  <c r="F202" i="2" s="1"/>
  <c r="D186" i="2"/>
  <c r="D187" i="2"/>
  <c r="F195" i="2"/>
  <c r="D194" i="2"/>
  <c r="D193" i="2"/>
  <c r="D236" i="2"/>
  <c r="F327" i="2"/>
  <c r="F328" i="2"/>
  <c r="F329" i="2"/>
  <c r="D336" i="2"/>
  <c r="B47" i="2"/>
  <c r="E294" i="2"/>
  <c r="F326" i="2" l="1"/>
  <c r="F179" i="2" l="1"/>
  <c r="D176" i="2"/>
  <c r="E171" i="2"/>
  <c r="F171" i="2" s="1"/>
  <c r="E170" i="2"/>
  <c r="F170" i="2" s="1"/>
  <c r="F168" i="2"/>
  <c r="F165" i="2"/>
  <c r="D162" i="2"/>
  <c r="E157" i="2"/>
  <c r="F157" i="2" s="1"/>
  <c r="E156" i="2"/>
  <c r="F156" i="2" s="1"/>
  <c r="F154" i="2"/>
  <c r="B39" i="2"/>
  <c r="F151" i="2"/>
  <c r="E140" i="2"/>
  <c r="F140" i="2" s="1"/>
  <c r="F136" i="2"/>
  <c r="E127" i="2"/>
  <c r="F127" i="2" s="1"/>
  <c r="B11" i="2"/>
  <c r="B37" i="2"/>
  <c r="E142" i="2" l="1"/>
  <c r="F142" i="2" s="1"/>
  <c r="E143" i="2"/>
  <c r="F143" i="2" s="1"/>
  <c r="E128" i="2"/>
  <c r="F128" i="2" s="1"/>
  <c r="E129" i="2" s="1"/>
  <c r="F129" i="2" s="1"/>
  <c r="E172" i="2"/>
  <c r="F172" i="2" s="1"/>
  <c r="E158" i="2"/>
  <c r="F158" i="2" s="1"/>
  <c r="E160" i="2" s="1"/>
  <c r="F160" i="2" s="1"/>
  <c r="E144" i="2"/>
  <c r="F144" i="2" s="1"/>
  <c r="F125" i="2"/>
  <c r="E174" i="2" l="1"/>
  <c r="F174" i="2" s="1"/>
  <c r="F175" i="2" s="1"/>
  <c r="F161" i="2"/>
  <c r="E176" i="2" l="1"/>
  <c r="F176" i="2" s="1"/>
  <c r="F177" i="2" s="1"/>
  <c r="E178" i="2" s="1"/>
  <c r="F178" i="2" s="1"/>
  <c r="G179" i="2" s="1"/>
  <c r="F15" i="2" s="1"/>
  <c r="E162" i="2"/>
  <c r="F162" i="2" s="1"/>
  <c r="F163" i="2" s="1"/>
  <c r="E164" i="2" s="1"/>
  <c r="F164" i="2" s="1"/>
  <c r="G165" i="2" s="1"/>
  <c r="F14" i="2" s="1"/>
  <c r="D76" i="2" l="1"/>
  <c r="B48" i="2"/>
  <c r="F67" i="2" l="1"/>
  <c r="E59" i="2"/>
  <c r="C14" i="9" l="1"/>
  <c r="C18" i="5" l="1"/>
  <c r="D280" i="2" l="1"/>
  <c r="D279" i="2"/>
  <c r="D281" i="2"/>
  <c r="B30" i="2" l="1"/>
  <c r="B29" i="2"/>
  <c r="B28" i="2"/>
  <c r="B20" i="2"/>
  <c r="B19" i="2"/>
  <c r="B7" i="2"/>
  <c r="C6" i="9" l="1"/>
  <c r="C7" i="9" s="1"/>
  <c r="C8" i="9" l="1"/>
  <c r="C10" i="9"/>
  <c r="C15" i="9" s="1"/>
  <c r="C17" i="9" s="1"/>
  <c r="D269" i="2" l="1"/>
  <c r="E299" i="2"/>
  <c r="E297" i="2"/>
  <c r="E295" i="2"/>
  <c r="E293" i="2"/>
  <c r="E229" i="2" l="1"/>
  <c r="F229" i="2" s="1"/>
  <c r="F213" i="2"/>
  <c r="F214" i="2"/>
  <c r="F215" i="2"/>
  <c r="F216" i="2"/>
  <c r="F217" i="2"/>
  <c r="F218" i="2"/>
  <c r="F219" i="2"/>
  <c r="F220" i="2"/>
  <c r="F221" i="2"/>
  <c r="F212" i="2"/>
  <c r="E60" i="2" l="1"/>
  <c r="F60" i="2" s="1"/>
  <c r="F59" i="2"/>
  <c r="E92" i="2"/>
  <c r="F92" i="2" s="1"/>
  <c r="D111" i="2"/>
  <c r="E61" i="2" l="1"/>
  <c r="F61" i="2" s="1"/>
  <c r="D114" i="2"/>
  <c r="E93" i="2"/>
  <c r="F93" i="2" s="1"/>
  <c r="E94" i="2" s="1"/>
  <c r="F94" i="2" s="1"/>
  <c r="D79" i="2"/>
  <c r="D314" i="2" l="1"/>
  <c r="E106" i="2"/>
  <c r="B27" i="2"/>
  <c r="B26" i="2"/>
  <c r="B25" i="2"/>
  <c r="B24" i="2"/>
  <c r="B23" i="2"/>
  <c r="B22" i="2"/>
  <c r="B21" i="2"/>
  <c r="B18" i="2"/>
  <c r="B17" i="2"/>
  <c r="B16" i="2"/>
  <c r="B10" i="2"/>
  <c r="B9" i="2"/>
  <c r="B8" i="2"/>
  <c r="F340" i="2"/>
  <c r="F283" i="2"/>
  <c r="F275" i="2"/>
  <c r="F259" i="2"/>
  <c r="F237" i="2"/>
  <c r="F224" i="2"/>
  <c r="F203" i="2"/>
  <c r="F122" i="2"/>
  <c r="F101" i="2"/>
  <c r="F86" i="2"/>
  <c r="E263" i="2"/>
  <c r="C9" i="4"/>
  <c r="C14" i="4" s="1"/>
  <c r="D349" i="2" s="1"/>
  <c r="F7" i="4"/>
  <c r="E7" i="4"/>
  <c r="D7" i="4"/>
  <c r="C20" i="5"/>
  <c r="D117" i="2"/>
  <c r="D108" i="2"/>
  <c r="E105" i="2"/>
  <c r="E111" i="2" s="1"/>
  <c r="F111" i="2" s="1"/>
  <c r="F90" i="2"/>
  <c r="D312" i="2"/>
  <c r="F312" i="2" s="1"/>
  <c r="D291" i="2"/>
  <c r="E291" i="2"/>
  <c r="E300" i="2" s="1"/>
  <c r="F247" i="2"/>
  <c r="E250" i="2" s="1"/>
  <c r="F250" i="2" s="1"/>
  <c r="E251" i="2" s="1"/>
  <c r="F251" i="2" s="1"/>
  <c r="E268" i="2"/>
  <c r="D73" i="2"/>
  <c r="E71" i="2"/>
  <c r="D338" i="2"/>
  <c r="F338" i="2" s="1"/>
  <c r="E339" i="2" s="1"/>
  <c r="F339" i="2" s="1"/>
  <c r="D252" i="2"/>
  <c r="D268" i="2" s="1"/>
  <c r="E188" i="2"/>
  <c r="B36" i="2"/>
  <c r="B38" i="2"/>
  <c r="F58" i="2"/>
  <c r="E186" i="2" s="1"/>
  <c r="B193" i="2"/>
  <c r="B200" i="2" s="1"/>
  <c r="B194" i="2"/>
  <c r="B201" i="2" s="1"/>
  <c r="F222" i="2"/>
  <c r="E230" i="2"/>
  <c r="F230" i="2" s="1"/>
  <c r="E231" i="2"/>
  <c r="F231" i="2" s="1"/>
  <c r="E232" i="2"/>
  <c r="F232" i="2" s="1"/>
  <c r="E233" i="2"/>
  <c r="F233" i="2" s="1"/>
  <c r="E234" i="2"/>
  <c r="F234" i="2" s="1"/>
  <c r="F235" i="2"/>
  <c r="F310" i="2"/>
  <c r="F281" i="2"/>
  <c r="F280" i="2"/>
  <c r="F323" i="2"/>
  <c r="F324" i="2"/>
  <c r="F325" i="2"/>
  <c r="D293" i="2" l="1"/>
  <c r="F293" i="2" s="1"/>
  <c r="F291" i="2"/>
  <c r="E96" i="2"/>
  <c r="E187" i="2"/>
  <c r="F188" i="2"/>
  <c r="G329" i="2"/>
  <c r="G331" i="2" s="1"/>
  <c r="F28" i="2" s="1"/>
  <c r="F96" i="2"/>
  <c r="F97" i="2" s="1"/>
  <c r="E146" i="2"/>
  <c r="F146" i="2" s="1"/>
  <c r="F147" i="2" s="1"/>
  <c r="E148" i="2" s="1"/>
  <c r="F148" i="2" s="1"/>
  <c r="F149" i="2" s="1"/>
  <c r="E150" i="2" s="1"/>
  <c r="F150" i="2" s="1"/>
  <c r="G151" i="2" s="1"/>
  <c r="F13" i="2" s="1"/>
  <c r="E131" i="2"/>
  <c r="F131" i="2" s="1"/>
  <c r="F132" i="2" s="1"/>
  <c r="E133" i="2" s="1"/>
  <c r="F133" i="2" s="1"/>
  <c r="F134" i="2" s="1"/>
  <c r="E135" i="2" s="1"/>
  <c r="F135" i="2" s="1"/>
  <c r="G136" i="2" s="1"/>
  <c r="F12" i="2" s="1"/>
  <c r="F187" i="2"/>
  <c r="C22" i="5"/>
  <c r="C23" i="5" s="1"/>
  <c r="C21" i="5"/>
  <c r="E279" i="2"/>
  <c r="E79" i="2"/>
  <c r="F79" i="2" s="1"/>
  <c r="E74" i="2"/>
  <c r="F74" i="2" s="1"/>
  <c r="F105" i="2"/>
  <c r="E109" i="2"/>
  <c r="F109" i="2" s="1"/>
  <c r="E112" i="2"/>
  <c r="F112" i="2" s="1"/>
  <c r="E114" i="2"/>
  <c r="F114" i="2" s="1"/>
  <c r="E108" i="2"/>
  <c r="F108" i="2" s="1"/>
  <c r="E77" i="2"/>
  <c r="F77" i="2" s="1"/>
  <c r="E76" i="2"/>
  <c r="F76" i="2" s="1"/>
  <c r="D297" i="2"/>
  <c r="F297" i="2" s="1"/>
  <c r="E73" i="2"/>
  <c r="F73" i="2" s="1"/>
  <c r="D299" i="2"/>
  <c r="F299" i="2" s="1"/>
  <c r="F194" i="2"/>
  <c r="F71" i="2"/>
  <c r="F252" i="2"/>
  <c r="D270" i="2" s="1"/>
  <c r="E223" i="2"/>
  <c r="F193" i="2"/>
  <c r="D200" i="2"/>
  <c r="F200" i="2" s="1"/>
  <c r="F186" i="2"/>
  <c r="F268" i="2"/>
  <c r="D201" i="2"/>
  <c r="F201" i="2" s="1"/>
  <c r="E62" i="2"/>
  <c r="F62" i="2" s="1"/>
  <c r="F63" i="2" s="1"/>
  <c r="E64" i="2" s="1"/>
  <c r="D295" i="2"/>
  <c r="F295" i="2" s="1"/>
  <c r="D305" i="2"/>
  <c r="F305" i="2" s="1"/>
  <c r="G306" i="2" s="1"/>
  <c r="F26" i="2" s="1"/>
  <c r="F336" i="2"/>
  <c r="E337" i="2" s="1"/>
  <c r="F337" i="2" s="1"/>
  <c r="G340" i="2" s="1"/>
  <c r="G342" i="2" s="1"/>
  <c r="F29" i="2" s="1"/>
  <c r="F263" i="2"/>
  <c r="E313" i="2"/>
  <c r="E236" i="2"/>
  <c r="G203" i="2" l="1"/>
  <c r="F18" i="2" s="1"/>
  <c r="G196" i="2"/>
  <c r="F17" i="2" s="1"/>
  <c r="F313" i="2"/>
  <c r="E314" i="2" s="1"/>
  <c r="F314" i="2" s="1"/>
  <c r="G315" i="2" s="1"/>
  <c r="F27" i="2" s="1"/>
  <c r="G190" i="2"/>
  <c r="F16" i="2" s="1"/>
  <c r="E98" i="2"/>
  <c r="F98" i="2" s="1"/>
  <c r="F99" i="2" s="1"/>
  <c r="C28" i="5"/>
  <c r="F279" i="2"/>
  <c r="E282" i="2" s="1"/>
  <c r="F282" i="2" s="1"/>
  <c r="G283" i="2" s="1"/>
  <c r="F24" i="2" s="1"/>
  <c r="D265" i="2"/>
  <c r="D266" i="2" s="1"/>
  <c r="E267" i="2" s="1"/>
  <c r="F267" i="2" s="1"/>
  <c r="E80" i="2"/>
  <c r="F80" i="2" s="1"/>
  <c r="E81" i="2" s="1"/>
  <c r="F81" i="2" s="1"/>
  <c r="E115" i="2"/>
  <c r="F115" i="2" s="1"/>
  <c r="E117" i="2" s="1"/>
  <c r="F117" i="2" s="1"/>
  <c r="F236" i="2"/>
  <c r="G237" i="2" s="1"/>
  <c r="F223" i="2"/>
  <c r="G224" i="2" s="1"/>
  <c r="E255" i="2"/>
  <c r="F255" i="2" s="1"/>
  <c r="E256" i="2" s="1"/>
  <c r="F256" i="2" s="1"/>
  <c r="F257" i="2" s="1"/>
  <c r="E258" i="2" s="1"/>
  <c r="F258" i="2" s="1"/>
  <c r="G259" i="2" s="1"/>
  <c r="G301" i="2"/>
  <c r="F25" i="2" s="1"/>
  <c r="F22" i="2" l="1"/>
  <c r="D271" i="2"/>
  <c r="E272" i="2" s="1"/>
  <c r="F272" i="2" s="1"/>
  <c r="F273" i="2" s="1"/>
  <c r="E274" i="2" s="1"/>
  <c r="F274" i="2" s="1"/>
  <c r="G275" i="2" s="1"/>
  <c r="G239" i="2"/>
  <c r="F19" i="2" s="1"/>
  <c r="F118" i="2"/>
  <c r="E119" i="2" s="1"/>
  <c r="F82" i="2"/>
  <c r="E83" i="2" s="1"/>
  <c r="F23" i="2" l="1"/>
  <c r="F21" i="2" s="1"/>
  <c r="G318" i="2"/>
  <c r="F20" i="2" s="1"/>
  <c r="F83" i="2" l="1"/>
  <c r="F64" i="2"/>
  <c r="F119" i="2"/>
  <c r="F120" i="2" s="1"/>
  <c r="E121" i="2" s="1"/>
  <c r="F121" i="2" s="1"/>
  <c r="G122" i="2" s="1"/>
  <c r="F11" i="2" s="1"/>
  <c r="F65" i="2" l="1"/>
  <c r="E66" i="2" s="1"/>
  <c r="F66" i="2" s="1"/>
  <c r="F84" i="2"/>
  <c r="E100" i="2"/>
  <c r="F100" i="2" s="1"/>
  <c r="G101" i="2" s="1"/>
  <c r="F10" i="2" s="1"/>
  <c r="E85" i="2" l="1"/>
  <c r="F85" i="2" s="1"/>
  <c r="G86" i="2" s="1"/>
  <c r="F9" i="2" s="1"/>
  <c r="G67" i="2"/>
  <c r="F8" i="2" l="1"/>
  <c r="G205" i="2"/>
  <c r="G344" i="2" s="1"/>
  <c r="E349" i="2" s="1"/>
  <c r="F349" i="2" s="1"/>
  <c r="G350" i="2" s="1"/>
  <c r="G352" i="2" s="1"/>
  <c r="F30" i="2" s="1"/>
  <c r="F7" i="2" l="1"/>
  <c r="G360" i="2" l="1"/>
  <c r="G13" i="2"/>
  <c r="G14" i="2"/>
  <c r="G15" i="2"/>
  <c r="G11" i="2"/>
  <c r="G12" i="2"/>
  <c r="G7" i="2"/>
  <c r="G29" i="2"/>
  <c r="G26" i="2"/>
  <c r="G28" i="2"/>
  <c r="G9" i="2"/>
  <c r="G10" i="2"/>
  <c r="G19" i="2"/>
  <c r="G21" i="2"/>
  <c r="G25" i="2"/>
  <c r="G8" i="2"/>
  <c r="G22" i="2"/>
  <c r="G18" i="2"/>
  <c r="G23" i="2"/>
  <c r="G17" i="2"/>
  <c r="G20" i="2"/>
  <c r="G24" i="2"/>
  <c r="G27" i="2"/>
  <c r="G16" i="2"/>
  <c r="G30" i="2"/>
  <c r="G3" i="10" l="1"/>
  <c r="G31" i="2"/>
</calcChain>
</file>

<file path=xl/comments1.xml><?xml version="1.0" encoding="utf-8"?>
<comments xmlns="http://schemas.openxmlformats.org/spreadsheetml/2006/main">
  <authors>
    <author>Clauber Bridi</author>
  </authors>
  <commentList>
    <comment ref="B5" authorId="0" shapeId="0">
      <text>
        <r>
          <rPr>
            <sz val="9"/>
            <color indexed="81"/>
            <rFont val="Tahoma"/>
            <family val="2"/>
          </rPr>
          <t>Qualquer custo previsto no edital e não contemplado nesta planilha modelo deverá ser devidamente incluído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51" authorId="0" shapeId="0">
      <text>
        <r>
          <rPr>
            <b/>
            <sz val="9"/>
            <color indexed="81"/>
            <rFont val="Tahoma"/>
            <family val="2"/>
          </rPr>
          <t>Informar o fator de utilização das equipes de coleta. 
Por exemplo:
Equipes com utilização integral = 100%
Equipes com utilização parcial = n° horas trabalhadas por semana /44 horas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52" authorId="0" shapeId="0">
      <text>
        <r>
          <rPr>
            <b/>
            <sz val="9"/>
            <color indexed="81"/>
            <rFont val="Tahoma"/>
            <family val="2"/>
          </rPr>
          <t>Informar o fator de utilização das equipes de coleta. 
Por exemplo:
Equipes com utilização integral = 100%
Equipes com utilização parcial = n° horas trabalhadas por semana /44 horas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58" authorId="0" shapeId="0">
      <text>
        <r>
          <rPr>
            <sz val="9"/>
            <color indexed="81"/>
            <rFont val="Tahoma"/>
            <family val="2"/>
          </rPr>
          <t>Informar o Piso da categoria fixado na Convenção Coletiva</t>
        </r>
      </text>
    </comment>
    <comment ref="D59" authorId="0" shapeId="0">
      <text>
        <r>
          <rPr>
            <sz val="9"/>
            <color indexed="81"/>
            <rFont val="Tahoma"/>
            <family val="2"/>
          </rPr>
          <t>Informar o número de horas extras trabalhadas nos domingos e feriados em horário diurno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60" authorId="0" shapeId="0">
      <text>
        <r>
          <rPr>
            <sz val="9"/>
            <color indexed="81"/>
            <rFont val="Tahoma"/>
            <family val="2"/>
          </rPr>
          <t xml:space="preserve">Informar o número de horas extras trabalhadas em horário diurno de segunda a sábado 
</t>
        </r>
      </text>
    </comment>
    <comment ref="B61" authorId="0" shapeId="0">
      <text>
        <r>
          <rPr>
            <sz val="9"/>
            <color indexed="81"/>
            <rFont val="Tahoma"/>
            <family val="2"/>
          </rPr>
          <t>Cálculo do descanso semanal remunerado incidente sobre as horas extras habitualmente prestadas. Considerada a média de 63 feriados + domingos e 302 dias trabalhados por ano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66" authorId="0" shapeId="0">
      <text>
        <r>
          <rPr>
            <sz val="9"/>
            <color indexed="81"/>
            <rFont val="Tahoma"/>
            <family val="2"/>
          </rPr>
          <t>Informar a quantidade de trabalhadores na função</t>
        </r>
      </text>
    </comment>
    <comment ref="D72" authorId="0" shapeId="0">
      <text>
        <r>
          <rPr>
            <sz val="9"/>
            <color indexed="81"/>
            <rFont val="Tahoma"/>
            <family val="2"/>
          </rPr>
          <t>Informar o número de horas noturnas trabalhadas no intervalo das 22:00h as 5:00h</t>
        </r>
      </text>
    </comment>
    <comment ref="D74" authorId="0" shapeId="0">
      <text>
        <r>
          <rPr>
            <sz val="9"/>
            <color indexed="81"/>
            <rFont val="Tahoma"/>
            <family val="2"/>
          </rPr>
          <t>Informar o número de horas extras trabalhadas em horário diurno nos domingos e feriados</t>
        </r>
      </text>
    </comment>
    <comment ref="D75" authorId="0" shapeId="0">
      <text>
        <r>
          <rPr>
            <sz val="9"/>
            <color indexed="81"/>
            <rFont val="Tahoma"/>
            <family val="2"/>
          </rPr>
          <t xml:space="preserve">Informar o número de horas extras trabalhadas em horário noturno (das 22:00h as 5h) nos domingos e feriados
</t>
        </r>
      </text>
    </comment>
    <comment ref="D77" authorId="0" shapeId="0">
      <text>
        <r>
          <rPr>
            <sz val="9"/>
            <color indexed="81"/>
            <rFont val="Tahoma"/>
            <family val="2"/>
          </rPr>
          <t>Informar o número de horas extras trabalhadas em horário noturno de segunda à sábado</t>
        </r>
      </text>
    </comment>
    <comment ref="D78" authorId="0" shapeId="0">
      <text>
        <r>
          <rPr>
            <sz val="9"/>
            <color indexed="81"/>
            <rFont val="Tahoma"/>
            <family val="2"/>
          </rPr>
          <t>Informar o número de horas extras trabalhadas em horário noturno (das 22:00h as 5h) de segunda a sábado</t>
        </r>
      </text>
    </comment>
    <comment ref="B80" authorId="0" shapeId="0">
      <text>
        <r>
          <rPr>
            <sz val="9"/>
            <color indexed="81"/>
            <rFont val="Tahoma"/>
            <family val="2"/>
          </rPr>
          <t>Cálculo do descanso semanal remunerado incidente sobre as horas extras habitualmente prestadas. Considerados 63 feriados + domingos e 302 dias trabalhados por ano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85" authorId="0" shapeId="0">
      <text>
        <r>
          <rPr>
            <sz val="9"/>
            <color indexed="81"/>
            <rFont val="Tahoma"/>
            <family val="2"/>
          </rPr>
          <t>Informar a quantidade de trabalhadores na função</t>
        </r>
      </text>
    </comment>
    <comment ref="E90" authorId="0" shapeId="0">
      <text>
        <r>
          <rPr>
            <sz val="9"/>
            <color indexed="81"/>
            <rFont val="Tahoma"/>
            <family val="2"/>
          </rPr>
          <t>Informar o Piso da categoria fixado na Convenção Coletiva</t>
        </r>
      </text>
    </comment>
    <comment ref="E91" authorId="0" shapeId="0">
      <text>
        <r>
          <rPr>
            <sz val="9"/>
            <color indexed="81"/>
            <rFont val="Tahoma"/>
            <family val="2"/>
          </rPr>
          <t>Informar o valor do salário Mínimo Nacional</t>
        </r>
      </text>
    </comment>
    <comment ref="D92" authorId="0" shapeId="0">
      <text>
        <r>
          <rPr>
            <sz val="9"/>
            <color indexed="81"/>
            <rFont val="Tahoma"/>
            <family val="2"/>
          </rPr>
          <t>Informar o número de horas extras trabalhadas em horário diurno nos domingos e feriados</t>
        </r>
      </text>
    </comment>
    <comment ref="D93" authorId="0" shapeId="0">
      <text>
        <r>
          <rPr>
            <sz val="9"/>
            <color indexed="81"/>
            <rFont val="Tahoma"/>
            <family val="2"/>
          </rPr>
          <t xml:space="preserve">Informar o número de horas extras trabalhadas em horário diurno de segunda a sábado 
</t>
        </r>
      </text>
    </comment>
    <comment ref="B94" authorId="0" shapeId="0">
      <text>
        <r>
          <rPr>
            <sz val="9"/>
            <color indexed="81"/>
            <rFont val="Tahoma"/>
            <family val="2"/>
          </rPr>
          <t>Cálculo do descanso semanal remunerado incidente sobre as horas extras habitualmente prestadas. Considerada a média de 63 feriados + domingos e 302 dias trabalhados por ano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95" authorId="0" shapeId="0">
      <text>
        <r>
          <rPr>
            <sz val="9"/>
            <color indexed="81"/>
            <rFont val="Tahoma"/>
            <family val="2"/>
          </rPr>
          <t xml:space="preserve">Informar 1 se a base de cálculo for o Salário Mínimo Nacional; Informar 2 se a base de cálculo for o Piso da Categoria; 
</t>
        </r>
      </text>
    </comment>
    <comment ref="D96" authorId="0" shapeId="0">
      <text>
        <r>
          <rPr>
            <sz val="9"/>
            <color indexed="81"/>
            <rFont val="Tahoma"/>
            <family val="2"/>
          </rPr>
          <t>Percentual estabelecido nas Normas de Segurança de Trabalho ou pelo laudo de responsável técnico devidamente habilitado</t>
        </r>
      </text>
    </comment>
    <comment ref="D100" authorId="0" shapeId="0">
      <text>
        <r>
          <rPr>
            <sz val="9"/>
            <color indexed="81"/>
            <rFont val="Tahoma"/>
            <family val="2"/>
          </rPr>
          <t>Informar a quantidade de trabalhadores na função</t>
        </r>
      </text>
    </comment>
    <comment ref="D107" authorId="0" shapeId="0">
      <text>
        <r>
          <rPr>
            <sz val="9"/>
            <color indexed="81"/>
            <rFont val="Tahoma"/>
            <family val="2"/>
          </rPr>
          <t>Informar o número de horas noturnas trabalhadas no intervalo das 22:00h as 5:00h</t>
        </r>
      </text>
    </comment>
    <comment ref="D109" authorId="0" shapeId="0">
      <text>
        <r>
          <rPr>
            <sz val="9"/>
            <color indexed="81"/>
            <rFont val="Tahoma"/>
            <family val="2"/>
          </rPr>
          <t>Informar o número de horas extras trabalhadas em horário noturno nos domingos e feriados</t>
        </r>
      </text>
    </comment>
    <comment ref="D110" authorId="0" shapeId="0">
      <text>
        <r>
          <rPr>
            <sz val="9"/>
            <color indexed="81"/>
            <rFont val="Tahoma"/>
            <family val="2"/>
          </rPr>
          <t xml:space="preserve">Informar o número de horas extras trabalhadas em horário noturno (das 22:00h as 5h) nos domingos e feriados
</t>
        </r>
      </text>
    </comment>
    <comment ref="D112" authorId="0" shapeId="0">
      <text>
        <r>
          <rPr>
            <sz val="9"/>
            <color indexed="81"/>
            <rFont val="Tahoma"/>
            <family val="2"/>
          </rPr>
          <t>Informar o número de horas extras trabalhadas em horário noturno de segunda à sábado</t>
        </r>
      </text>
    </comment>
    <comment ref="D113" authorId="0" shapeId="0">
      <text>
        <r>
          <rPr>
            <sz val="9"/>
            <color indexed="81"/>
            <rFont val="Tahoma"/>
            <family val="2"/>
          </rPr>
          <t>Informar o número de horas extras trabalhadas em horário noturno (das 22:00h as 5h) de segunda a sábado</t>
        </r>
      </text>
    </comment>
    <comment ref="B115" authorId="0" shapeId="0">
      <text>
        <r>
          <rPr>
            <sz val="9"/>
            <color indexed="81"/>
            <rFont val="Tahoma"/>
            <family val="2"/>
          </rPr>
          <t>Cálculo do descanso semanal remunerado incidente sobre as horas extras habitualmente prestadas. Considerados 63 feriados + domingos e 302 dias trabalhados por ano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16" authorId="0" shapeId="0">
      <text>
        <r>
          <rPr>
            <sz val="9"/>
            <color indexed="81"/>
            <rFont val="Tahoma"/>
            <family val="2"/>
          </rPr>
          <t xml:space="preserve">Informar 1 se a base de cálculo for o Salário Mínimo Nacional; Informar 2 se a base de cálculo for o Piso da Categoria; 
</t>
        </r>
      </text>
    </comment>
    <comment ref="D121" authorId="0" shapeId="0">
      <text>
        <r>
          <rPr>
            <sz val="9"/>
            <color indexed="81"/>
            <rFont val="Tahoma"/>
            <family val="2"/>
          </rPr>
          <t>Informar a quantidade de trabalhadores na função</t>
        </r>
      </text>
    </comment>
    <comment ref="E184" authorId="0" shapeId="0">
      <text>
        <r>
          <rPr>
            <sz val="9"/>
            <color indexed="81"/>
            <rFont val="Tahoma"/>
            <family val="2"/>
          </rPr>
          <t>Informar o valor unitário do VT no município</t>
        </r>
      </text>
    </comment>
    <comment ref="D185" authorId="0" shapeId="0">
      <text>
        <r>
          <rPr>
            <sz val="9"/>
            <color indexed="81"/>
            <rFont val="Tahoma"/>
            <family val="2"/>
          </rPr>
          <t>Informar o número médio de dias trabalhados por mês</t>
        </r>
      </text>
    </comment>
    <comment ref="E186" authorId="0" shapeId="0">
      <text>
        <r>
          <rPr>
            <sz val="9"/>
            <color indexed="81"/>
            <rFont val="Tahoma"/>
            <family val="2"/>
          </rPr>
          <t>Valor Unitário considerando o desconto legal de até 6% do salário</t>
        </r>
      </text>
    </comment>
    <comment ref="E187" authorId="0" shapeId="0">
      <text>
        <r>
          <rPr>
            <sz val="9"/>
            <color indexed="81"/>
            <rFont val="Tahoma"/>
            <family val="2"/>
          </rPr>
          <t xml:space="preserve">Valor Unitário considerando o desconto legal de até 6% do salário
</t>
        </r>
      </text>
    </comment>
    <comment ref="E188" authorId="0" shapeId="0">
      <text>
        <r>
          <rPr>
            <sz val="9"/>
            <color indexed="81"/>
            <rFont val="Tahoma"/>
            <family val="2"/>
          </rPr>
          <t xml:space="preserve">Valor Unitário considerando o desconto legal de até 6% do salário
</t>
        </r>
      </text>
    </comment>
    <comment ref="E193" authorId="0" shapeId="0">
      <text>
        <r>
          <rPr>
            <sz val="9"/>
            <color indexed="81"/>
            <rFont val="Tahoma"/>
            <family val="2"/>
          </rPr>
          <t>Informar o valor unitário diário do vale refeição, considerando o desconto aplicável ao funcionário, conforme Convenção Coletiva da categoria.</t>
        </r>
      </text>
    </comment>
    <comment ref="E194" authorId="0" shapeId="0">
      <text>
        <r>
          <rPr>
            <sz val="9"/>
            <color indexed="81"/>
            <rFont val="Tahoma"/>
            <family val="2"/>
          </rPr>
          <t>Informar o valor unitário diário do vale refeição, considerando o desconto aplicável ao funcionário, conforme Convenção Coletiva da categoria.</t>
        </r>
      </text>
    </comment>
    <comment ref="E195" authorId="0" shapeId="0">
      <text>
        <r>
          <rPr>
            <sz val="9"/>
            <color indexed="81"/>
            <rFont val="Tahoma"/>
            <family val="2"/>
          </rPr>
          <t>Informar o valor unitário diário do vale refeição, considerando o desconto aplicável ao funcionário, conforme Convenção Coletiva da categoria.</t>
        </r>
      </text>
    </comment>
    <comment ref="E200" authorId="0" shapeId="0">
      <text>
        <r>
          <rPr>
            <sz val="9"/>
            <color indexed="81"/>
            <rFont val="Tahoma"/>
            <family val="2"/>
          </rPr>
          <t>Informar o valor mensal do auxilio alimentação, considerando o desconto aplicável ao funcionário, conforme Convenção Coletiva da categoria</t>
        </r>
      </text>
    </comment>
    <comment ref="E201" authorId="0" shapeId="0">
      <text>
        <r>
          <rPr>
            <sz val="9"/>
            <color indexed="81"/>
            <rFont val="Tahoma"/>
            <family val="2"/>
          </rPr>
          <t>Informar o valor mensal do auxilio alimentação, considerando o desconto aplicável ao funcionário, conforme Convenção Coletiva da categoria</t>
        </r>
      </text>
    </comment>
    <comment ref="D229" authorId="0" shapeId="0">
      <text>
        <r>
          <rPr>
            <sz val="9"/>
            <color indexed="81"/>
            <rFont val="Tahoma"/>
            <family val="2"/>
          </rPr>
          <t xml:space="preserve">Informar a durabilidade estimada em meses, para cada EPI
</t>
        </r>
      </text>
    </comment>
    <comment ref="D230" authorId="0" shapeId="0">
      <text>
        <r>
          <rPr>
            <sz val="9"/>
            <color indexed="81"/>
            <rFont val="Tahoma"/>
            <family val="2"/>
          </rPr>
          <t xml:space="preserve">Informar a durabilidade estimada em meses, para cada EPI
</t>
        </r>
      </text>
    </comment>
    <comment ref="D231" authorId="0" shapeId="0">
      <text>
        <r>
          <rPr>
            <sz val="9"/>
            <color indexed="81"/>
            <rFont val="Tahoma"/>
            <family val="2"/>
          </rPr>
          <t xml:space="preserve">Informar a durabilidade estimada em meses, para cada EPI
</t>
        </r>
      </text>
    </comment>
    <comment ref="D232" authorId="0" shapeId="0">
      <text>
        <r>
          <rPr>
            <sz val="9"/>
            <color indexed="81"/>
            <rFont val="Tahoma"/>
            <family val="2"/>
          </rPr>
          <t xml:space="preserve">Informar a durabilidade estimada em meses, para cada EPI
</t>
        </r>
      </text>
    </comment>
    <comment ref="D233" authorId="0" shapeId="0">
      <text>
        <r>
          <rPr>
            <sz val="9"/>
            <color indexed="81"/>
            <rFont val="Tahoma"/>
            <family val="2"/>
          </rPr>
          <t xml:space="preserve">Informar a durabilidade estimada em meses, para cada EPI
</t>
        </r>
      </text>
    </comment>
    <comment ref="D234" authorId="0" shapeId="0">
      <text>
        <r>
          <rPr>
            <sz val="9"/>
            <color indexed="81"/>
            <rFont val="Tahoma"/>
            <family val="2"/>
          </rPr>
          <t xml:space="preserve">Informar a durabilidade estimada em meses, para cada EPI
</t>
        </r>
      </text>
    </comment>
    <comment ref="E235" authorId="0" shapeId="0">
      <text>
        <r>
          <rPr>
            <sz val="9"/>
            <color indexed="81"/>
            <rFont val="Tahoma"/>
            <family val="2"/>
          </rPr>
          <t>Informar o valor mensal de higienização de uniforme para 1 funcionário</t>
        </r>
      </text>
    </comment>
    <comment ref="E247" authorId="0" shapeId="0">
      <text>
        <r>
          <rPr>
            <sz val="9"/>
            <color indexed="81"/>
            <rFont val="Tahoma"/>
            <family val="2"/>
          </rPr>
          <t>Informar o preço unitário do chassis do caminhão de coleta</t>
        </r>
      </text>
    </comment>
    <comment ref="D248" authorId="0" shapeId="0">
      <text>
        <r>
          <rPr>
            <sz val="9"/>
            <color indexed="81"/>
            <rFont val="Tahoma"/>
            <family val="2"/>
          </rPr>
          <t>Informar a vida útil estimada para o caminhão, em anos</t>
        </r>
      </text>
    </comment>
    <comment ref="D249" authorId="0" shapeId="0">
      <text>
        <r>
          <rPr>
            <sz val="9"/>
            <color indexed="81"/>
            <rFont val="Tahoma"/>
            <family val="2"/>
          </rPr>
          <t>Na elaboração do orçamento-base da licitação, informar 0 (zero). Na proposta da licitante, informar a idade do veículo proposto.</t>
        </r>
      </text>
    </comment>
    <comment ref="D250" authorId="0" shapeId="0">
      <text>
        <r>
          <rPr>
            <b/>
            <sz val="9"/>
            <color indexed="81"/>
            <rFont val="Tahoma"/>
            <family val="2"/>
          </rPr>
          <t xml:space="preserve">Informar o valor da depreciação do caminhão, adotando o valor sugerido pelo TCE ou outro valor estimado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252" authorId="0" shapeId="0">
      <text>
        <r>
          <rPr>
            <sz val="9"/>
            <color indexed="81"/>
            <rFont val="Tahoma"/>
            <family val="2"/>
          </rPr>
          <t xml:space="preserve">Informar o preço unitário do equipamento compactador
</t>
        </r>
      </text>
    </comment>
    <comment ref="D253" authorId="0" shapeId="0">
      <text>
        <r>
          <rPr>
            <sz val="9"/>
            <color indexed="81"/>
            <rFont val="Tahoma"/>
            <family val="2"/>
          </rPr>
          <t>Informar a vida útil estimada para o compactador, em anos</t>
        </r>
      </text>
    </comment>
    <comment ref="D254" authorId="0" shapeId="0">
      <text>
        <r>
          <rPr>
            <sz val="9"/>
            <color indexed="81"/>
            <rFont val="Tahoma"/>
            <family val="2"/>
          </rPr>
          <t>Na elaboração do orçamento-base da licitação, informar 0 (zero). Na proposta da licitante, informar a idade do compactador proposto.</t>
        </r>
      </text>
    </comment>
    <comment ref="D255" authorId="0" shapeId="0">
      <text>
        <r>
          <rPr>
            <b/>
            <sz val="9"/>
            <color indexed="81"/>
            <rFont val="Tahoma"/>
            <family val="2"/>
          </rPr>
          <t xml:space="preserve">Informar o valor da depreciação do compactador, adotando o valor sugerido pelo TCE ou outro valor estimado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58" authorId="0" shapeId="0">
      <text>
        <r>
          <rPr>
            <sz val="9"/>
            <color indexed="81"/>
            <rFont val="Tahoma"/>
            <family val="2"/>
          </rPr>
          <t>Informar a quantidade de caminhões compactadores do respectivo modelo</t>
        </r>
      </text>
    </comment>
    <comment ref="D264" authorId="0" shapeId="0">
      <text>
        <r>
          <rPr>
            <b/>
            <sz val="9"/>
            <color indexed="81"/>
            <rFont val="Tahoma"/>
            <family val="2"/>
          </rPr>
          <t>Informar a taxa de juros anual para remuneração do capital. Recomenda-se o uso da Taxa SELIC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287" authorId="0" shapeId="0">
      <text>
        <r>
          <rPr>
            <sz val="9"/>
            <color indexed="81"/>
            <rFont val="Tahoma"/>
            <family val="2"/>
          </rPr>
          <t xml:space="preserve">Informar a quilometragem mensal percorrida, de acordo com o projeto básico
</t>
        </r>
      </text>
    </comment>
    <comment ref="D290" authorId="0" shapeId="0">
      <text>
        <r>
          <rPr>
            <sz val="9"/>
            <color indexed="81"/>
            <rFont val="Tahoma"/>
            <family val="2"/>
          </rPr>
          <t>Informar o consumo estimado do veículo em km/l</t>
        </r>
      </text>
    </comment>
    <comment ref="E290" authorId="0" shapeId="0">
      <text>
        <r>
          <rPr>
            <sz val="9"/>
            <color indexed="81"/>
            <rFont val="Tahoma"/>
            <family val="2"/>
          </rPr>
          <t xml:space="preserve">Informar o preço unitário do combustivel
</t>
        </r>
      </text>
    </comment>
    <comment ref="D292" authorId="0" shapeId="0">
      <text>
        <r>
          <rPr>
            <sz val="9"/>
            <color indexed="81"/>
            <rFont val="Tahoma"/>
            <family val="2"/>
          </rPr>
          <t>Informar o consumo de óleo do motor a cada 1000km</t>
        </r>
      </text>
    </comment>
    <comment ref="E292" authorId="0" shapeId="0">
      <text>
        <r>
          <rPr>
            <sz val="9"/>
            <color indexed="81"/>
            <rFont val="Tahoma"/>
            <family val="2"/>
          </rPr>
          <t xml:space="preserve">Informar o preço unitário do litro do óleo do motor
</t>
        </r>
      </text>
    </comment>
    <comment ref="E305" authorId="0" shapeId="0">
      <text>
        <r>
          <rPr>
            <sz val="9"/>
            <color indexed="81"/>
            <rFont val="Tahoma"/>
            <family val="2"/>
          </rPr>
          <t xml:space="preserve">Informar o custo de manutenção em R$/km rodado
</t>
        </r>
      </text>
    </comment>
    <comment ref="D310" authorId="0" shapeId="0">
      <text>
        <r>
          <rPr>
            <sz val="9"/>
            <color indexed="81"/>
            <rFont val="Tahoma"/>
            <family val="2"/>
          </rPr>
          <t>Informar a quantidade de pneus novos de 1 caminhão</t>
        </r>
      </text>
    </comment>
    <comment ref="E310" authorId="0" shapeId="0">
      <text>
        <r>
          <rPr>
            <sz val="9"/>
            <color indexed="81"/>
            <rFont val="Tahoma"/>
            <family val="2"/>
          </rPr>
          <t xml:space="preserve">Informar o preço unitário de cada pneu
</t>
        </r>
      </text>
    </comment>
    <comment ref="D311" authorId="0" shapeId="0">
      <text>
        <r>
          <rPr>
            <sz val="9"/>
            <color indexed="81"/>
            <rFont val="Tahoma"/>
            <family val="2"/>
          </rPr>
          <t>Informar o número de recapagens por pneu</t>
        </r>
      </text>
    </comment>
    <comment ref="E312" authorId="0" shapeId="0">
      <text>
        <r>
          <rPr>
            <sz val="9"/>
            <color indexed="81"/>
            <rFont val="Tahoma"/>
            <family val="2"/>
          </rPr>
          <t xml:space="preserve">Informar o preço unitário de cada recapagem
</t>
        </r>
      </text>
    </comment>
    <comment ref="D313" authorId="0" shapeId="0">
      <text>
        <r>
          <rPr>
            <sz val="9"/>
            <color indexed="81"/>
            <rFont val="Tahoma"/>
            <family val="2"/>
          </rPr>
          <t xml:space="preserve">Informar a durabilidade média dos pneus considerando todas as recapagens, em km
</t>
        </r>
      </text>
    </comment>
    <comment ref="D326" authorId="0" shapeId="0">
      <text>
        <r>
          <rPr>
            <sz val="9"/>
            <color indexed="81"/>
            <rFont val="Tahoma"/>
            <family val="2"/>
          </rPr>
          <t xml:space="preserve">Informar a quantidade estimada por mês. Por exemplo, se a durabilidade estimada é de 6 meses, informar 1/6; se a durabilidade estimada é de 3 meses informar 1/3, etc..
</t>
        </r>
      </text>
    </comment>
    <comment ref="E326" authorId="0" shapeId="0">
      <text>
        <r>
          <rPr>
            <sz val="9"/>
            <color indexed="81"/>
            <rFont val="Tahoma"/>
            <family val="2"/>
          </rPr>
          <t>Informar o valor unitário estimado para aquisição de cada material</t>
        </r>
      </text>
    </comment>
    <comment ref="D327" authorId="0" shapeId="0">
      <text>
        <r>
          <rPr>
            <sz val="9"/>
            <color indexed="81"/>
            <rFont val="Tahoma"/>
            <family val="2"/>
          </rPr>
          <t xml:space="preserve">Informar a quantidade estimada por mês. Por exemplo, se a durabilidade estimada é de 6 meses, informar 1/6; se a durabilidade estimada é de 3 meses informar 1/3, etc..
</t>
        </r>
      </text>
    </comment>
    <comment ref="E327" authorId="0" shapeId="0">
      <text>
        <r>
          <rPr>
            <sz val="9"/>
            <color indexed="81"/>
            <rFont val="Tahoma"/>
            <family val="2"/>
          </rPr>
          <t>Informar o valor unitário estimado para aquisição de cada material</t>
        </r>
      </text>
    </comment>
    <comment ref="D328" authorId="0" shapeId="0">
      <text>
        <r>
          <rPr>
            <sz val="9"/>
            <color indexed="81"/>
            <rFont val="Tahoma"/>
            <family val="2"/>
          </rPr>
          <t xml:space="preserve">Informar a quantidade estimada por mês. Por exemplo, se a durabilidade estimada é de 6 meses, informar 1/6; se a durabilidade estimada é de 3 meses informar 1/3, etc..
</t>
        </r>
      </text>
    </comment>
    <comment ref="E328" authorId="0" shapeId="0">
      <text>
        <r>
          <rPr>
            <sz val="9"/>
            <color indexed="81"/>
            <rFont val="Tahoma"/>
            <family val="2"/>
          </rPr>
          <t>Informar o valor unitário estimado para aquisição de cada material</t>
        </r>
      </text>
    </comment>
    <comment ref="B333" authorId="0" shapeId="0">
      <text>
        <r>
          <rPr>
            <b/>
            <sz val="9"/>
            <color indexed="81"/>
            <rFont val="Tahoma"/>
            <family val="2"/>
          </rPr>
          <t>Especificar somente quando for exigido no Projeto Básico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336" authorId="0" shapeId="0">
      <text>
        <r>
          <rPr>
            <sz val="9"/>
            <color indexed="81"/>
            <rFont val="Tahoma"/>
            <family val="2"/>
          </rPr>
          <t>Informar o valor total para instalação do equipamento de monitoramento da frota, se houver previsão no Projeto Básico</t>
        </r>
      </text>
    </comment>
    <comment ref="E338" authorId="0" shapeId="0">
      <text>
        <r>
          <rPr>
            <sz val="9"/>
            <color indexed="81"/>
            <rFont val="Tahoma"/>
            <family val="2"/>
          </rPr>
          <t>Informar o valor unitário mensal para manutenção dos equipamentos de monitoramento</t>
        </r>
      </text>
    </comment>
    <comment ref="D349" authorId="0" shapeId="0">
      <text>
        <r>
          <rPr>
            <sz val="9"/>
            <color indexed="81"/>
            <rFont val="Tahoma"/>
            <family val="2"/>
          </rPr>
          <t>Preencher a aba 4.BDI</t>
        </r>
      </text>
    </comment>
    <comment ref="E358" authorId="0" shapeId="0">
      <text>
        <r>
          <rPr>
            <sz val="9"/>
            <color indexed="81"/>
            <rFont val="Tahoma"/>
            <family val="2"/>
          </rPr>
          <t xml:space="preserve">Informar a quantidade média coletada nos últimos 12 meses
</t>
        </r>
      </text>
    </comment>
  </commentList>
</comments>
</file>

<file path=xl/comments2.xml><?xml version="1.0" encoding="utf-8"?>
<comments xmlns="http://schemas.openxmlformats.org/spreadsheetml/2006/main">
  <authors>
    <author>Clauber Bridi</author>
  </authors>
  <commentList>
    <comment ref="C6" authorId="0" shapeId="0">
      <text>
        <r>
          <rPr>
            <b/>
            <sz val="9"/>
            <color indexed="81"/>
            <rFont val="Tahoma"/>
            <family val="2"/>
          </rPr>
          <t>Informar o % de Administração Central estimado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7" authorId="0" shapeId="0">
      <text>
        <r>
          <rPr>
            <b/>
            <sz val="9"/>
            <color indexed="81"/>
            <rFont val="Tahoma"/>
            <family val="2"/>
          </rPr>
          <t>Informar o % de Seguros, Riscos e Garantia estimado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8" authorId="0" shapeId="0">
      <text>
        <r>
          <rPr>
            <b/>
            <sz val="9"/>
            <color indexed="81"/>
            <rFont val="Tahoma"/>
            <family val="2"/>
          </rPr>
          <t>Informar o % de Lucro estimado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9" authorId="0" shapeId="0">
      <text>
        <r>
          <rPr>
            <b/>
            <sz val="9"/>
            <color indexed="81"/>
            <rFont val="Tahoma"/>
            <family val="2"/>
          </rPr>
          <t>Informar o valor anual da taxa financeira, em percentual. Admite-se utilizar a SELIC</t>
        </r>
      </text>
    </comment>
    <comment ref="C10" authorId="0" shapeId="0">
      <text>
        <r>
          <rPr>
            <b/>
            <sz val="9"/>
            <color indexed="81"/>
            <rFont val="Tahoma"/>
            <family val="2"/>
          </rPr>
          <t>Informar o percentual de ISS, de acordo com a legislação tributária do município onde serão prestados os serviços. De 2% até o limite de 5%.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10" authorId="0" shapeId="0">
      <text>
        <r>
          <rPr>
            <b/>
            <sz val="9"/>
            <color indexed="81"/>
            <rFont val="Tahoma"/>
            <family val="2"/>
          </rPr>
          <t>Informar a média de dias úteis entre data de pagamento prevista no contrato e a data final do período de adimplemento da parcela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1" authorId="0" shapeId="0">
      <text>
        <r>
          <rPr>
            <b/>
            <sz val="9"/>
            <color indexed="81"/>
            <rFont val="Tahoma"/>
            <family val="2"/>
          </rPr>
          <t xml:space="preserve">Informar o valor estimado de PIS/COFINS. </t>
        </r>
        <r>
          <rPr>
            <sz val="9"/>
            <color indexed="81"/>
            <rFont val="Tahoma"/>
            <family val="2"/>
          </rPr>
          <t xml:space="preserve">
1. Adotar 0,65% PIS + 3% COFINS quando o valor anual estimado do contrato for inferior ao limite para tributação pelo regime de incidência não-cumulativa (lucro presumido);
2. Adotar 1,65% PIS + 7,6% COFINS quando o valor anual estimado do contrato for superior ao limite para tributação pelo regime de incidência não-cumulativa (lucro real);</t>
        </r>
      </text>
    </comment>
  </commentList>
</comments>
</file>

<file path=xl/comments3.xml><?xml version="1.0" encoding="utf-8"?>
<comments xmlns="http://schemas.openxmlformats.org/spreadsheetml/2006/main">
  <authors>
    <author>Omar</author>
  </authors>
  <commentList>
    <comment ref="C7" authorId="0" shapeId="0">
      <text>
        <r>
          <rPr>
            <sz val="9"/>
            <color indexed="81"/>
            <rFont val="Tahoma"/>
            <family val="2"/>
          </rPr>
          <t>retorna a geração diária a ser recolhida</t>
        </r>
      </text>
    </comment>
  </commentList>
</comments>
</file>

<file path=xl/sharedStrings.xml><?xml version="1.0" encoding="utf-8"?>
<sst xmlns="http://schemas.openxmlformats.org/spreadsheetml/2006/main" count="719" uniqueCount="332">
  <si>
    <t>hora</t>
  </si>
  <si>
    <t>Adicional de Insalubridade</t>
  </si>
  <si>
    <t>%</t>
  </si>
  <si>
    <t>Soma</t>
  </si>
  <si>
    <t>Encargos Sociais</t>
  </si>
  <si>
    <t>Total do Efetivo</t>
  </si>
  <si>
    <t>homem</t>
  </si>
  <si>
    <t>Adicional Noturno</t>
  </si>
  <si>
    <t>mês</t>
  </si>
  <si>
    <t>vale</t>
  </si>
  <si>
    <t>unidade</t>
  </si>
  <si>
    <t>Colete reflexivo</t>
  </si>
  <si>
    <t>IPVA</t>
  </si>
  <si>
    <t>Seguro contra terceiros</t>
  </si>
  <si>
    <t>Impostos e seguros mensais</t>
  </si>
  <si>
    <t>Custo de óleo diesel / km rodado</t>
  </si>
  <si>
    <t>km/l</t>
  </si>
  <si>
    <t>Custo mensal com óleo diesel</t>
  </si>
  <si>
    <t>km</t>
  </si>
  <si>
    <t>l/1.000 km</t>
  </si>
  <si>
    <t>Custo mensal com óleo do motor</t>
  </si>
  <si>
    <t>Custo mensal com óleo da transmissão</t>
  </si>
  <si>
    <t>Custo mensal com óleo hidráulico</t>
  </si>
  <si>
    <t>Custo de graxa /1.000 km rodados</t>
  </si>
  <si>
    <t>kg/1.000 km</t>
  </si>
  <si>
    <t>Custo mensal com graxa</t>
  </si>
  <si>
    <t>km/jogo</t>
  </si>
  <si>
    <t>toneladas</t>
  </si>
  <si>
    <t>Pá de Concha</t>
  </si>
  <si>
    <t>Vassoura</t>
  </si>
  <si>
    <t>Calça</t>
  </si>
  <si>
    <t>Camiseta</t>
  </si>
  <si>
    <t>Boné</t>
  </si>
  <si>
    <t>Luva de proteção</t>
  </si>
  <si>
    <t>R$/tonelada</t>
  </si>
  <si>
    <t>R$</t>
  </si>
  <si>
    <t>Horas Extras (100%)</t>
  </si>
  <si>
    <t>Horas Extras (50%)</t>
  </si>
  <si>
    <t>Benefícios e despesas indiretas</t>
  </si>
  <si>
    <t>Custo mensal com manutenção</t>
  </si>
  <si>
    <t>Custo (R$/mês)</t>
  </si>
  <si>
    <t>Mão-de-obra</t>
  </si>
  <si>
    <t>Quantidade</t>
  </si>
  <si>
    <t>INSS</t>
  </si>
  <si>
    <t>FGTS</t>
  </si>
  <si>
    <t>Planilha de Composição de Custos</t>
  </si>
  <si>
    <t>Motorista</t>
  </si>
  <si>
    <t>2. Uniformes e Equipamentos de Proteção Individual</t>
  </si>
  <si>
    <t>3.1.1. Depreciação</t>
  </si>
  <si>
    <t>1. Mão-de-obra</t>
  </si>
  <si>
    <t>par</t>
  </si>
  <si>
    <t>frasco 120g</t>
  </si>
  <si>
    <t>Depreciação mensal veículos coletores</t>
  </si>
  <si>
    <t>3.1.3. Impostos e Seguros</t>
  </si>
  <si>
    <t>3.1.4. Consumos</t>
  </si>
  <si>
    <t>3.1.5. Manutenção</t>
  </si>
  <si>
    <t>3. Veículos e Equipamentos</t>
  </si>
  <si>
    <t>Custo mensal com pneus</t>
  </si>
  <si>
    <t>Veículos e Equipamentos</t>
  </si>
  <si>
    <t>Publicidade (adesivos equipamentos)</t>
  </si>
  <si>
    <t>cj</t>
  </si>
  <si>
    <t>Total de mão-de-obra (postos de trabalho)</t>
  </si>
  <si>
    <t>Publicidade (adesivos veículos)</t>
  </si>
  <si>
    <t>Custo mensal com implantação</t>
  </si>
  <si>
    <t>3.1.6. Pneus</t>
  </si>
  <si>
    <t>Protetor solar FPS 30</t>
  </si>
  <si>
    <t>Discriminação</t>
  </si>
  <si>
    <t>Unidade</t>
  </si>
  <si>
    <t>Subtotal</t>
  </si>
  <si>
    <t>Jaqueta com reflexivo (NBR 15.292)</t>
  </si>
  <si>
    <t>Capa de chuva amarela com reflexivo</t>
  </si>
  <si>
    <t>Botina de segurança c/ palmilha aço</t>
  </si>
  <si>
    <t>PREÇO POR TONELADA COLETADA:  [A/B]</t>
  </si>
  <si>
    <t>Custo de recapagem</t>
  </si>
  <si>
    <t>Recipiente térmico para água (5L)</t>
  </si>
  <si>
    <t>Total por Coletor</t>
  </si>
  <si>
    <t>Coletor</t>
  </si>
  <si>
    <t>4. Ferramentas e Materiais de Consumo</t>
  </si>
  <si>
    <t>5. Monitoramento da Frota</t>
  </si>
  <si>
    <t>Administração Central</t>
  </si>
  <si>
    <t>AC</t>
  </si>
  <si>
    <t>Seguros/Riscos/Garantias</t>
  </si>
  <si>
    <t>SRG</t>
  </si>
  <si>
    <t>Lucro</t>
  </si>
  <si>
    <t>L</t>
  </si>
  <si>
    <t>Despesas Financeiras</t>
  </si>
  <si>
    <t>DF</t>
  </si>
  <si>
    <t>Tributos - ISS</t>
  </si>
  <si>
    <t>T</t>
  </si>
  <si>
    <t>Tributos - PIS/COFINS</t>
  </si>
  <si>
    <t>Fórmula para o cálculo do BDI:</t>
  </si>
  <si>
    <t>{[(1+AC+SRG) x (1+L) x (1+DF)] / (1-T)} -1</t>
  </si>
  <si>
    <t>Resultado do cálculo do BDI:</t>
  </si>
  <si>
    <t>6. Benefícios e Despesas Indiretas - BDI</t>
  </si>
  <si>
    <t>1.2. Coletor Turno Noite</t>
  </si>
  <si>
    <t>Vale Transporte</t>
  </si>
  <si>
    <t>Dias Trabalhados por mês</t>
  </si>
  <si>
    <t>dia</t>
  </si>
  <si>
    <t>Custo Mensal com Mão-de-obra (R$/mês)</t>
  </si>
  <si>
    <t>Meia de algodão com cano alto</t>
  </si>
  <si>
    <t>Quantitativos</t>
  </si>
  <si>
    <t>horas trabalhadas</t>
  </si>
  <si>
    <t>Horas Extras Noturnas (100%)</t>
  </si>
  <si>
    <t>1.1. Coletor Turno Dia</t>
  </si>
  <si>
    <t>1.3. Motorista Turno do Dia</t>
  </si>
  <si>
    <t>1.4. Motorista Turno Noite</t>
  </si>
  <si>
    <t>hora contabilizada</t>
  </si>
  <si>
    <t>Vida útil do chassis</t>
  </si>
  <si>
    <t>anos</t>
  </si>
  <si>
    <t>Vida útil do compactador</t>
  </si>
  <si>
    <t>Depreciação do compactador</t>
  </si>
  <si>
    <t>Depreciação do chassis</t>
  </si>
  <si>
    <t>Custo de aquisição do compactador</t>
  </si>
  <si>
    <t>Custo de aquisição do chassis</t>
  </si>
  <si>
    <t>Depreciação mensal do compactador</t>
  </si>
  <si>
    <t>i = taxa de juros do mercado (sugere-se adotar a taxa SELIC)</t>
  </si>
  <si>
    <t>n = vida útil do bem em anos</t>
  </si>
  <si>
    <t>Custo do chassis</t>
  </si>
  <si>
    <t>Custo do compactador</t>
  </si>
  <si>
    <t>3.1.2. Remuneração do Capital</t>
  </si>
  <si>
    <t>Im = investimento médio</t>
  </si>
  <si>
    <t>Remuneração mensal de capital do compactador</t>
  </si>
  <si>
    <t>Investimento médio total do chassis</t>
  </si>
  <si>
    <t>Remuneração mensal de capital do chassis</t>
  </si>
  <si>
    <t>Investimento médio total do compactador</t>
  </si>
  <si>
    <t>Custo de manutenção dos caminhões</t>
  </si>
  <si>
    <t>Quilometragem mensal</t>
  </si>
  <si>
    <t>R$/km rodado</t>
  </si>
  <si>
    <t>Número de recapagens por pneu</t>
  </si>
  <si>
    <t>R$ mensal</t>
  </si>
  <si>
    <t>Admissões</t>
  </si>
  <si>
    <t>Desligamentos</t>
  </si>
  <si>
    <t>Dispensados com justa causa</t>
  </si>
  <si>
    <t>Dispensados sem justa causa</t>
  </si>
  <si>
    <t>Espontâneos</t>
  </si>
  <si>
    <t>Fim de contrato por prazo determinado</t>
  </si>
  <si>
    <t>Término de contrato</t>
  </si>
  <si>
    <t>Aposentados</t>
  </si>
  <si>
    <t>Mortos</t>
  </si>
  <si>
    <t>Transferência de saída</t>
  </si>
  <si>
    <t xml:space="preserve"> </t>
  </si>
  <si>
    <t>Indicadores</t>
  </si>
  <si>
    <t>Dias ano</t>
  </si>
  <si>
    <t>Estoque Médio</t>
  </si>
  <si>
    <t>Multa FGTS</t>
  </si>
  <si>
    <t>Dias de Aviso prévio</t>
  </si>
  <si>
    <t>Valor</t>
  </si>
  <si>
    <t>A1</t>
  </si>
  <si>
    <t>A2</t>
  </si>
  <si>
    <t>SESI</t>
  </si>
  <si>
    <t>A3</t>
  </si>
  <si>
    <t>SENAI</t>
  </si>
  <si>
    <t>A4</t>
  </si>
  <si>
    <t>INCRA</t>
  </si>
  <si>
    <t>A5</t>
  </si>
  <si>
    <t>SEBRAE</t>
  </si>
  <si>
    <t>A6</t>
  </si>
  <si>
    <t>A7</t>
  </si>
  <si>
    <t>A8</t>
  </si>
  <si>
    <t>A</t>
  </si>
  <si>
    <t>B1</t>
  </si>
  <si>
    <t>B2</t>
  </si>
  <si>
    <t>B4</t>
  </si>
  <si>
    <t>Licença Paternidade</t>
  </si>
  <si>
    <t>B5</t>
  </si>
  <si>
    <t>B6</t>
  </si>
  <si>
    <t>B</t>
  </si>
  <si>
    <t>C1</t>
  </si>
  <si>
    <t>C3</t>
  </si>
  <si>
    <t>C4</t>
  </si>
  <si>
    <t>C5</t>
  </si>
  <si>
    <t>C</t>
  </si>
  <si>
    <t>D1</t>
  </si>
  <si>
    <t>Reincidência de Grupo A sobre Grupo B</t>
  </si>
  <si>
    <t>D2</t>
  </si>
  <si>
    <t>D</t>
  </si>
  <si>
    <t>1° Quartil</t>
  </si>
  <si>
    <t>Médio</t>
  </si>
  <si>
    <t>3° Quartil</t>
  </si>
  <si>
    <t>DU</t>
  </si>
  <si>
    <t>Licenciamento e Seguro obrigatório</t>
  </si>
  <si>
    <t>Fator de utilização</t>
  </si>
  <si>
    <t>Fator de utilização (FU)</t>
  </si>
  <si>
    <t>2.1. Uniformes e EPIs para Coletor</t>
  </si>
  <si>
    <t>Higienização de uniformes e EPIs</t>
  </si>
  <si>
    <t>2.2. Uniformes e EPIs para demais categorias</t>
  </si>
  <si>
    <t>Custo Mensal com Uniformes e EPIs (R$/mês)</t>
  </si>
  <si>
    <t>Descrição do Item</t>
  </si>
  <si>
    <t>Orçamento Sintético</t>
  </si>
  <si>
    <t>Rio Grande do Sul  - Coleta de Resíduos Não-Perigosos - CNAE 38114</t>
  </si>
  <si>
    <t>Idade do veículo (ano)</t>
  </si>
  <si>
    <t>Idade do veículo</t>
  </si>
  <si>
    <t>Idade do compactador</t>
  </si>
  <si>
    <t>Valor do veículo proposto (V0)</t>
  </si>
  <si>
    <t>Valor do compactador proposto (V0)</t>
  </si>
  <si>
    <t>Taxa de juros anual nominal</t>
  </si>
  <si>
    <t>Piso da categoria</t>
  </si>
  <si>
    <t>Base de cálculo da Insalubridade</t>
  </si>
  <si>
    <t>Horas Extras Noturnas (50%)</t>
  </si>
  <si>
    <t>Descanso Semanal Remunerado (DSR) - hora extra</t>
  </si>
  <si>
    <t>C2</t>
  </si>
  <si>
    <t>B3</t>
  </si>
  <si>
    <t xml:space="preserve">1. Coleta de Resíduos Sólidos </t>
  </si>
  <si>
    <t xml:space="preserve">Quantidade média de resíduos coletados por mês: </t>
  </si>
  <si>
    <t>Custo Mensal com Monitoramento da Frota (R$/mês)</t>
  </si>
  <si>
    <t>Implantação dos equipamentos de monitoramento</t>
  </si>
  <si>
    <t>Manutenção dos equipamentos de monitoramento</t>
  </si>
  <si>
    <t>Custo Mensal com Veículos e Equipamentos (R$/mês)</t>
  </si>
  <si>
    <t>Custo Mensal com Ferramentas e Materiais de Consumo (R$/mês)</t>
  </si>
  <si>
    <t>CUSTO TOTAL MENSAL COM DESPESAS OPERACIONAIS (R$/mês)</t>
  </si>
  <si>
    <t>PREÇO MENSAL TOTAL (R$/mês)</t>
  </si>
  <si>
    <t>3. CAGED</t>
  </si>
  <si>
    <t>4. Composição do BDI - Benefícios e Despesas Indiretas</t>
  </si>
  <si>
    <t>5. Depreciação Referencial TCE/RS (%)</t>
  </si>
  <si>
    <t>6. Remuneração de Capital</t>
  </si>
  <si>
    <t>Custo unitário</t>
  </si>
  <si>
    <t>Custo de óleo do motor /1.000 km rodados</t>
  </si>
  <si>
    <t>Custo de óleo da transmissão /1.000 km</t>
  </si>
  <si>
    <t>Custo de óleo hidráulico / 1.000 km</t>
  </si>
  <si>
    <t>PREÇO TOTAL MENSAL COM A COLETA</t>
  </si>
  <si>
    <t>CUSTO MENSAL COM BDI (R$/mês)</t>
  </si>
  <si>
    <t>1/3 de férias (dias)</t>
  </si>
  <si>
    <t>Férias (dias)</t>
  </si>
  <si>
    <t>13º Salário (dias)</t>
  </si>
  <si>
    <t>Referência estudo TCE</t>
  </si>
  <si>
    <t>Rotatividade temporal (meses)</t>
  </si>
  <si>
    <t>Fórmula de cálculo da remuneração de capital:</t>
  </si>
  <si>
    <t>Total por Motorista</t>
  </si>
  <si>
    <t>Durabilidade (meses)</t>
  </si>
  <si>
    <t>Custo com consumos/km rodado</t>
  </si>
  <si>
    <t>Consumo</t>
  </si>
  <si>
    <t>Total por veículo</t>
  </si>
  <si>
    <t>Total da frota</t>
  </si>
  <si>
    <t>Unid</t>
  </si>
  <si>
    <t>hab</t>
  </si>
  <si>
    <t>ton</t>
  </si>
  <si>
    <t>Densidade RSU compactado</t>
  </si>
  <si>
    <t>Kg/m³</t>
  </si>
  <si>
    <t>m³</t>
  </si>
  <si>
    <t>Kg/hab.dia</t>
  </si>
  <si>
    <t>ton/dia</t>
  </si>
  <si>
    <t>População (H)</t>
  </si>
  <si>
    <t>Geração per capita (G)</t>
  </si>
  <si>
    <t>Geração total diária (Qd)</t>
  </si>
  <si>
    <t>Quantitativo diário de coleta (Qc)</t>
  </si>
  <si>
    <t>Número de dias de coleta por semana (Dc)</t>
  </si>
  <si>
    <t>Capacidade nominal de carga (Cc)</t>
  </si>
  <si>
    <t>Número de Cargas por dia (Nc)</t>
  </si>
  <si>
    <t>Número de veículos da Frota (F)</t>
  </si>
  <si>
    <t>Geração Mensal</t>
  </si>
  <si>
    <t>Tipo de Veículo (1 = toco, 2 = truck)</t>
  </si>
  <si>
    <t>Capacidade do Compactador</t>
  </si>
  <si>
    <t>7. Dimensionamento da frota</t>
  </si>
  <si>
    <t>Indicador</t>
  </si>
  <si>
    <t>Número total de percursos de coleta por veículo, por dia (Np)</t>
  </si>
  <si>
    <t>i</t>
  </si>
  <si>
    <t>Depreciação Média</t>
  </si>
  <si>
    <t>Piso da categoria (2)</t>
  </si>
  <si>
    <t>Salário mínimo nacional (1)</t>
  </si>
  <si>
    <t>% Demitidos s/ Justa Causa em relação ao Estoque Médio</t>
  </si>
  <si>
    <t>Taxa de Rotatividade</t>
  </si>
  <si>
    <t>Acordo</t>
  </si>
  <si>
    <t>Variação Emprego Absoluta de 01-01-2019 a 31-12-2019</t>
  </si>
  <si>
    <t>Estoque recuperado início do Período 01-01-2019</t>
  </si>
  <si>
    <t>Estoque recuperado final do Período 31-12-2019</t>
  </si>
  <si>
    <t>ENCARGOS SOCIAIS SOBRE A MÃO DE OBRA</t>
  </si>
  <si>
    <t>Data referência 12/2023</t>
  </si>
  <si>
    <t>Data atual 10/2023</t>
  </si>
  <si>
    <t>COM DESONERAÇÃO</t>
  </si>
  <si>
    <t>SEM DESONERAÇÃO</t>
  </si>
  <si>
    <t>CÓDIGO</t>
  </si>
  <si>
    <t>DESCRIÇÃO</t>
  </si>
  <si>
    <t>HORISTA</t>
  </si>
  <si>
    <t>MENSALISTA</t>
  </si>
  <si>
    <t>GRUPO A</t>
  </si>
  <si>
    <t>Salário Educação</t>
  </si>
  <si>
    <t>Seguro Contra Acidentes de Trabalho</t>
  </si>
  <si>
    <t>A9</t>
  </si>
  <si>
    <t>SECONCI</t>
  </si>
  <si>
    <t>Total</t>
  </si>
  <si>
    <t>GRUPO B</t>
  </si>
  <si>
    <t>Repouso Semanal Remunerado</t>
  </si>
  <si>
    <t>Não incide</t>
  </si>
  <si>
    <t>Feriados</t>
  </si>
  <si>
    <t>Auxílio - Enfermidade</t>
  </si>
  <si>
    <t>13º Salário</t>
  </si>
  <si>
    <t>Faltas Justificadas</t>
  </si>
  <si>
    <t>B7</t>
  </si>
  <si>
    <t>Dias de Chuvas</t>
  </si>
  <si>
    <t>B8</t>
  </si>
  <si>
    <t>Auxílio Acidente de Trabalho</t>
  </si>
  <si>
    <t>B9</t>
  </si>
  <si>
    <t>Férias Gozadas</t>
  </si>
  <si>
    <t>B10</t>
  </si>
  <si>
    <t>Salário Maternidade</t>
  </si>
  <si>
    <t>GRUPO C</t>
  </si>
  <si>
    <t>Aviso Prévio Indenizado</t>
  </si>
  <si>
    <t>Aviso Prévio Trabalhado</t>
  </si>
  <si>
    <t>Férias Indenizadas</t>
  </si>
  <si>
    <t>Depósito Rescisão Sem Justa Causa</t>
  </si>
  <si>
    <t>Indenização Adicional</t>
  </si>
  <si>
    <t>GRUPO D</t>
  </si>
  <si>
    <t>Reincidência de Grupo A sobre Aviso Prévio</t>
  </si>
  <si>
    <t>Trabalhado e Reincidência do FGTS sobre Aviso</t>
  </si>
  <si>
    <t>Prévio Indenizado</t>
  </si>
  <si>
    <t>TOTAL(A+B+C+D)</t>
  </si>
  <si>
    <r>
      <t xml:space="preserve">Total </t>
    </r>
    <r>
      <rPr>
        <b/>
        <u/>
        <sz val="9"/>
        <rFont val="Times New Roman"/>
        <family val="1"/>
      </rPr>
      <t>(R$)</t>
    </r>
  </si>
  <si>
    <t>Fator de apoio (FU)</t>
  </si>
  <si>
    <r>
      <t>J</t>
    </r>
    <r>
      <rPr>
        <vertAlign val="subscript"/>
        <sz val="12"/>
        <color indexed="8"/>
        <rFont val="Times New Roman"/>
        <family val="1"/>
      </rPr>
      <t>m</t>
    </r>
    <r>
      <rPr>
        <sz val="12"/>
        <color indexed="8"/>
        <rFont val="Times New Roman"/>
        <family val="1"/>
      </rPr>
      <t xml:space="preserve"> = remuneração de capital mensal</t>
    </r>
  </si>
  <si>
    <r>
      <t>V</t>
    </r>
    <r>
      <rPr>
        <vertAlign val="subscript"/>
        <sz val="12"/>
        <color indexed="8"/>
        <rFont val="Times New Roman"/>
        <family val="1"/>
      </rPr>
      <t>0</t>
    </r>
    <r>
      <rPr>
        <sz val="12"/>
        <color indexed="8"/>
        <rFont val="Times New Roman"/>
        <family val="1"/>
      </rPr>
      <t xml:space="preserve"> = valor inicial do bem</t>
    </r>
  </si>
  <si>
    <r>
      <t>V</t>
    </r>
    <r>
      <rPr>
        <vertAlign val="subscript"/>
        <sz val="12"/>
        <color indexed="8"/>
        <rFont val="Times New Roman"/>
        <family val="1"/>
      </rPr>
      <t>r</t>
    </r>
    <r>
      <rPr>
        <sz val="12"/>
        <color indexed="8"/>
        <rFont val="Times New Roman"/>
        <family val="1"/>
      </rPr>
      <t xml:space="preserve"> = valor residual do bem</t>
    </r>
  </si>
  <si>
    <t>1.5 Fiscal Coleta</t>
  </si>
  <si>
    <t>1.6 Gerente Operacional</t>
  </si>
  <si>
    <t>1.7 Auxiliar Administrativo</t>
  </si>
  <si>
    <t>1.8 Encarregado Operacional</t>
  </si>
  <si>
    <t>1.9. Vale Transporte</t>
  </si>
  <si>
    <t>1.10. Vale-refeição (diário)</t>
  </si>
  <si>
    <t>1.11. Auxílio Alimentação (mensal)</t>
  </si>
  <si>
    <t>3.1. Veículo Coletor Compactador 15 m³</t>
  </si>
  <si>
    <t>Aluguel</t>
  </si>
  <si>
    <r>
      <t xml:space="preserve">Custo jg. compl. + </t>
    </r>
    <r>
      <rPr>
        <sz val="10"/>
        <rFont val="Times New Roman"/>
        <family val="1"/>
      </rPr>
      <t xml:space="preserve"> recap./ km rodado</t>
    </r>
  </si>
  <si>
    <t xml:space="preserve">Custo do jogo de pneus </t>
  </si>
  <si>
    <t>Outros</t>
  </si>
  <si>
    <t>Lote</t>
  </si>
  <si>
    <t>Item</t>
  </si>
  <si>
    <t>Descrição</t>
  </si>
  <si>
    <t>Valor Unitário</t>
  </si>
  <si>
    <t>Valor Mensal</t>
  </si>
  <si>
    <t>Valor Anual</t>
  </si>
  <si>
    <t>Contratação de empresa especializada na coleta manual e mecanizada e transporte de resíduos sólidos domiciliares até o aterro do município de Lages.</t>
  </si>
  <si>
    <t>Toneladas</t>
  </si>
  <si>
    <t>Total Geral: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</si>
</sst>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R$ &quot;#,##0.00_);\(&quot;R$ &quot;#,##0.00\)"/>
    <numFmt numFmtId="165" formatCode="_(* #,##0.00_);_(* \(#,##0.00\);_(* &quot;-&quot;??_);_(@_)"/>
    <numFmt numFmtId="166" formatCode="_(* #,##0_);_(* \(#,##0\);_(* &quot;-&quot;??_);_(@_)"/>
    <numFmt numFmtId="167" formatCode="_(* #,##0.000_);_(* \(#,##0.000\);_(* &quot;-&quot;??_);_(@_)"/>
    <numFmt numFmtId="168" formatCode="&quot;R$ &quot;#,##0.00"/>
    <numFmt numFmtId="169" formatCode="0.0000"/>
    <numFmt numFmtId="170" formatCode="_-* #,##0.000_-;\-* #,##0.000_-;_-* &quot;-&quot;??_-;_-@_-"/>
    <numFmt numFmtId="171" formatCode="_-* #,##0.00_-;\-* #,##0.00_-;_-* &quot;-&quot;?_-;_-@_-"/>
    <numFmt numFmtId="172" formatCode="_-* #,##0_-;\-* #,##0_-;_-* &quot;-&quot;?_-;_-@_-"/>
  </numFmts>
  <fonts count="32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4"/>
      <name val="Times New Roman"/>
      <family val="1"/>
    </font>
    <font>
      <b/>
      <sz val="11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b/>
      <sz val="9"/>
      <name val="Times New Roman"/>
      <family val="1"/>
    </font>
    <font>
      <b/>
      <u/>
      <sz val="9"/>
      <name val="Times New Roman"/>
      <family val="1"/>
    </font>
    <font>
      <u/>
      <sz val="10"/>
      <color indexed="12"/>
      <name val="Times New Roman"/>
      <family val="1"/>
    </font>
    <font>
      <sz val="8"/>
      <name val="Times New Roman"/>
      <family val="1"/>
    </font>
    <font>
      <sz val="9"/>
      <name val="Times New Roman"/>
      <family val="1"/>
    </font>
    <font>
      <i/>
      <sz val="10"/>
      <name val="Times New Roman"/>
      <family val="1"/>
    </font>
    <font>
      <sz val="11"/>
      <name val="Times New Roman"/>
      <family val="1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sz val="12"/>
      <color theme="1"/>
      <name val="Times New Roman"/>
      <family val="1"/>
    </font>
    <font>
      <vertAlign val="subscript"/>
      <sz val="12"/>
      <color indexed="8"/>
      <name val="Times New Roman"/>
      <family val="1"/>
    </font>
    <font>
      <sz val="12"/>
      <color indexed="8"/>
      <name val="Times New Roman"/>
      <family val="1"/>
    </font>
    <font>
      <sz val="10"/>
      <color theme="1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C000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</cellStyleXfs>
  <cellXfs count="385">
    <xf numFmtId="0" fontId="0" fillId="0" borderId="0" xfId="0"/>
    <xf numFmtId="0" fontId="6" fillId="0" borderId="0" xfId="0" applyFont="1"/>
    <xf numFmtId="0" fontId="0" fillId="0" borderId="0" xfId="0" applyAlignment="1">
      <alignment vertical="center"/>
    </xf>
    <xf numFmtId="165" fontId="0" fillId="0" borderId="0" xfId="3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165" fontId="6" fillId="0" borderId="0" xfId="3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65" fontId="5" fillId="0" borderId="0" xfId="3" applyFont="1" applyAlignment="1">
      <alignment vertical="center"/>
    </xf>
    <xf numFmtId="165" fontId="6" fillId="0" borderId="0" xfId="3" applyFont="1"/>
    <xf numFmtId="165" fontId="4" fillId="0" borderId="0" xfId="3" applyFont="1" applyAlignment="1">
      <alignment vertical="center"/>
    </xf>
    <xf numFmtId="0" fontId="9" fillId="0" borderId="0" xfId="0" applyFont="1" applyAlignment="1">
      <alignment vertical="center"/>
    </xf>
    <xf numFmtId="0" fontId="6" fillId="0" borderId="0" xfId="0" applyFont="1" applyFill="1" applyAlignment="1">
      <alignment vertical="center"/>
    </xf>
    <xf numFmtId="165" fontId="9" fillId="0" borderId="0" xfId="3" applyFont="1" applyAlignment="1">
      <alignment vertical="center"/>
    </xf>
    <xf numFmtId="43" fontId="6" fillId="0" borderId="0" xfId="0" applyNumberFormat="1" applyFont="1" applyAlignment="1">
      <alignment vertical="center"/>
    </xf>
    <xf numFmtId="0" fontId="4" fillId="0" borderId="0" xfId="0" applyFont="1"/>
    <xf numFmtId="165" fontId="6" fillId="0" borderId="0" xfId="3" applyFont="1" applyFill="1" applyAlignment="1">
      <alignment vertical="center"/>
    </xf>
    <xf numFmtId="0" fontId="0" fillId="0" borderId="0" xfId="0" applyAlignment="1">
      <alignment horizontal="center"/>
    </xf>
    <xf numFmtId="0" fontId="5" fillId="0" borderId="0" xfId="0" applyFont="1" applyFill="1" applyAlignment="1">
      <alignment vertic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6" fillId="0" borderId="0" xfId="0" applyFont="1" applyBorder="1"/>
    <xf numFmtId="0" fontId="2" fillId="0" borderId="0" xfId="0" applyFont="1"/>
    <xf numFmtId="0" fontId="2" fillId="0" borderId="0" xfId="0" applyFont="1" applyFill="1"/>
    <xf numFmtId="0" fontId="16" fillId="0" borderId="38" xfId="0" applyFont="1" applyFill="1" applyBorder="1" applyAlignment="1">
      <alignment vertical="center"/>
    </xf>
    <xf numFmtId="4" fontId="16" fillId="0" borderId="0" xfId="0" applyNumberFormat="1" applyFont="1" applyFill="1" applyBorder="1" applyAlignment="1">
      <alignment vertical="center"/>
    </xf>
    <xf numFmtId="165" fontId="16" fillId="0" borderId="0" xfId="3" applyFont="1" applyFill="1" applyBorder="1" applyAlignment="1">
      <alignment vertical="center"/>
    </xf>
    <xf numFmtId="165" fontId="16" fillId="0" borderId="39" xfId="3" applyFont="1" applyFill="1" applyBorder="1" applyAlignment="1">
      <alignment vertical="center"/>
    </xf>
    <xf numFmtId="165" fontId="18" fillId="0" borderId="19" xfId="3" applyFont="1" applyBorder="1" applyAlignment="1">
      <alignment horizontal="center" vertical="center"/>
    </xf>
    <xf numFmtId="165" fontId="16" fillId="0" borderId="11" xfId="3" applyFont="1" applyBorder="1" applyAlignment="1">
      <alignment vertical="center"/>
    </xf>
    <xf numFmtId="165" fontId="18" fillId="0" borderId="11" xfId="3" applyFont="1" applyBorder="1" applyAlignment="1">
      <alignment vertical="center"/>
    </xf>
    <xf numFmtId="165" fontId="18" fillId="0" borderId="35" xfId="3" applyFont="1" applyBorder="1" applyAlignment="1">
      <alignment vertical="center"/>
    </xf>
    <xf numFmtId="165" fontId="18" fillId="0" borderId="12" xfId="3" applyFont="1" applyBorder="1" applyAlignment="1">
      <alignment horizontal="center" vertical="center"/>
    </xf>
    <xf numFmtId="165" fontId="18" fillId="0" borderId="14" xfId="3" applyFont="1" applyBorder="1" applyAlignment="1">
      <alignment vertical="center"/>
    </xf>
    <xf numFmtId="165" fontId="18" fillId="0" borderId="9" xfId="0" applyNumberFormat="1" applyFont="1" applyBorder="1" applyAlignment="1">
      <alignment vertical="center"/>
    </xf>
    <xf numFmtId="165" fontId="18" fillId="0" borderId="9" xfId="3" applyFont="1" applyBorder="1" applyAlignment="1">
      <alignment vertical="center"/>
    </xf>
    <xf numFmtId="168" fontId="18" fillId="0" borderId="1" xfId="0" applyNumberFormat="1" applyFont="1" applyBorder="1" applyAlignment="1">
      <alignment vertical="center"/>
    </xf>
    <xf numFmtId="10" fontId="18" fillId="0" borderId="15" xfId="2" applyNumberFormat="1" applyFont="1" applyBorder="1" applyAlignment="1">
      <alignment vertical="center"/>
    </xf>
    <xf numFmtId="165" fontId="16" fillId="0" borderId="14" xfId="3" applyFont="1" applyBorder="1" applyAlignment="1">
      <alignment vertical="center"/>
    </xf>
    <xf numFmtId="165" fontId="16" fillId="0" borderId="9" xfId="0" applyNumberFormat="1" applyFont="1" applyBorder="1" applyAlignment="1">
      <alignment vertical="center"/>
    </xf>
    <xf numFmtId="165" fontId="16" fillId="0" borderId="9" xfId="3" applyFont="1" applyBorder="1" applyAlignment="1">
      <alignment vertical="center"/>
    </xf>
    <xf numFmtId="168" fontId="16" fillId="0" borderId="1" xfId="0" applyNumberFormat="1" applyFont="1" applyBorder="1" applyAlignment="1">
      <alignment vertical="center"/>
    </xf>
    <xf numFmtId="10" fontId="16" fillId="0" borderId="15" xfId="2" applyNumberFormat="1" applyFont="1" applyBorder="1" applyAlignment="1">
      <alignment vertical="center"/>
    </xf>
    <xf numFmtId="165" fontId="18" fillId="0" borderId="14" xfId="3" applyFont="1" applyBorder="1" applyAlignment="1">
      <alignment horizontal="left" vertical="center"/>
    </xf>
    <xf numFmtId="4" fontId="18" fillId="0" borderId="9" xfId="0" applyNumberFormat="1" applyFont="1" applyBorder="1" applyAlignment="1">
      <alignment horizontal="centerContinuous" vertical="center"/>
    </xf>
    <xf numFmtId="165" fontId="16" fillId="0" borderId="14" xfId="3" applyFont="1" applyBorder="1" applyAlignment="1">
      <alignment horizontal="left" vertical="center"/>
    </xf>
    <xf numFmtId="4" fontId="16" fillId="0" borderId="9" xfId="0" applyNumberFormat="1" applyFont="1" applyBorder="1" applyAlignment="1">
      <alignment horizontal="centerContinuous" vertical="center"/>
    </xf>
    <xf numFmtId="168" fontId="18" fillId="0" borderId="36" xfId="0" applyNumberFormat="1" applyFont="1" applyBorder="1" applyAlignment="1">
      <alignment vertical="center"/>
    </xf>
    <xf numFmtId="165" fontId="18" fillId="0" borderId="5" xfId="3" applyFont="1" applyBorder="1" applyAlignment="1">
      <alignment horizontal="left" vertical="center"/>
    </xf>
    <xf numFmtId="4" fontId="18" fillId="0" borderId="6" xfId="0" applyNumberFormat="1" applyFont="1" applyBorder="1" applyAlignment="1">
      <alignment horizontal="centerContinuous" vertical="center"/>
    </xf>
    <xf numFmtId="165" fontId="18" fillId="0" borderId="6" xfId="3" applyFont="1" applyBorder="1" applyAlignment="1">
      <alignment vertical="center"/>
    </xf>
    <xf numFmtId="164" fontId="18" fillId="0" borderId="34" xfId="0" applyNumberFormat="1" applyFont="1" applyBorder="1" applyAlignment="1">
      <alignment vertical="center"/>
    </xf>
    <xf numFmtId="9" fontId="18" fillId="0" borderId="18" xfId="2" applyFont="1" applyBorder="1" applyAlignment="1">
      <alignment vertical="center"/>
    </xf>
    <xf numFmtId="0" fontId="16" fillId="0" borderId="0" xfId="0" applyFont="1" applyAlignment="1">
      <alignment vertical="center"/>
    </xf>
    <xf numFmtId="165" fontId="16" fillId="0" borderId="0" xfId="3" applyFont="1" applyAlignment="1">
      <alignment vertical="center"/>
    </xf>
    <xf numFmtId="165" fontId="18" fillId="0" borderId="13" xfId="3" applyFont="1" applyBorder="1" applyAlignment="1">
      <alignment horizontal="right" vertical="center"/>
    </xf>
    <xf numFmtId="165" fontId="16" fillId="0" borderId="19" xfId="3" applyFont="1" applyBorder="1" applyAlignment="1">
      <alignment vertical="center"/>
    </xf>
    <xf numFmtId="0" fontId="16" fillId="0" borderId="11" xfId="0" applyFont="1" applyBorder="1" applyAlignment="1">
      <alignment vertical="center"/>
    </xf>
    <xf numFmtId="1" fontId="16" fillId="0" borderId="12" xfId="3" applyNumberFormat="1" applyFont="1" applyBorder="1" applyAlignment="1">
      <alignment horizontal="center" vertical="center"/>
    </xf>
    <xf numFmtId="0" fontId="16" fillId="0" borderId="9" xfId="0" applyFont="1" applyBorder="1" applyAlignment="1">
      <alignment vertical="center"/>
    </xf>
    <xf numFmtId="1" fontId="16" fillId="0" borderId="20" xfId="3" applyNumberFormat="1" applyFont="1" applyBorder="1" applyAlignment="1">
      <alignment horizontal="center" vertical="center"/>
    </xf>
    <xf numFmtId="165" fontId="18" fillId="0" borderId="28" xfId="3" applyFont="1" applyBorder="1" applyAlignment="1">
      <alignment vertical="center"/>
    </xf>
    <xf numFmtId="4" fontId="18" fillId="0" borderId="29" xfId="0" applyNumberFormat="1" applyFont="1" applyBorder="1" applyAlignment="1">
      <alignment vertical="center"/>
    </xf>
    <xf numFmtId="0" fontId="16" fillId="0" borderId="29" xfId="0" applyFont="1" applyBorder="1" applyAlignment="1">
      <alignment vertical="center"/>
    </xf>
    <xf numFmtId="1" fontId="18" fillId="0" borderId="31" xfId="3" applyNumberFormat="1" applyFont="1" applyBorder="1" applyAlignment="1">
      <alignment horizontal="center" vertical="center"/>
    </xf>
    <xf numFmtId="165" fontId="18" fillId="0" borderId="38" xfId="3" applyFont="1" applyBorder="1" applyAlignment="1">
      <alignment vertical="center"/>
    </xf>
    <xf numFmtId="4" fontId="18" fillId="0" borderId="0" xfId="0" applyNumberFormat="1" applyFont="1" applyBorder="1" applyAlignment="1">
      <alignment vertical="center"/>
    </xf>
    <xf numFmtId="165" fontId="16" fillId="0" borderId="0" xfId="3" applyFont="1" applyBorder="1" applyAlignment="1">
      <alignment vertical="center"/>
    </xf>
    <xf numFmtId="165" fontId="16" fillId="0" borderId="40" xfId="3" applyFont="1" applyBorder="1" applyAlignment="1">
      <alignment vertical="center"/>
    </xf>
    <xf numFmtId="165" fontId="16" fillId="0" borderId="41" xfId="3" applyFont="1" applyBorder="1" applyAlignment="1">
      <alignment vertical="center"/>
    </xf>
    <xf numFmtId="0" fontId="16" fillId="0" borderId="41" xfId="0" applyFont="1" applyBorder="1" applyAlignment="1">
      <alignment vertical="center"/>
    </xf>
    <xf numFmtId="1" fontId="16" fillId="0" borderId="37" xfId="3" applyNumberFormat="1" applyFont="1" applyBorder="1" applyAlignment="1">
      <alignment horizontal="center" vertical="center"/>
    </xf>
    <xf numFmtId="0" fontId="16" fillId="0" borderId="0" xfId="0" applyFont="1" applyBorder="1" applyAlignment="1">
      <alignment vertical="center"/>
    </xf>
    <xf numFmtId="1" fontId="16" fillId="0" borderId="0" xfId="3" applyNumberFormat="1" applyFont="1" applyBorder="1" applyAlignment="1">
      <alignment horizontal="center" vertical="center"/>
    </xf>
    <xf numFmtId="166" fontId="16" fillId="0" borderId="0" xfId="3" applyNumberFormat="1" applyFont="1" applyBorder="1" applyAlignment="1">
      <alignment horizontal="center" vertical="center"/>
    </xf>
    <xf numFmtId="165" fontId="18" fillId="0" borderId="5" xfId="3" applyFont="1" applyBorder="1" applyAlignment="1">
      <alignment vertical="center"/>
    </xf>
    <xf numFmtId="9" fontId="18" fillId="3" borderId="7" xfId="2" applyFont="1" applyFill="1" applyBorder="1" applyAlignment="1">
      <alignment vertical="center"/>
    </xf>
    <xf numFmtId="165" fontId="18" fillId="0" borderId="0" xfId="3" applyFont="1" applyBorder="1" applyAlignment="1">
      <alignment vertical="center"/>
    </xf>
    <xf numFmtId="0" fontId="18" fillId="0" borderId="0" xfId="0" applyFont="1" applyBorder="1" applyAlignment="1">
      <alignment vertical="center"/>
    </xf>
    <xf numFmtId="166" fontId="18" fillId="0" borderId="0" xfId="3" applyNumberFormat="1" applyFont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19" fillId="2" borderId="16" xfId="0" applyFont="1" applyFill="1" applyBorder="1" applyAlignment="1">
      <alignment horizontal="center" vertical="center"/>
    </xf>
    <xf numFmtId="0" fontId="19" fillId="2" borderId="17" xfId="0" applyFont="1" applyFill="1" applyBorder="1" applyAlignment="1">
      <alignment horizontal="center" vertical="center"/>
    </xf>
    <xf numFmtId="165" fontId="19" fillId="2" borderId="17" xfId="3" applyFont="1" applyFill="1" applyBorder="1" applyAlignment="1">
      <alignment horizontal="center" vertical="center"/>
    </xf>
    <xf numFmtId="165" fontId="19" fillId="2" borderId="18" xfId="3" applyFont="1" applyFill="1" applyBorder="1" applyAlignment="1">
      <alignment horizontal="center" vertical="center"/>
    </xf>
    <xf numFmtId="0" fontId="16" fillId="0" borderId="2" xfId="0" applyFont="1" applyBorder="1" applyAlignment="1">
      <alignment vertical="center"/>
    </xf>
    <xf numFmtId="0" fontId="16" fillId="0" borderId="2" xfId="0" applyFont="1" applyBorder="1" applyAlignment="1">
      <alignment horizontal="center" vertical="center"/>
    </xf>
    <xf numFmtId="165" fontId="16" fillId="3" borderId="2" xfId="3" applyFont="1" applyFill="1" applyBorder="1" applyAlignment="1">
      <alignment horizontal="center" vertical="center"/>
    </xf>
    <xf numFmtId="165" fontId="16" fillId="0" borderId="2" xfId="3" applyFont="1" applyBorder="1" applyAlignment="1">
      <alignment horizontal="center" vertical="center"/>
    </xf>
    <xf numFmtId="0" fontId="16" fillId="0" borderId="1" xfId="0" applyFont="1" applyBorder="1" applyAlignment="1">
      <alignment vertical="center"/>
    </xf>
    <xf numFmtId="0" fontId="16" fillId="0" borderId="1" xfId="0" applyFont="1" applyBorder="1" applyAlignment="1">
      <alignment horizontal="center" vertical="center"/>
    </xf>
    <xf numFmtId="2" fontId="16" fillId="3" borderId="1" xfId="0" applyNumberFormat="1" applyFont="1" applyFill="1" applyBorder="1" applyAlignment="1">
      <alignment horizontal="center" vertical="center"/>
    </xf>
    <xf numFmtId="165" fontId="16" fillId="0" borderId="1" xfId="3" applyFont="1" applyBorder="1" applyAlignment="1">
      <alignment horizontal="center" vertical="center"/>
    </xf>
    <xf numFmtId="165" fontId="16" fillId="0" borderId="1" xfId="3" applyFont="1" applyFill="1" applyBorder="1" applyAlignment="1">
      <alignment horizontal="center" vertical="center"/>
    </xf>
    <xf numFmtId="0" fontId="18" fillId="0" borderId="3" xfId="0" applyFont="1" applyBorder="1" applyAlignment="1">
      <alignment vertical="center"/>
    </xf>
    <xf numFmtId="0" fontId="18" fillId="0" borderId="0" xfId="0" applyFont="1" applyAlignment="1">
      <alignment horizontal="center" vertical="center"/>
    </xf>
    <xf numFmtId="165" fontId="18" fillId="0" borderId="0" xfId="3" applyFont="1" applyAlignment="1">
      <alignment horizontal="center" vertical="center"/>
    </xf>
    <xf numFmtId="165" fontId="18" fillId="0" borderId="3" xfId="3" applyFont="1" applyBorder="1" applyAlignment="1">
      <alignment horizontal="center" vertical="center"/>
    </xf>
    <xf numFmtId="165" fontId="16" fillId="5" borderId="1" xfId="3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/>
    </xf>
    <xf numFmtId="165" fontId="16" fillId="0" borderId="0" xfId="3" applyFont="1" applyAlignment="1">
      <alignment horizontal="right" vertical="center"/>
    </xf>
    <xf numFmtId="165" fontId="16" fillId="0" borderId="1" xfId="3" applyFont="1" applyBorder="1" applyAlignment="1">
      <alignment vertical="center"/>
    </xf>
    <xf numFmtId="165" fontId="18" fillId="2" borderId="7" xfId="3" applyFont="1" applyFill="1" applyBorder="1" applyAlignment="1">
      <alignment horizontal="center" vertical="center"/>
    </xf>
    <xf numFmtId="2" fontId="16" fillId="0" borderId="1" xfId="3" applyNumberFormat="1" applyFont="1" applyBorder="1" applyAlignment="1">
      <alignment horizontal="center" vertical="center"/>
    </xf>
    <xf numFmtId="1" fontId="16" fillId="3" borderId="1" xfId="0" applyNumberFormat="1" applyFont="1" applyFill="1" applyBorder="1" applyAlignment="1">
      <alignment horizontal="center" vertical="center"/>
    </xf>
    <xf numFmtId="0" fontId="18" fillId="0" borderId="1" xfId="0" applyFont="1" applyBorder="1" applyAlignment="1">
      <alignment vertical="center"/>
    </xf>
    <xf numFmtId="165" fontId="18" fillId="0" borderId="1" xfId="3" applyFont="1" applyBorder="1" applyAlignment="1">
      <alignment horizontal="center" vertical="center"/>
    </xf>
    <xf numFmtId="165" fontId="18" fillId="0" borderId="0" xfId="3" applyFont="1" applyAlignment="1">
      <alignment vertical="center"/>
    </xf>
    <xf numFmtId="0" fontId="18" fillId="0" borderId="9" xfId="0" applyFont="1" applyBorder="1" applyAlignment="1">
      <alignment horizontal="center" vertical="center"/>
    </xf>
    <xf numFmtId="165" fontId="18" fillId="0" borderId="9" xfId="3" applyFont="1" applyBorder="1" applyAlignment="1">
      <alignment horizontal="center" vertical="center"/>
    </xf>
    <xf numFmtId="0" fontId="16" fillId="0" borderId="0" xfId="0" applyFont="1" applyAlignment="1">
      <alignment horizontal="right" vertical="center"/>
    </xf>
    <xf numFmtId="166" fontId="16" fillId="0" borderId="1" xfId="3" applyNumberFormat="1" applyFont="1" applyBorder="1" applyAlignment="1">
      <alignment horizontal="center" vertical="center"/>
    </xf>
    <xf numFmtId="165" fontId="16" fillId="3" borderId="0" xfId="3" applyFont="1" applyFill="1" applyAlignment="1">
      <alignment vertical="center"/>
    </xf>
    <xf numFmtId="0" fontId="16" fillId="3" borderId="0" xfId="0" applyFont="1" applyFill="1" applyAlignment="1">
      <alignment vertical="center"/>
    </xf>
    <xf numFmtId="166" fontId="16" fillId="0" borderId="1" xfId="3" applyNumberFormat="1" applyFont="1" applyBorder="1" applyAlignment="1">
      <alignment vertical="center"/>
    </xf>
    <xf numFmtId="165" fontId="18" fillId="2" borderId="4" xfId="3" applyFont="1" applyFill="1" applyBorder="1" applyAlignment="1">
      <alignment vertical="center"/>
    </xf>
    <xf numFmtId="165" fontId="18" fillId="0" borderId="0" xfId="3" applyFont="1" applyFill="1" applyBorder="1" applyAlignment="1">
      <alignment vertical="center"/>
    </xf>
    <xf numFmtId="166" fontId="16" fillId="0" borderId="1" xfId="3" applyNumberFormat="1" applyFont="1" applyFill="1" applyBorder="1" applyAlignment="1">
      <alignment vertical="center"/>
    </xf>
    <xf numFmtId="165" fontId="16" fillId="3" borderId="1" xfId="3" applyNumberFormat="1" applyFont="1" applyFill="1" applyBorder="1" applyAlignment="1">
      <alignment horizontal="center" vertical="center"/>
    </xf>
    <xf numFmtId="0" fontId="18" fillId="0" borderId="5" xfId="0" applyFont="1" applyBorder="1" applyAlignment="1">
      <alignment vertical="center"/>
    </xf>
    <xf numFmtId="0" fontId="18" fillId="0" borderId="6" xfId="0" applyFont="1" applyBorder="1" applyAlignment="1">
      <alignment vertical="center"/>
    </xf>
    <xf numFmtId="165" fontId="18" fillId="0" borderId="7" xfId="3" applyFont="1" applyBorder="1" applyAlignment="1">
      <alignment vertical="center"/>
    </xf>
    <xf numFmtId="0" fontId="19" fillId="2" borderId="17" xfId="0" applyFont="1" applyFill="1" applyBorder="1" applyAlignment="1">
      <alignment horizontal="center" vertical="center" wrapText="1"/>
    </xf>
    <xf numFmtId="13" fontId="16" fillId="3" borderId="1" xfId="0" applyNumberFormat="1" applyFont="1" applyFill="1" applyBorder="1" applyAlignment="1">
      <alignment horizontal="center" vertical="center"/>
    </xf>
    <xf numFmtId="0" fontId="16" fillId="0" borderId="1" xfId="0" applyFont="1" applyBorder="1"/>
    <xf numFmtId="0" fontId="16" fillId="0" borderId="1" xfId="0" applyFont="1" applyBorder="1" applyAlignment="1">
      <alignment horizontal="center"/>
    </xf>
    <xf numFmtId="165" fontId="16" fillId="0" borderId="0" xfId="3" applyFont="1"/>
    <xf numFmtId="1" fontId="16" fillId="0" borderId="1" xfId="0" applyNumberFormat="1" applyFont="1" applyFill="1" applyBorder="1" applyAlignment="1">
      <alignment horizontal="center" vertical="center"/>
    </xf>
    <xf numFmtId="1" fontId="16" fillId="0" borderId="1" xfId="0" applyNumberFormat="1" applyFont="1" applyBorder="1" applyAlignment="1">
      <alignment horizontal="center" vertical="center"/>
    </xf>
    <xf numFmtId="0" fontId="16" fillId="0" borderId="6" xfId="0" applyFont="1" applyBorder="1" applyAlignment="1">
      <alignment vertical="center"/>
    </xf>
    <xf numFmtId="165" fontId="16" fillId="0" borderId="6" xfId="3" applyFont="1" applyBorder="1" applyAlignment="1">
      <alignment vertical="center"/>
    </xf>
    <xf numFmtId="165" fontId="16" fillId="0" borderId="7" xfId="3" applyFont="1" applyBorder="1" applyAlignment="1">
      <alignment vertical="center"/>
    </xf>
    <xf numFmtId="165" fontId="18" fillId="2" borderId="4" xfId="3" applyFont="1" applyFill="1" applyBorder="1" applyAlignment="1">
      <alignment horizontal="center" vertical="center"/>
    </xf>
    <xf numFmtId="0" fontId="21" fillId="0" borderId="0" xfId="1" applyFont="1" applyAlignment="1" applyProtection="1">
      <alignment vertical="center"/>
    </xf>
    <xf numFmtId="0" fontId="16" fillId="0" borderId="2" xfId="0" applyFont="1" applyFill="1" applyBorder="1" applyAlignment="1">
      <alignment horizontal="center" vertical="center"/>
    </xf>
    <xf numFmtId="165" fontId="16" fillId="0" borderId="0" xfId="3" applyFont="1" applyAlignment="1">
      <alignment horizontal="center" vertical="center"/>
    </xf>
    <xf numFmtId="0" fontId="18" fillId="0" borderId="54" xfId="0" applyFont="1" applyBorder="1" applyAlignment="1">
      <alignment vertical="center"/>
    </xf>
    <xf numFmtId="0" fontId="18" fillId="0" borderId="54" xfId="0" applyFont="1" applyBorder="1" applyAlignment="1">
      <alignment horizontal="center" vertical="center"/>
    </xf>
    <xf numFmtId="165" fontId="18" fillId="0" borderId="54" xfId="3" applyFont="1" applyBorder="1" applyAlignment="1">
      <alignment horizontal="center" vertical="center"/>
    </xf>
    <xf numFmtId="165" fontId="16" fillId="5" borderId="1" xfId="3" applyFont="1" applyFill="1" applyBorder="1" applyAlignment="1">
      <alignment vertical="center"/>
    </xf>
    <xf numFmtId="0" fontId="18" fillId="0" borderId="1" xfId="0" applyFont="1" applyBorder="1" applyAlignment="1">
      <alignment horizontal="center" vertical="center"/>
    </xf>
    <xf numFmtId="0" fontId="22" fillId="0" borderId="0" xfId="0" applyFont="1" applyBorder="1" applyAlignment="1">
      <alignment horizontal="left" vertical="center" wrapText="1"/>
    </xf>
    <xf numFmtId="0" fontId="19" fillId="2" borderId="32" xfId="0" applyFont="1" applyFill="1" applyBorder="1" applyAlignment="1">
      <alignment horizontal="center" vertical="center"/>
    </xf>
    <xf numFmtId="0" fontId="19" fillId="2" borderId="33" xfId="0" applyFont="1" applyFill="1" applyBorder="1" applyAlignment="1">
      <alignment horizontal="center" vertical="center"/>
    </xf>
    <xf numFmtId="165" fontId="19" fillId="2" borderId="33" xfId="3" applyFont="1" applyFill="1" applyBorder="1" applyAlignment="1">
      <alignment horizontal="center" vertical="center"/>
    </xf>
    <xf numFmtId="165" fontId="16" fillId="0" borderId="1" xfId="0" applyNumberFormat="1" applyFont="1" applyFill="1" applyBorder="1" applyAlignment="1">
      <alignment horizontal="center" vertical="center"/>
    </xf>
    <xf numFmtId="165" fontId="18" fillId="0" borderId="54" xfId="3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165" fontId="18" fillId="0" borderId="1" xfId="3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165" fontId="16" fillId="3" borderId="1" xfId="3" applyFont="1" applyFill="1" applyBorder="1" applyAlignment="1">
      <alignment horizontal="center" vertical="center"/>
    </xf>
    <xf numFmtId="165" fontId="18" fillId="0" borderId="0" xfId="3" applyFont="1" applyBorder="1" applyAlignment="1">
      <alignment horizontal="center" vertical="center"/>
    </xf>
    <xf numFmtId="3" fontId="16" fillId="0" borderId="0" xfId="0" applyNumberFormat="1" applyFont="1" applyAlignment="1">
      <alignment vertical="center"/>
    </xf>
    <xf numFmtId="3" fontId="16" fillId="3" borderId="1" xfId="0" applyNumberFormat="1" applyFont="1" applyFill="1" applyBorder="1" applyAlignment="1">
      <alignment vertical="center"/>
    </xf>
    <xf numFmtId="4" fontId="16" fillId="3" borderId="2" xfId="0" applyNumberFormat="1" applyFont="1" applyFill="1" applyBorder="1" applyAlignment="1">
      <alignment horizontal="center" vertical="center"/>
    </xf>
    <xf numFmtId="167" fontId="16" fillId="3" borderId="2" xfId="3" applyNumberFormat="1" applyFont="1" applyFill="1" applyBorder="1" applyAlignment="1">
      <alignment horizontal="center" vertical="center"/>
    </xf>
    <xf numFmtId="167" fontId="16" fillId="0" borderId="2" xfId="3" applyNumberFormat="1" applyFont="1" applyBorder="1" applyAlignment="1">
      <alignment horizontal="center" vertical="center"/>
    </xf>
    <xf numFmtId="4" fontId="16" fillId="3" borderId="1" xfId="0" applyNumberFormat="1" applyFont="1" applyFill="1" applyBorder="1" applyAlignment="1">
      <alignment horizontal="center" vertical="center"/>
    </xf>
    <xf numFmtId="167" fontId="16" fillId="0" borderId="1" xfId="3" applyNumberFormat="1" applyFont="1" applyBorder="1" applyAlignment="1">
      <alignment horizontal="center" vertical="center"/>
    </xf>
    <xf numFmtId="166" fontId="18" fillId="0" borderId="1" xfId="3" applyNumberFormat="1" applyFont="1" applyBorder="1" applyAlignment="1">
      <alignment horizontal="center" vertical="center"/>
    </xf>
    <xf numFmtId="167" fontId="18" fillId="0" borderId="1" xfId="3" applyNumberFormat="1" applyFont="1" applyBorder="1" applyAlignment="1">
      <alignment horizontal="center" vertical="center"/>
    </xf>
    <xf numFmtId="0" fontId="16" fillId="3" borderId="2" xfId="0" applyFont="1" applyFill="1" applyBorder="1" applyAlignment="1">
      <alignment horizontal="center" vertical="center"/>
    </xf>
    <xf numFmtId="165" fontId="16" fillId="0" borderId="2" xfId="3" applyFont="1" applyFill="1" applyBorder="1" applyAlignment="1">
      <alignment horizontal="center" vertical="center"/>
    </xf>
    <xf numFmtId="3" fontId="16" fillId="3" borderId="1" xfId="0" applyNumberFormat="1" applyFont="1" applyFill="1" applyBorder="1" applyAlignment="1">
      <alignment horizontal="center" vertical="center"/>
    </xf>
    <xf numFmtId="165" fontId="18" fillId="0" borderId="0" xfId="3" applyFont="1" applyFill="1" applyBorder="1" applyAlignment="1">
      <alignment horizontal="center" vertical="center"/>
    </xf>
    <xf numFmtId="165" fontId="16" fillId="0" borderId="0" xfId="3" applyFont="1" applyFill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16" fillId="0" borderId="1" xfId="0" applyNumberFormat="1" applyFont="1" applyBorder="1" applyAlignment="1">
      <alignment horizontal="center" vertical="center"/>
    </xf>
    <xf numFmtId="165" fontId="24" fillId="0" borderId="1" xfId="3" applyFont="1" applyBorder="1" applyAlignment="1">
      <alignment horizontal="center" vertical="center"/>
    </xf>
    <xf numFmtId="0" fontId="22" fillId="0" borderId="0" xfId="0" applyFont="1" applyBorder="1" applyAlignment="1">
      <alignment vertical="center"/>
    </xf>
    <xf numFmtId="165" fontId="18" fillId="2" borderId="4" xfId="3" applyNumberFormat="1" applyFont="1" applyFill="1" applyBorder="1" applyAlignment="1">
      <alignment horizontal="center" vertical="center"/>
    </xf>
    <xf numFmtId="0" fontId="17" fillId="0" borderId="0" xfId="0" applyFont="1" applyBorder="1" applyAlignment="1">
      <alignment vertical="center"/>
    </xf>
    <xf numFmtId="165" fontId="17" fillId="0" borderId="0" xfId="3" applyFont="1" applyBorder="1" applyAlignment="1">
      <alignment vertical="center"/>
    </xf>
    <xf numFmtId="0" fontId="25" fillId="0" borderId="0" xfId="0" applyFont="1" applyAlignment="1">
      <alignment vertical="center"/>
    </xf>
    <xf numFmtId="165" fontId="25" fillId="0" borderId="0" xfId="3" applyFont="1" applyAlignment="1">
      <alignment vertical="center"/>
    </xf>
    <xf numFmtId="0" fontId="16" fillId="0" borderId="8" xfId="0" applyFont="1" applyBorder="1" applyAlignment="1">
      <alignment vertical="center"/>
    </xf>
    <xf numFmtId="165" fontId="18" fillId="0" borderId="7" xfId="3" applyFont="1" applyBorder="1" applyAlignment="1">
      <alignment horizontal="right" vertical="center"/>
    </xf>
    <xf numFmtId="165" fontId="17" fillId="0" borderId="0" xfId="3" applyFont="1" applyAlignment="1">
      <alignment vertical="center"/>
    </xf>
    <xf numFmtId="0" fontId="13" fillId="0" borderId="14" xfId="0" applyFont="1" applyBorder="1"/>
    <xf numFmtId="0" fontId="25" fillId="0" borderId="15" xfId="0" applyFont="1" applyBorder="1"/>
    <xf numFmtId="0" fontId="13" fillId="0" borderId="47" xfId="0" applyFont="1" applyBorder="1"/>
    <xf numFmtId="0" fontId="13" fillId="3" borderId="20" xfId="0" applyFont="1" applyFill="1" applyBorder="1"/>
    <xf numFmtId="0" fontId="13" fillId="0" borderId="23" xfId="0" applyFont="1" applyBorder="1"/>
    <xf numFmtId="0" fontId="25" fillId="0" borderId="23" xfId="0" applyFont="1" applyBorder="1"/>
    <xf numFmtId="0" fontId="25" fillId="3" borderId="20" xfId="0" applyFont="1" applyFill="1" applyBorder="1"/>
    <xf numFmtId="0" fontId="25" fillId="0" borderId="47" xfId="0" applyFont="1" applyBorder="1"/>
    <xf numFmtId="0" fontId="25" fillId="3" borderId="48" xfId="0" applyFont="1" applyFill="1" applyBorder="1"/>
    <xf numFmtId="0" fontId="25" fillId="0" borderId="55" xfId="0" applyFont="1" applyBorder="1"/>
    <xf numFmtId="0" fontId="25" fillId="0" borderId="49" xfId="0" applyFont="1" applyBorder="1"/>
    <xf numFmtId="0" fontId="25" fillId="3" borderId="50" xfId="0" applyFont="1" applyFill="1" applyBorder="1"/>
    <xf numFmtId="0" fontId="25" fillId="0" borderId="20" xfId="0" applyFont="1" applyFill="1" applyBorder="1"/>
    <xf numFmtId="0" fontId="25" fillId="0" borderId="38" xfId="0" applyFont="1" applyBorder="1"/>
    <xf numFmtId="0" fontId="25" fillId="0" borderId="39" xfId="0" applyFont="1" applyBorder="1"/>
    <xf numFmtId="0" fontId="15" fillId="0" borderId="48" xfId="0" applyFont="1" applyBorder="1"/>
    <xf numFmtId="10" fontId="13" fillId="0" borderId="20" xfId="2" applyNumberFormat="1" applyFont="1" applyBorder="1"/>
    <xf numFmtId="169" fontId="15" fillId="0" borderId="20" xfId="0" applyNumberFormat="1" applyFont="1" applyBorder="1"/>
    <xf numFmtId="0" fontId="13" fillId="0" borderId="20" xfId="0" applyFont="1" applyBorder="1"/>
    <xf numFmtId="0" fontId="13" fillId="0" borderId="48" xfId="0" applyFont="1" applyBorder="1"/>
    <xf numFmtId="9" fontId="13" fillId="0" borderId="20" xfId="2" applyFont="1" applyBorder="1"/>
    <xf numFmtId="0" fontId="13" fillId="0" borderId="28" xfId="0" applyFont="1" applyBorder="1"/>
    <xf numFmtId="9" fontId="15" fillId="0" borderId="31" xfId="2" applyFont="1" applyBorder="1"/>
    <xf numFmtId="0" fontId="17" fillId="0" borderId="38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39" xfId="0" applyFont="1" applyFill="1" applyBorder="1" applyAlignment="1">
      <alignment horizontal="center" vertical="center"/>
    </xf>
    <xf numFmtId="0" fontId="15" fillId="0" borderId="38" xfId="0" applyFont="1" applyFill="1" applyBorder="1" applyAlignment="1">
      <alignment horizontal="left" vertical="center"/>
    </xf>
    <xf numFmtId="0" fontId="25" fillId="0" borderId="0" xfId="0" applyFont="1" applyFill="1" applyBorder="1" applyAlignment="1">
      <alignment vertical="center"/>
    </xf>
    <xf numFmtId="0" fontId="25" fillId="0" borderId="0" xfId="0" applyFont="1" applyBorder="1"/>
    <xf numFmtId="9" fontId="25" fillId="0" borderId="23" xfId="2" applyFont="1" applyBorder="1"/>
    <xf numFmtId="9" fontId="25" fillId="0" borderId="1" xfId="2" applyFont="1" applyBorder="1" applyAlignment="1">
      <alignment horizontal="center"/>
    </xf>
    <xf numFmtId="9" fontId="25" fillId="0" borderId="20" xfId="2" applyFont="1" applyBorder="1"/>
    <xf numFmtId="0" fontId="25" fillId="0" borderId="21" xfId="0" applyFont="1" applyFill="1" applyBorder="1" applyAlignment="1">
      <alignment horizontal="left" vertical="center"/>
    </xf>
    <xf numFmtId="0" fontId="25" fillId="0" borderId="22" xfId="0" applyFont="1" applyFill="1" applyBorder="1" applyAlignment="1">
      <alignment horizontal="center" vertical="center"/>
    </xf>
    <xf numFmtId="10" fontId="25" fillId="3" borderId="12" xfId="0" applyNumberFormat="1" applyFont="1" applyFill="1" applyBorder="1" applyAlignment="1">
      <alignment horizontal="center" vertical="center"/>
    </xf>
    <xf numFmtId="10" fontId="25" fillId="0" borderId="23" xfId="2" applyNumberFormat="1" applyFont="1" applyBorder="1" applyAlignment="1">
      <alignment horizontal="right"/>
    </xf>
    <xf numFmtId="10" fontId="25" fillId="0" borderId="1" xfId="2" applyNumberFormat="1" applyFont="1" applyBorder="1" applyAlignment="1">
      <alignment horizontal="right"/>
    </xf>
    <xf numFmtId="10" fontId="25" fillId="0" borderId="20" xfId="2" applyNumberFormat="1" applyFont="1" applyBorder="1" applyAlignment="1">
      <alignment horizontal="right"/>
    </xf>
    <xf numFmtId="0" fontId="25" fillId="0" borderId="23" xfId="0" applyFont="1" applyFill="1" applyBorder="1" applyAlignment="1">
      <alignment horizontal="left" vertical="center"/>
    </xf>
    <xf numFmtId="0" fontId="25" fillId="0" borderId="1" xfId="0" applyFont="1" applyFill="1" applyBorder="1" applyAlignment="1">
      <alignment horizontal="center" vertical="center"/>
    </xf>
    <xf numFmtId="10" fontId="25" fillId="3" borderId="20" xfId="0" applyNumberFormat="1" applyFont="1" applyFill="1" applyBorder="1" applyAlignment="1">
      <alignment horizontal="center" vertical="center"/>
    </xf>
    <xf numFmtId="10" fontId="25" fillId="0" borderId="20" xfId="0" applyNumberFormat="1" applyFont="1" applyFill="1" applyBorder="1" applyAlignment="1">
      <alignment horizontal="center" vertical="center"/>
    </xf>
    <xf numFmtId="10" fontId="25" fillId="3" borderId="1" xfId="2" applyNumberFormat="1" applyFont="1" applyFill="1" applyBorder="1" applyAlignment="1">
      <alignment horizontal="center"/>
    </xf>
    <xf numFmtId="10" fontId="25" fillId="0" borderId="20" xfId="2" applyNumberFormat="1" applyFont="1" applyBorder="1"/>
    <xf numFmtId="0" fontId="25" fillId="0" borderId="23" xfId="0" applyFont="1" applyBorder="1" applyAlignment="1">
      <alignment horizontal="right"/>
    </xf>
    <xf numFmtId="0" fontId="25" fillId="3" borderId="1" xfId="0" applyFont="1" applyFill="1" applyBorder="1" applyAlignment="1">
      <alignment horizontal="center"/>
    </xf>
    <xf numFmtId="0" fontId="25" fillId="0" borderId="20" xfId="0" applyFont="1" applyBorder="1"/>
    <xf numFmtId="0" fontId="25" fillId="0" borderId="24" xfId="0" applyFont="1" applyFill="1" applyBorder="1" applyAlignment="1">
      <alignment horizontal="left" vertical="center"/>
    </xf>
    <xf numFmtId="10" fontId="25" fillId="3" borderId="37" xfId="0" applyNumberFormat="1" applyFont="1" applyFill="1" applyBorder="1" applyAlignment="1">
      <alignment horizontal="center" vertical="center"/>
    </xf>
    <xf numFmtId="0" fontId="25" fillId="0" borderId="1" xfId="0" applyFont="1" applyBorder="1" applyAlignment="1">
      <alignment horizontal="center"/>
    </xf>
    <xf numFmtId="0" fontId="25" fillId="0" borderId="25" xfId="0" applyFont="1" applyFill="1" applyBorder="1" applyAlignment="1">
      <alignment vertical="center"/>
    </xf>
    <xf numFmtId="0" fontId="25" fillId="0" borderId="26" xfId="0" applyFont="1" applyFill="1" applyBorder="1" applyAlignment="1">
      <alignment vertical="center"/>
    </xf>
    <xf numFmtId="10" fontId="25" fillId="0" borderId="27" xfId="0" applyNumberFormat="1" applyFont="1" applyFill="1" applyBorder="1" applyAlignment="1">
      <alignment vertical="center"/>
    </xf>
    <xf numFmtId="0" fontId="25" fillId="0" borderId="28" xfId="0" applyFont="1" applyFill="1" applyBorder="1" applyAlignment="1">
      <alignment horizontal="left" vertical="center"/>
    </xf>
    <xf numFmtId="0" fontId="25" fillId="0" borderId="29" xfId="0" applyFont="1" applyFill="1" applyBorder="1" applyAlignment="1">
      <alignment horizontal="left" vertical="center"/>
    </xf>
    <xf numFmtId="0" fontId="25" fillId="0" borderId="30" xfId="0" applyFont="1" applyFill="1" applyBorder="1" applyAlignment="1">
      <alignment vertical="center"/>
    </xf>
    <xf numFmtId="0" fontId="15" fillId="4" borderId="5" xfId="0" applyFont="1" applyFill="1" applyBorder="1" applyAlignment="1">
      <alignment vertical="center" wrapText="1"/>
    </xf>
    <xf numFmtId="0" fontId="25" fillId="4" borderId="6" xfId="0" applyFont="1" applyFill="1" applyBorder="1" applyAlignment="1">
      <alignment vertical="center"/>
    </xf>
    <xf numFmtId="10" fontId="15" fillId="4" borderId="7" xfId="0" applyNumberFormat="1" applyFont="1" applyFill="1" applyBorder="1" applyAlignment="1">
      <alignment horizontal="center" vertical="center" wrapText="1"/>
    </xf>
    <xf numFmtId="10" fontId="25" fillId="0" borderId="24" xfId="2" applyNumberFormat="1" applyFont="1" applyBorder="1" applyAlignment="1">
      <alignment horizontal="right"/>
    </xf>
    <xf numFmtId="10" fontId="25" fillId="0" borderId="36" xfId="2" applyNumberFormat="1" applyFont="1" applyBorder="1" applyAlignment="1">
      <alignment horizontal="right"/>
    </xf>
    <xf numFmtId="10" fontId="25" fillId="0" borderId="37" xfId="2" applyNumberFormat="1" applyFont="1" applyBorder="1" applyAlignment="1">
      <alignment horizontal="right"/>
    </xf>
    <xf numFmtId="0" fontId="26" fillId="0" borderId="23" xfId="0" applyFont="1" applyBorder="1" applyAlignment="1">
      <alignment horizontal="center" vertical="center"/>
    </xf>
    <xf numFmtId="0" fontId="26" fillId="6" borderId="20" xfId="0" applyFont="1" applyFill="1" applyBorder="1" applyAlignment="1">
      <alignment horizontal="center" vertical="center"/>
    </xf>
    <xf numFmtId="0" fontId="27" fillId="0" borderId="23" xfId="0" applyFont="1" applyBorder="1" applyAlignment="1">
      <alignment horizontal="center" vertical="center"/>
    </xf>
    <xf numFmtId="2" fontId="27" fillId="6" borderId="20" xfId="0" applyNumberFormat="1" applyFont="1" applyFill="1" applyBorder="1" applyAlignment="1">
      <alignment horizontal="right" vertical="center"/>
    </xf>
    <xf numFmtId="0" fontId="27" fillId="0" borderId="24" xfId="0" applyFont="1" applyBorder="1" applyAlignment="1">
      <alignment horizontal="center" vertical="center"/>
    </xf>
    <xf numFmtId="2" fontId="27" fillId="6" borderId="37" xfId="0" applyNumberFormat="1" applyFont="1" applyFill="1" applyBorder="1" applyAlignment="1">
      <alignment horizontal="right" vertical="center"/>
    </xf>
    <xf numFmtId="0" fontId="14" fillId="8" borderId="51" xfId="0" applyFont="1" applyFill="1" applyBorder="1" applyAlignment="1">
      <alignment horizontal="center"/>
    </xf>
    <xf numFmtId="0" fontId="16" fillId="0" borderId="52" xfId="0" applyFont="1" applyBorder="1"/>
    <xf numFmtId="0" fontId="28" fillId="0" borderId="52" xfId="0" applyFont="1" applyBorder="1" applyAlignment="1">
      <alignment horizontal="justify"/>
    </xf>
    <xf numFmtId="0" fontId="28" fillId="0" borderId="53" xfId="0" applyFont="1" applyBorder="1" applyAlignment="1">
      <alignment horizontal="justify"/>
    </xf>
    <xf numFmtId="0" fontId="16" fillId="0" borderId="0" xfId="0" applyFont="1"/>
    <xf numFmtId="0" fontId="14" fillId="0" borderId="23" xfId="0" applyFont="1" applyFill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14" fillId="0" borderId="20" xfId="0" applyFont="1" applyFill="1" applyBorder="1" applyAlignment="1">
      <alignment horizontal="center"/>
    </xf>
    <xf numFmtId="0" fontId="16" fillId="0" borderId="0" xfId="0" applyFont="1" applyFill="1"/>
    <xf numFmtId="0" fontId="15" fillId="0" borderId="23" xfId="0" applyFont="1" applyBorder="1"/>
    <xf numFmtId="0" fontId="15" fillId="0" borderId="1" xfId="0" applyFont="1" applyBorder="1"/>
    <xf numFmtId="0" fontId="15" fillId="0" borderId="20" xfId="0" applyFont="1" applyBorder="1"/>
    <xf numFmtId="0" fontId="18" fillId="0" borderId="0" xfId="0" applyFont="1"/>
    <xf numFmtId="0" fontId="25" fillId="0" borderId="23" xfId="0" applyFont="1" applyFill="1" applyBorder="1"/>
    <xf numFmtId="0" fontId="25" fillId="0" borderId="1" xfId="0" applyFont="1" applyFill="1" applyBorder="1"/>
    <xf numFmtId="0" fontId="25" fillId="0" borderId="1" xfId="0" applyFont="1" applyBorder="1"/>
    <xf numFmtId="170" fontId="12" fillId="0" borderId="20" xfId="3" applyNumberFormat="1" applyFont="1" applyBorder="1" applyAlignment="1">
      <alignment horizontal="center" vertical="center" wrapText="1"/>
    </xf>
    <xf numFmtId="171" fontId="25" fillId="0" borderId="20" xfId="0" applyNumberFormat="1" applyFont="1" applyBorder="1"/>
    <xf numFmtId="2" fontId="25" fillId="0" borderId="20" xfId="0" applyNumberFormat="1" applyFont="1" applyBorder="1"/>
    <xf numFmtId="171" fontId="25" fillId="3" borderId="20" xfId="0" applyNumberFormat="1" applyFont="1" applyFill="1" applyBorder="1"/>
    <xf numFmtId="172" fontId="25" fillId="3" borderId="20" xfId="0" applyNumberFormat="1" applyFont="1" applyFill="1" applyBorder="1"/>
    <xf numFmtId="0" fontId="25" fillId="0" borderId="24" xfId="0" applyFont="1" applyFill="1" applyBorder="1"/>
    <xf numFmtId="0" fontId="25" fillId="0" borderId="36" xfId="0" applyFont="1" applyBorder="1"/>
    <xf numFmtId="171" fontId="25" fillId="0" borderId="37" xfId="0" applyNumberFormat="1" applyFont="1" applyBorder="1"/>
    <xf numFmtId="9" fontId="18" fillId="0" borderId="0" xfId="2" applyFont="1" applyFill="1" applyBorder="1" applyAlignment="1">
      <alignment vertical="center"/>
    </xf>
    <xf numFmtId="0" fontId="16" fillId="0" borderId="0" xfId="0" applyFont="1" applyBorder="1" applyAlignment="1">
      <alignment horizontal="center" vertical="center"/>
    </xf>
    <xf numFmtId="166" fontId="16" fillId="0" borderId="0" xfId="3" applyNumberFormat="1" applyFont="1" applyBorder="1" applyAlignment="1">
      <alignment vertical="center"/>
    </xf>
    <xf numFmtId="165" fontId="16" fillId="0" borderId="0" xfId="3" applyFont="1" applyBorder="1" applyAlignment="1">
      <alignment horizontal="center" vertical="center"/>
    </xf>
    <xf numFmtId="165" fontId="16" fillId="0" borderId="8" xfId="3" applyFont="1" applyBorder="1" applyAlignment="1">
      <alignment vertical="center"/>
    </xf>
    <xf numFmtId="165" fontId="16" fillId="0" borderId="14" xfId="3" applyFont="1" applyFill="1" applyBorder="1" applyAlignment="1">
      <alignment vertical="center"/>
    </xf>
    <xf numFmtId="165" fontId="16" fillId="0" borderId="55" xfId="3" applyFont="1" applyBorder="1" applyAlignment="1">
      <alignment vertical="center"/>
    </xf>
    <xf numFmtId="165" fontId="16" fillId="0" borderId="66" xfId="3" applyFont="1" applyBorder="1" applyAlignment="1">
      <alignment vertical="center"/>
    </xf>
    <xf numFmtId="0" fontId="16" fillId="0" borderId="66" xfId="0" applyFont="1" applyBorder="1" applyAlignment="1">
      <alignment vertical="center"/>
    </xf>
    <xf numFmtId="1" fontId="16" fillId="0" borderId="48" xfId="3" applyNumberFormat="1" applyFont="1" applyBorder="1" applyAlignment="1">
      <alignment horizontal="center" vertical="center"/>
    </xf>
    <xf numFmtId="1" fontId="16" fillId="0" borderId="15" xfId="3" applyNumberFormat="1" applyFont="1" applyBorder="1" applyAlignment="1">
      <alignment horizontal="center" vertical="center"/>
    </xf>
    <xf numFmtId="0" fontId="16" fillId="0" borderId="10" xfId="0" applyFont="1" applyBorder="1" applyAlignment="1">
      <alignment vertical="center"/>
    </xf>
    <xf numFmtId="165" fontId="4" fillId="0" borderId="0" xfId="3" applyFont="1" applyFill="1" applyAlignment="1">
      <alignment vertical="center"/>
    </xf>
    <xf numFmtId="165" fontId="16" fillId="0" borderId="18" xfId="3" applyFont="1" applyBorder="1" applyAlignment="1">
      <alignment vertical="center"/>
    </xf>
    <xf numFmtId="0" fontId="31" fillId="0" borderId="0" xfId="0" applyFont="1" applyAlignment="1">
      <alignment vertical="center"/>
    </xf>
    <xf numFmtId="2" fontId="16" fillId="3" borderId="1" xfId="0" applyNumberFormat="1" applyFont="1" applyFill="1" applyBorder="1" applyAlignment="1">
      <alignment vertical="center"/>
    </xf>
    <xf numFmtId="13" fontId="16" fillId="3" borderId="1" xfId="0" applyNumberFormat="1" applyFont="1" applyFill="1" applyBorder="1" applyAlignment="1">
      <alignment horizontal="center"/>
    </xf>
    <xf numFmtId="2" fontId="16" fillId="3" borderId="1" xfId="0" applyNumberFormat="1" applyFont="1" applyFill="1" applyBorder="1" applyAlignment="1">
      <alignment horizontal="center"/>
    </xf>
    <xf numFmtId="165" fontId="16" fillId="3" borderId="4" xfId="3" applyFont="1" applyFill="1" applyBorder="1" applyAlignment="1">
      <alignment horizontal="center" vertical="center"/>
    </xf>
    <xf numFmtId="1" fontId="16" fillId="0" borderId="1" xfId="0" applyNumberFormat="1" applyFont="1" applyBorder="1" applyAlignment="1">
      <alignment vertical="center"/>
    </xf>
    <xf numFmtId="0" fontId="13" fillId="0" borderId="16" xfId="4" applyFont="1" applyBorder="1" applyAlignment="1">
      <alignment horizontal="center" vertical="center"/>
    </xf>
    <xf numFmtId="0" fontId="13" fillId="0" borderId="33" xfId="4" applyFont="1" applyBorder="1" applyAlignment="1">
      <alignment horizontal="center" vertical="center"/>
    </xf>
    <xf numFmtId="0" fontId="12" fillId="0" borderId="44" xfId="4" applyFont="1" applyBorder="1" applyAlignment="1">
      <alignment horizontal="center" vertical="center"/>
    </xf>
    <xf numFmtId="0" fontId="12" fillId="0" borderId="21" xfId="4" applyFont="1" applyBorder="1" applyAlignment="1">
      <alignment horizontal="center" vertical="center"/>
    </xf>
    <xf numFmtId="0" fontId="12" fillId="0" borderId="22" xfId="4" applyFont="1" applyBorder="1" applyAlignment="1">
      <alignment vertical="center" wrapText="1"/>
    </xf>
    <xf numFmtId="0" fontId="12" fillId="0" borderId="22" xfId="4" applyFont="1" applyBorder="1" applyAlignment="1">
      <alignment horizontal="center" vertical="center"/>
    </xf>
    <xf numFmtId="3" fontId="12" fillId="0" borderId="22" xfId="4" applyNumberFormat="1" applyFont="1" applyBorder="1" applyAlignment="1">
      <alignment horizontal="center" vertical="center"/>
    </xf>
    <xf numFmtId="0" fontId="12" fillId="0" borderId="0" xfId="4" applyFont="1"/>
    <xf numFmtId="0" fontId="13" fillId="0" borderId="28" xfId="4" applyFont="1" applyBorder="1"/>
    <xf numFmtId="0" fontId="13" fillId="0" borderId="29" xfId="4" applyFont="1" applyBorder="1" applyAlignment="1">
      <alignment vertical="center" wrapText="1"/>
    </xf>
    <xf numFmtId="0" fontId="13" fillId="0" borderId="29" xfId="4" applyFont="1" applyBorder="1"/>
    <xf numFmtId="44" fontId="13" fillId="0" borderId="53" xfId="4" applyNumberFormat="1" applyFont="1" applyBorder="1"/>
    <xf numFmtId="167" fontId="18" fillId="0" borderId="0" xfId="3" applyNumberFormat="1" applyFont="1" applyBorder="1" applyAlignment="1">
      <alignment vertical="center"/>
    </xf>
    <xf numFmtId="0" fontId="13" fillId="0" borderId="16" xfId="0" applyFont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 wrapText="1"/>
    </xf>
    <xf numFmtId="0" fontId="13" fillId="9" borderId="17" xfId="0" applyFont="1" applyFill="1" applyBorder="1" applyAlignment="1">
      <alignment horizontal="center" vertical="center" wrapText="1"/>
    </xf>
    <xf numFmtId="0" fontId="13" fillId="9" borderId="18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3" fillId="0" borderId="56" xfId="0" applyFont="1" applyBorder="1" applyAlignment="1">
      <alignment horizontal="center" vertical="center" wrapText="1"/>
    </xf>
    <xf numFmtId="0" fontId="13" fillId="0" borderId="57" xfId="0" applyFont="1" applyBorder="1" applyAlignment="1">
      <alignment horizontal="center" vertical="center" wrapText="1"/>
    </xf>
    <xf numFmtId="0" fontId="13" fillId="9" borderId="51" xfId="0" applyFont="1" applyFill="1" applyBorder="1" applyAlignment="1">
      <alignment horizontal="center" vertical="center" wrapText="1"/>
    </xf>
    <xf numFmtId="0" fontId="13" fillId="0" borderId="60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9" borderId="63" xfId="0" applyFont="1" applyFill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10" fontId="12" fillId="0" borderId="1" xfId="0" applyNumberFormat="1" applyFont="1" applyBorder="1" applyAlignment="1">
      <alignment horizontal="center" vertical="center" wrapText="1"/>
    </xf>
    <xf numFmtId="10" fontId="12" fillId="0" borderId="8" xfId="0" applyNumberFormat="1" applyFont="1" applyBorder="1" applyAlignment="1">
      <alignment horizontal="center" vertical="center" wrapText="1"/>
    </xf>
    <xf numFmtId="10" fontId="12" fillId="9" borderId="63" xfId="0" applyNumberFormat="1" applyFont="1" applyFill="1" applyBorder="1" applyAlignment="1">
      <alignment horizontal="center" vertical="center" wrapText="1"/>
    </xf>
    <xf numFmtId="10" fontId="12" fillId="0" borderId="10" xfId="0" applyNumberFormat="1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10" fontId="12" fillId="0" borderId="3" xfId="0" applyNumberFormat="1" applyFont="1" applyBorder="1" applyAlignment="1">
      <alignment horizontal="center" vertical="center" wrapText="1"/>
    </xf>
    <xf numFmtId="10" fontId="12" fillId="0" borderId="58" xfId="0" applyNumberFormat="1" applyFont="1" applyBorder="1" applyAlignment="1">
      <alignment horizontal="center" vertical="center" wrapText="1"/>
    </xf>
    <xf numFmtId="10" fontId="12" fillId="9" borderId="64" xfId="0" applyNumberFormat="1" applyFont="1" applyFill="1" applyBorder="1" applyAlignment="1">
      <alignment horizontal="center" vertical="center" wrapText="1"/>
    </xf>
    <xf numFmtId="10" fontId="12" fillId="0" borderId="61" xfId="0" applyNumberFormat="1" applyFont="1" applyBorder="1" applyAlignment="1">
      <alignment horizontal="center" vertical="center" wrapText="1"/>
    </xf>
    <xf numFmtId="10" fontId="13" fillId="0" borderId="17" xfId="0" applyNumberFormat="1" applyFont="1" applyBorder="1" applyAlignment="1">
      <alignment horizontal="center" vertical="center" wrapText="1"/>
    </xf>
    <xf numFmtId="10" fontId="13" fillId="0" borderId="34" xfId="0" applyNumberFormat="1" applyFont="1" applyBorder="1" applyAlignment="1">
      <alignment horizontal="center" vertical="center" wrapText="1"/>
    </xf>
    <xf numFmtId="10" fontId="13" fillId="9" borderId="4" xfId="0" applyNumberFormat="1" applyFont="1" applyFill="1" applyBorder="1" applyAlignment="1">
      <alignment horizontal="center" vertical="center" wrapText="1"/>
    </xf>
    <xf numFmtId="10" fontId="13" fillId="0" borderId="7" xfId="0" applyNumberFormat="1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2" fillId="0" borderId="59" xfId="0" applyFont="1" applyBorder="1" applyAlignment="1">
      <alignment horizontal="center" vertical="center" wrapText="1"/>
    </xf>
    <xf numFmtId="0" fontId="12" fillId="9" borderId="65" xfId="0" applyFont="1" applyFill="1" applyBorder="1" applyAlignment="1">
      <alignment horizontal="center" vertical="center" wrapText="1"/>
    </xf>
    <xf numFmtId="0" fontId="12" fillId="0" borderId="62" xfId="0" applyFont="1" applyBorder="1" applyAlignment="1">
      <alignment horizontal="center" vertical="center" wrapText="1"/>
    </xf>
    <xf numFmtId="0" fontId="12" fillId="0" borderId="58" xfId="0" applyFont="1" applyBorder="1" applyAlignment="1">
      <alignment horizontal="center" vertical="center" wrapText="1"/>
    </xf>
    <xf numFmtId="0" fontId="12" fillId="9" borderId="64" xfId="0" applyFont="1" applyFill="1" applyBorder="1" applyAlignment="1">
      <alignment horizontal="center" vertical="center" wrapText="1"/>
    </xf>
    <xf numFmtId="0" fontId="12" fillId="0" borderId="61" xfId="0" applyFont="1" applyBorder="1" applyAlignment="1">
      <alignment horizontal="center" vertical="center" wrapText="1"/>
    </xf>
    <xf numFmtId="10" fontId="13" fillId="3" borderId="16" xfId="0" applyNumberFormat="1" applyFont="1" applyFill="1" applyBorder="1" applyAlignment="1">
      <alignment horizontal="center" vertical="center" wrapText="1"/>
    </xf>
    <xf numFmtId="10" fontId="13" fillId="3" borderId="34" xfId="0" applyNumberFormat="1" applyFont="1" applyFill="1" applyBorder="1" applyAlignment="1">
      <alignment horizontal="center" vertical="center" wrapText="1"/>
    </xf>
    <xf numFmtId="10" fontId="13" fillId="3" borderId="7" xfId="0" applyNumberFormat="1" applyFont="1" applyFill="1" applyBorder="1" applyAlignment="1">
      <alignment horizontal="center" vertical="center" wrapText="1"/>
    </xf>
    <xf numFmtId="165" fontId="18" fillId="2" borderId="4" xfId="3" applyNumberFormat="1" applyFont="1" applyFill="1" applyBorder="1" applyAlignment="1">
      <alignment horizontal="right" vertical="center"/>
    </xf>
    <xf numFmtId="44" fontId="16" fillId="0" borderId="22" xfId="5" applyNumberFormat="1" applyFont="1" applyBorder="1" applyAlignment="1">
      <alignment vertical="center"/>
    </xf>
    <xf numFmtId="0" fontId="18" fillId="0" borderId="32" xfId="0" applyFont="1" applyBorder="1" applyAlignment="1">
      <alignment horizontal="center" vertical="center"/>
    </xf>
    <xf numFmtId="0" fontId="18" fillId="0" borderId="33" xfId="0" applyFont="1" applyBorder="1" applyAlignment="1">
      <alignment horizontal="center" vertical="center"/>
    </xf>
    <xf numFmtId="165" fontId="18" fillId="0" borderId="14" xfId="3" applyFont="1" applyBorder="1" applyAlignment="1">
      <alignment horizontal="left" vertical="center"/>
    </xf>
    <xf numFmtId="165" fontId="18" fillId="0" borderId="9" xfId="3" applyFont="1" applyBorder="1" applyAlignment="1">
      <alignment horizontal="left" vertical="center"/>
    </xf>
    <xf numFmtId="0" fontId="14" fillId="7" borderId="25" xfId="0" applyFont="1" applyFill="1" applyBorder="1" applyAlignment="1">
      <alignment horizontal="center" vertical="center"/>
    </xf>
    <xf numFmtId="0" fontId="14" fillId="7" borderId="26" xfId="0" applyFont="1" applyFill="1" applyBorder="1" applyAlignment="1">
      <alignment horizontal="center" vertical="center"/>
    </xf>
    <xf numFmtId="0" fontId="14" fillId="7" borderId="27" xfId="0" applyFont="1" applyFill="1" applyBorder="1" applyAlignment="1">
      <alignment horizontal="center" vertical="center"/>
    </xf>
    <xf numFmtId="0" fontId="15" fillId="7" borderId="44" xfId="0" applyFont="1" applyFill="1" applyBorder="1" applyAlignment="1">
      <alignment horizontal="center" vertical="center"/>
    </xf>
    <xf numFmtId="0" fontId="15" fillId="7" borderId="42" xfId="0" applyFont="1" applyFill="1" applyBorder="1" applyAlignment="1">
      <alignment horizontal="center" vertical="center"/>
    </xf>
    <xf numFmtId="0" fontId="15" fillId="7" borderId="45" xfId="0" applyFont="1" applyFill="1" applyBorder="1" applyAlignment="1">
      <alignment horizontal="center" vertical="center"/>
    </xf>
    <xf numFmtId="165" fontId="18" fillId="0" borderId="5" xfId="3" applyFont="1" applyBorder="1" applyAlignment="1">
      <alignment horizontal="center" vertical="center"/>
    </xf>
    <xf numFmtId="165" fontId="18" fillId="0" borderId="6" xfId="3" applyFont="1" applyBorder="1" applyAlignment="1">
      <alignment horizontal="center" vertical="center"/>
    </xf>
    <xf numFmtId="165" fontId="18" fillId="0" borderId="43" xfId="3" applyFont="1" applyBorder="1" applyAlignment="1">
      <alignment horizontal="center" vertical="center"/>
    </xf>
    <xf numFmtId="165" fontId="17" fillId="7" borderId="5" xfId="3" applyFont="1" applyFill="1" applyBorder="1" applyAlignment="1">
      <alignment horizontal="center" vertical="center"/>
    </xf>
    <xf numFmtId="165" fontId="17" fillId="7" borderId="6" xfId="3" applyFont="1" applyFill="1" applyBorder="1" applyAlignment="1">
      <alignment horizontal="center" vertical="center"/>
    </xf>
    <xf numFmtId="165" fontId="17" fillId="7" borderId="7" xfId="3" applyFont="1" applyFill="1" applyBorder="1" applyAlignment="1">
      <alignment horizontal="center" vertical="center"/>
    </xf>
    <xf numFmtId="0" fontId="13" fillId="3" borderId="5" xfId="0" applyFont="1" applyFill="1" applyBorder="1" applyAlignment="1">
      <alignment horizontal="center" vertical="center" wrapText="1"/>
    </xf>
    <xf numFmtId="0" fontId="13" fillId="3" borderId="7" xfId="0" applyFont="1" applyFill="1" applyBorder="1" applyAlignment="1">
      <alignment horizontal="center" vertical="center" wrapText="1"/>
    </xf>
    <xf numFmtId="0" fontId="13" fillId="3" borderId="25" xfId="0" applyFont="1" applyFill="1" applyBorder="1" applyAlignment="1">
      <alignment horizontal="center" vertical="center" wrapText="1"/>
    </xf>
    <xf numFmtId="0" fontId="13" fillId="3" borderId="27" xfId="0" applyFont="1" applyFill="1" applyBorder="1" applyAlignment="1">
      <alignment horizontal="center" vertical="center" wrapText="1"/>
    </xf>
    <xf numFmtId="0" fontId="13" fillId="3" borderId="38" xfId="0" applyFont="1" applyFill="1" applyBorder="1" applyAlignment="1">
      <alignment horizontal="center" vertical="center" wrapText="1"/>
    </xf>
    <xf numFmtId="0" fontId="13" fillId="3" borderId="39" xfId="0" applyFont="1" applyFill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 wrapText="1"/>
    </xf>
    <xf numFmtId="0" fontId="13" fillId="9" borderId="17" xfId="0" applyFont="1" applyFill="1" applyBorder="1" applyAlignment="1">
      <alignment horizontal="center" vertical="center" wrapText="1"/>
    </xf>
    <xf numFmtId="0" fontId="13" fillId="9" borderId="18" xfId="0" applyFont="1" applyFill="1" applyBorder="1" applyAlignment="1">
      <alignment horizontal="center" vertical="center" wrapText="1"/>
    </xf>
    <xf numFmtId="0" fontId="15" fillId="8" borderId="19" xfId="0" applyFont="1" applyFill="1" applyBorder="1" applyAlignment="1">
      <alignment horizontal="center"/>
    </xf>
    <xf numFmtId="0" fontId="15" fillId="8" borderId="46" xfId="0" applyFont="1" applyFill="1" applyBorder="1" applyAlignment="1">
      <alignment horizontal="center"/>
    </xf>
    <xf numFmtId="0" fontId="25" fillId="0" borderId="1" xfId="0" applyFont="1" applyFill="1" applyBorder="1" applyAlignment="1">
      <alignment horizontal="center" vertical="center"/>
    </xf>
    <xf numFmtId="0" fontId="25" fillId="0" borderId="36" xfId="0" applyFont="1" applyFill="1" applyBorder="1" applyAlignment="1">
      <alignment horizontal="center" vertical="center"/>
    </xf>
    <xf numFmtId="9" fontId="15" fillId="0" borderId="21" xfId="2" applyFont="1" applyBorder="1" applyAlignment="1">
      <alignment horizontal="center"/>
    </xf>
    <xf numFmtId="9" fontId="15" fillId="0" borderId="22" xfId="2" applyFont="1" applyBorder="1" applyAlignment="1">
      <alignment horizontal="center"/>
    </xf>
    <xf numFmtId="9" fontId="15" fillId="0" borderId="12" xfId="2" applyFont="1" applyBorder="1" applyAlignment="1">
      <alignment horizontal="center"/>
    </xf>
    <xf numFmtId="0" fontId="17" fillId="8" borderId="25" xfId="0" applyFont="1" applyFill="1" applyBorder="1" applyAlignment="1">
      <alignment horizontal="center" vertical="center"/>
    </xf>
    <xf numFmtId="0" fontId="17" fillId="8" borderId="26" xfId="0" applyFont="1" applyFill="1" applyBorder="1" applyAlignment="1">
      <alignment horizontal="center" vertical="center"/>
    </xf>
    <xf numFmtId="0" fontId="17" fillId="8" borderId="27" xfId="0" applyFont="1" applyFill="1" applyBorder="1" applyAlignment="1">
      <alignment horizontal="center" vertical="center"/>
    </xf>
    <xf numFmtId="0" fontId="17" fillId="8" borderId="5" xfId="0" applyFont="1" applyFill="1" applyBorder="1" applyAlignment="1">
      <alignment horizontal="center" vertical="center"/>
    </xf>
    <xf numFmtId="0" fontId="17" fillId="8" borderId="7" xfId="0" applyFont="1" applyFill="1" applyBorder="1" applyAlignment="1">
      <alignment horizontal="center" vertical="center"/>
    </xf>
    <xf numFmtId="0" fontId="14" fillId="8" borderId="21" xfId="0" applyFont="1" applyFill="1" applyBorder="1" applyAlignment="1">
      <alignment horizontal="center"/>
    </xf>
    <xf numFmtId="0" fontId="14" fillId="8" borderId="22" xfId="0" applyFont="1" applyFill="1" applyBorder="1" applyAlignment="1">
      <alignment horizontal="center"/>
    </xf>
    <xf numFmtId="0" fontId="14" fillId="8" borderId="12" xfId="0" applyFont="1" applyFill="1" applyBorder="1" applyAlignment="1">
      <alignment horizontal="center"/>
    </xf>
  </cellXfs>
  <cellStyles count="6">
    <cellStyle name="Hiperlink" xfId="1" builtinId="8"/>
    <cellStyle name="Moeda 2" xfId="5"/>
    <cellStyle name="Normal" xfId="0" builtinId="0"/>
    <cellStyle name="Normal 2" xfId="4"/>
    <cellStyle name="Porcentagem" xfId="2" builtinId="5"/>
    <cellStyle name="Vírgula" xfId="3" builtinId="3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133350</xdr:colOff>
      <xdr:row>5</xdr:row>
      <xdr:rowOff>28575</xdr:rowOff>
    </xdr:from>
    <xdr:to>
      <xdr:col>1</xdr:col>
      <xdr:colOff>1419225</xdr:colOff>
      <xdr:row>7</xdr:row>
      <xdr:rowOff>66675</xdr:rowOff>
    </xdr:to>
    <xdr:pic>
      <xdr:nvPicPr>
        <xdr:cNvPr id="650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419100"/>
          <a:ext cx="128587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85725</xdr:colOff>
      <xdr:row>8</xdr:row>
      <xdr:rowOff>9525</xdr:rowOff>
    </xdr:from>
    <xdr:to>
      <xdr:col>1</xdr:col>
      <xdr:colOff>2124075</xdr:colOff>
      <xdr:row>10</xdr:row>
      <xdr:rowOff>57150</xdr:rowOff>
    </xdr:to>
    <xdr:pic>
      <xdr:nvPicPr>
        <xdr:cNvPr id="650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885825"/>
          <a:ext cx="20383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EMASA64\Downloads\c886b577ca61c48553180bacdec9a40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o"/>
      <sheetName val="1.1. Coleta Domiciliar"/>
      <sheetName val="1.4. Coleta Domiciliar seletiva"/>
      <sheetName val="2.Encargos Sociais"/>
      <sheetName val="3.CAGED"/>
      <sheetName val="4.BDI"/>
      <sheetName val="5. Depreciação"/>
      <sheetName val="6.Remuneração de capital"/>
      <sheetName val="7. Dimensionamento"/>
    </sheetNames>
    <sheetDataSet>
      <sheetData sheetId="0"/>
      <sheetData sheetId="1"/>
      <sheetData sheetId="2"/>
      <sheetData sheetId="3">
        <row r="42">
          <cell r="C42">
            <v>1.1335</v>
          </cell>
        </row>
      </sheetData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43"/>
  <sheetViews>
    <sheetView view="pageBreakPreview" topLeftCell="B1" zoomScaleNormal="100" zoomScaleSheetLayoutView="100" workbookViewId="0">
      <selection activeCell="H3" sqref="H3"/>
    </sheetView>
  </sheetViews>
  <sheetFormatPr defaultColWidth="9.140625" defaultRowHeight="12.75" x14ac:dyDescent="0.2"/>
  <cols>
    <col min="1" max="1" width="4" style="5" customWidth="1"/>
    <col min="2" max="2" width="8" style="5" customWidth="1"/>
    <col min="3" max="3" width="8.140625" style="5" customWidth="1"/>
    <col min="4" max="4" width="31.28515625" style="5" customWidth="1"/>
    <col min="5" max="5" width="14.7109375" style="6" customWidth="1"/>
    <col min="6" max="6" width="15.42578125" style="6" customWidth="1"/>
    <col min="7" max="7" width="13.28515625" style="6" customWidth="1"/>
    <col min="8" max="8" width="18" style="6" bestFit="1" customWidth="1"/>
    <col min="9" max="9" width="19.140625" style="5" bestFit="1" customWidth="1"/>
    <col min="10" max="16384" width="9.140625" style="5"/>
  </cols>
  <sheetData>
    <row r="1" spans="2:9" ht="13.5" thickBot="1" x14ac:dyDescent="0.25"/>
    <row r="2" spans="2:9" ht="15" thickBot="1" x14ac:dyDescent="0.25">
      <c r="B2" s="291" t="s">
        <v>323</v>
      </c>
      <c r="C2" s="292" t="s">
        <v>324</v>
      </c>
      <c r="D2" s="292" t="s">
        <v>325</v>
      </c>
      <c r="E2" s="292" t="s">
        <v>67</v>
      </c>
      <c r="F2" s="292" t="s">
        <v>42</v>
      </c>
      <c r="G2" s="292" t="s">
        <v>326</v>
      </c>
      <c r="H2" s="292" t="s">
        <v>327</v>
      </c>
      <c r="I2" s="292" t="s">
        <v>328</v>
      </c>
    </row>
    <row r="3" spans="2:9" ht="75" x14ac:dyDescent="0.2">
      <c r="B3" s="293">
        <v>1</v>
      </c>
      <c r="C3" s="294">
        <v>1</v>
      </c>
      <c r="D3" s="295" t="s">
        <v>329</v>
      </c>
      <c r="E3" s="296" t="s">
        <v>330</v>
      </c>
      <c r="F3" s="297">
        <v>3201</v>
      </c>
      <c r="G3" s="343">
        <f>'1. Coleta Domiciliar'!G360</f>
        <v>332.12999999999994</v>
      </c>
      <c r="H3" s="343">
        <v>1063148.1299999999</v>
      </c>
      <c r="I3" s="343">
        <f>H3*12</f>
        <v>12757777.559999999</v>
      </c>
    </row>
    <row r="4" spans="2:9" ht="15.75" thickBot="1" x14ac:dyDescent="0.3">
      <c r="B4" s="298"/>
      <c r="C4" s="299"/>
      <c r="D4" s="300" t="s">
        <v>331</v>
      </c>
      <c r="E4" s="301"/>
      <c r="F4" s="301"/>
      <c r="G4" s="301"/>
      <c r="H4" s="302">
        <f>H3</f>
        <v>1063148.1299999999</v>
      </c>
      <c r="I4" s="302">
        <f>H4*12</f>
        <v>12757777.559999999</v>
      </c>
    </row>
    <row r="5" spans="2:9" s="6" customFormat="1" ht="12.6" customHeight="1" x14ac:dyDescent="0.2">
      <c r="B5" s="5"/>
      <c r="C5" s="5"/>
      <c r="D5" s="5"/>
      <c r="I5" s="5"/>
    </row>
    <row r="7" spans="2:9" s="6" customFormat="1" ht="16.149999999999999" customHeight="1" x14ac:dyDescent="0.2">
      <c r="B7" s="5"/>
      <c r="C7" s="5"/>
      <c r="D7" s="5"/>
      <c r="I7" s="5"/>
    </row>
    <row r="9" spans="2:9" ht="25.5" customHeight="1" x14ac:dyDescent="0.2"/>
    <row r="10" spans="2:9" ht="12.6" customHeight="1" x14ac:dyDescent="0.2"/>
    <row r="11" spans="2:9" s="2" customFormat="1" ht="9.75" customHeight="1" x14ac:dyDescent="0.2">
      <c r="B11" s="5"/>
      <c r="C11" s="5"/>
      <c r="D11" s="5"/>
      <c r="E11" s="6"/>
      <c r="F11" s="6"/>
      <c r="G11" s="6"/>
      <c r="H11" s="3"/>
    </row>
    <row r="12" spans="2:9" s="2" customFormat="1" ht="9.75" customHeight="1" x14ac:dyDescent="0.2">
      <c r="B12" s="5"/>
      <c r="C12" s="5"/>
      <c r="D12" s="5"/>
      <c r="E12" s="6"/>
      <c r="F12" s="6"/>
      <c r="G12" s="6"/>
      <c r="H12" s="3"/>
    </row>
    <row r="13" spans="2:9" s="2" customFormat="1" ht="9.75" customHeight="1" x14ac:dyDescent="0.2">
      <c r="B13" s="5"/>
      <c r="C13" s="5"/>
      <c r="D13" s="5"/>
      <c r="E13" s="6"/>
      <c r="F13" s="6"/>
      <c r="G13" s="6"/>
      <c r="H13" s="3"/>
    </row>
    <row r="33" spans="2:9" s="6" customFormat="1" x14ac:dyDescent="0.2">
      <c r="B33" s="5"/>
      <c r="C33" s="5"/>
      <c r="D33" s="5"/>
      <c r="E33" s="5"/>
      <c r="F33" s="5"/>
      <c r="G33" s="5"/>
      <c r="I33" s="5"/>
    </row>
    <row r="43" spans="2:9" ht="9" customHeight="1" x14ac:dyDescent="0.2">
      <c r="H43" s="5"/>
    </row>
  </sheetData>
  <pageMargins left="0.9055118110236221" right="0.51181102362204722" top="0.74803149606299213" bottom="0.74803149606299213" header="0.31496062992125984" footer="0.31496062992125984"/>
  <pageSetup paperSize="9" fitToHeight="0" orientation="landscape" r:id="rId1"/>
  <headerFooter alignWithMargins="0">
    <oddFooter>&amp;R&amp;P de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K404"/>
  <sheetViews>
    <sheetView tabSelected="1" view="pageBreakPreview" zoomScaleNormal="100" zoomScaleSheetLayoutView="100" workbookViewId="0">
      <selection activeCell="E29" sqref="E29"/>
    </sheetView>
  </sheetViews>
  <sheetFormatPr defaultColWidth="9.140625" defaultRowHeight="12.75" x14ac:dyDescent="0.2"/>
  <cols>
    <col min="1" max="1" width="4" style="5" customWidth="1"/>
    <col min="2" max="2" width="44.5703125" style="5" customWidth="1"/>
    <col min="3" max="3" width="16" style="5" bestFit="1" customWidth="1"/>
    <col min="4" max="4" width="11.85546875" style="5" customWidth="1"/>
    <col min="5" max="5" width="14.7109375" style="6" customWidth="1"/>
    <col min="6" max="6" width="15.42578125" style="6" customWidth="1"/>
    <col min="7" max="7" width="13.28515625" style="6" customWidth="1"/>
    <col min="8" max="8" width="28.140625" style="6" customWidth="1"/>
    <col min="9" max="9" width="9.140625" style="5"/>
    <col min="10" max="10" width="14.5703125" style="5" customWidth="1"/>
    <col min="11" max="11" width="13.42578125" style="5" customWidth="1"/>
    <col min="12" max="16384" width="9.140625" style="5"/>
  </cols>
  <sheetData>
    <row r="1" spans="2:8" ht="13.5" thickBot="1" x14ac:dyDescent="0.25"/>
    <row r="2" spans="2:8" ht="18.75" x14ac:dyDescent="0.2">
      <c r="B2" s="348" t="s">
        <v>202</v>
      </c>
      <c r="C2" s="349"/>
      <c r="D2" s="349"/>
      <c r="E2" s="349"/>
      <c r="F2" s="349"/>
      <c r="G2" s="350"/>
    </row>
    <row r="3" spans="2:8" ht="14.25" x14ac:dyDescent="0.2">
      <c r="B3" s="351" t="s">
        <v>45</v>
      </c>
      <c r="C3" s="352"/>
      <c r="D3" s="352"/>
      <c r="E3" s="352"/>
      <c r="F3" s="352"/>
      <c r="G3" s="353"/>
    </row>
    <row r="4" spans="2:8" ht="13.5" thickBot="1" x14ac:dyDescent="0.25">
      <c r="B4" s="25"/>
      <c r="C4" s="26"/>
      <c r="D4" s="26"/>
      <c r="E4" s="27"/>
      <c r="F4" s="27"/>
      <c r="G4" s="28"/>
    </row>
    <row r="5" spans="2:8" ht="16.5" thickBot="1" x14ac:dyDescent="0.25">
      <c r="B5" s="357" t="s">
        <v>188</v>
      </c>
      <c r="C5" s="358"/>
      <c r="D5" s="358"/>
      <c r="E5" s="358"/>
      <c r="F5" s="358"/>
      <c r="G5" s="359"/>
    </row>
    <row r="6" spans="2:8" s="2" customFormat="1" ht="15.6" customHeight="1" x14ac:dyDescent="0.2">
      <c r="B6" s="29" t="s">
        <v>187</v>
      </c>
      <c r="C6" s="30"/>
      <c r="D6" s="30"/>
      <c r="E6" s="31"/>
      <c r="F6" s="32" t="s">
        <v>40</v>
      </c>
      <c r="G6" s="33" t="s">
        <v>2</v>
      </c>
      <c r="H6" s="3"/>
    </row>
    <row r="7" spans="2:8" s="2" customFormat="1" ht="15.6" customHeight="1" x14ac:dyDescent="0.2">
      <c r="B7" s="34" t="str">
        <f>B54</f>
        <v>1. Mão-de-obra</v>
      </c>
      <c r="C7" s="35"/>
      <c r="D7" s="36"/>
      <c r="E7" s="36"/>
      <c r="F7" s="37">
        <f>+G205</f>
        <v>416145.26386941131</v>
      </c>
      <c r="G7" s="38">
        <f t="shared" ref="G7:G15" si="0">IFERROR(F7/$F$31,0)</f>
        <v>0.39142735817012758</v>
      </c>
      <c r="H7" s="3"/>
    </row>
    <row r="8" spans="2:8" s="2" customFormat="1" ht="15.6" customHeight="1" x14ac:dyDescent="0.2">
      <c r="B8" s="39" t="str">
        <f>B56</f>
        <v>1.1. Coletor Turno Dia</v>
      </c>
      <c r="C8" s="40"/>
      <c r="D8" s="41"/>
      <c r="E8" s="41"/>
      <c r="F8" s="42">
        <f>G67</f>
        <v>215995.68829490064</v>
      </c>
      <c r="G8" s="43">
        <f t="shared" si="0"/>
        <v>0.20316612727795577</v>
      </c>
      <c r="H8" s="3"/>
    </row>
    <row r="9" spans="2:8" s="2" customFormat="1" ht="15.6" customHeight="1" x14ac:dyDescent="0.2">
      <c r="B9" s="39" t="str">
        <f>B69</f>
        <v>1.2. Coletor Turno Noite</v>
      </c>
      <c r="C9" s="40"/>
      <c r="D9" s="41"/>
      <c r="E9" s="41"/>
      <c r="F9" s="42">
        <f>G86</f>
        <v>21652.711974093196</v>
      </c>
      <c r="G9" s="43">
        <f t="shared" si="0"/>
        <v>2.0366599313016896E-2</v>
      </c>
      <c r="H9" s="3"/>
    </row>
    <row r="10" spans="2:8" s="2" customFormat="1" ht="15.6" customHeight="1" x14ac:dyDescent="0.2">
      <c r="B10" s="39" t="str">
        <f>B88</f>
        <v>1.3. Motorista Turno do Dia</v>
      </c>
      <c r="C10" s="40"/>
      <c r="D10" s="41"/>
      <c r="E10" s="41"/>
      <c r="F10" s="42">
        <f>G101</f>
        <v>80883.63569002974</v>
      </c>
      <c r="G10" s="43">
        <f t="shared" si="0"/>
        <v>7.6079365995808834E-2</v>
      </c>
      <c r="H10" s="3"/>
    </row>
    <row r="11" spans="2:8" s="2" customFormat="1" ht="16.5" customHeight="1" x14ac:dyDescent="0.2">
      <c r="B11" s="39" t="str">
        <f>B103</f>
        <v>1.4. Motorista Turno Noite</v>
      </c>
      <c r="C11" s="40"/>
      <c r="D11" s="41"/>
      <c r="E11" s="41"/>
      <c r="F11" s="42">
        <f>G122</f>
        <v>11429.499557538431</v>
      </c>
      <c r="G11" s="43">
        <f t="shared" si="0"/>
        <v>1.0750618126505506E-2</v>
      </c>
      <c r="H11" s="3"/>
    </row>
    <row r="12" spans="2:8" s="2" customFormat="1" ht="16.5" customHeight="1" x14ac:dyDescent="0.2">
      <c r="B12" s="276" t="str">
        <f>B123</f>
        <v>1.5 Fiscal Coleta</v>
      </c>
      <c r="C12" s="40"/>
      <c r="D12" s="41"/>
      <c r="E12" s="41"/>
      <c r="F12" s="42">
        <f>G136</f>
        <v>19692.252676889679</v>
      </c>
      <c r="G12" s="43">
        <f t="shared" si="0"/>
        <v>1.852258600773693E-2</v>
      </c>
      <c r="H12" s="3"/>
    </row>
    <row r="13" spans="2:8" s="2" customFormat="1" ht="16.5" customHeight="1" x14ac:dyDescent="0.2">
      <c r="B13" s="276" t="str">
        <f>B138</f>
        <v>1.6 Gerente Operacional</v>
      </c>
      <c r="C13" s="40"/>
      <c r="D13" s="41"/>
      <c r="E13" s="41"/>
      <c r="F13" s="42">
        <f>G151</f>
        <v>15301.321938999998</v>
      </c>
      <c r="G13" s="43">
        <f t="shared" si="0"/>
        <v>1.4392464706682031E-2</v>
      </c>
      <c r="H13" s="3"/>
    </row>
    <row r="14" spans="2:8" s="2" customFormat="1" ht="16.5" customHeight="1" x14ac:dyDescent="0.2">
      <c r="B14" s="276" t="str">
        <f>B152</f>
        <v>1.7 Auxiliar Administrativo</v>
      </c>
      <c r="C14" s="40"/>
      <c r="D14" s="41"/>
      <c r="E14" s="41"/>
      <c r="F14" s="42">
        <f>G165</f>
        <v>3664.0515650000002</v>
      </c>
      <c r="G14" s="43">
        <f t="shared" si="0"/>
        <v>3.4464167895399494E-3</v>
      </c>
      <c r="H14" s="3"/>
    </row>
    <row r="15" spans="2:8" s="2" customFormat="1" ht="16.5" customHeight="1" x14ac:dyDescent="0.2">
      <c r="B15" s="276" t="str">
        <f>B166</f>
        <v>1.8 Encarregado Operacional</v>
      </c>
      <c r="C15" s="40"/>
      <c r="D15" s="41"/>
      <c r="E15" s="41"/>
      <c r="F15" s="42">
        <f>G179</f>
        <v>8309.8421719596627</v>
      </c>
      <c r="G15" s="43">
        <f t="shared" si="0"/>
        <v>7.8162599711854488E-3</v>
      </c>
      <c r="H15" s="3"/>
    </row>
    <row r="16" spans="2:8" s="4" customFormat="1" ht="14.25" x14ac:dyDescent="0.2">
      <c r="B16" s="276" t="str">
        <f>B182</f>
        <v>1.9. Vale Transporte</v>
      </c>
      <c r="C16" s="40"/>
      <c r="D16" s="41"/>
      <c r="E16" s="41"/>
      <c r="F16" s="42">
        <f>G190</f>
        <v>9720.36</v>
      </c>
      <c r="G16" s="43">
        <f t="shared" ref="G16:G30" si="1">IFERROR(F16/$F$31,0)</f>
        <v>9.1429968465448E-3</v>
      </c>
      <c r="H16" s="9"/>
    </row>
    <row r="17" spans="2:8" s="4" customFormat="1" ht="21.75" customHeight="1" x14ac:dyDescent="0.2">
      <c r="B17" s="276" t="str">
        <f>B191</f>
        <v>1.10. Vale-refeição (diário)</v>
      </c>
      <c r="C17" s="40"/>
      <c r="D17" s="41"/>
      <c r="E17" s="41"/>
      <c r="F17" s="42">
        <f>G196</f>
        <v>27438.32</v>
      </c>
      <c r="G17" s="43">
        <f t="shared" si="1"/>
        <v>2.5808557834739364E-2</v>
      </c>
      <c r="H17" s="9"/>
    </row>
    <row r="18" spans="2:8" s="2" customFormat="1" ht="10.9" customHeight="1" x14ac:dyDescent="0.2">
      <c r="B18" s="39" t="str">
        <f>B198</f>
        <v>1.11. Auxílio Alimentação (mensal)</v>
      </c>
      <c r="C18" s="40"/>
      <c r="D18" s="41"/>
      <c r="E18" s="41"/>
      <c r="F18" s="42">
        <f>G203</f>
        <v>2057.58</v>
      </c>
      <c r="G18" s="43">
        <f t="shared" si="1"/>
        <v>1.9353653004120885E-3</v>
      </c>
      <c r="H18" s="3"/>
    </row>
    <row r="19" spans="2:8" s="2" customFormat="1" ht="15.75" customHeight="1" x14ac:dyDescent="0.2">
      <c r="B19" s="346" t="str">
        <f>B207</f>
        <v>2. Uniformes e Equipamentos de Proteção Individual</v>
      </c>
      <c r="C19" s="347"/>
      <c r="D19" s="347"/>
      <c r="E19" s="36"/>
      <c r="F19" s="37">
        <f>+G239</f>
        <v>35672.68</v>
      </c>
      <c r="G19" s="38">
        <f t="shared" si="1"/>
        <v>3.3553819071289723E-2</v>
      </c>
      <c r="H19" s="3"/>
    </row>
    <row r="20" spans="2:8" s="2" customFormat="1" ht="15.75" customHeight="1" x14ac:dyDescent="0.2">
      <c r="B20" s="44" t="str">
        <f>B241</f>
        <v>3. Veículos e Equipamentos</v>
      </c>
      <c r="C20" s="45"/>
      <c r="D20" s="36"/>
      <c r="E20" s="36"/>
      <c r="F20" s="37">
        <f>+G318</f>
        <v>391415.56186393334</v>
      </c>
      <c r="G20" s="38">
        <f t="shared" si="1"/>
        <v>0.36816653373028402</v>
      </c>
      <c r="H20" s="3"/>
    </row>
    <row r="21" spans="2:8" s="7" customFormat="1" ht="15.75" customHeight="1" x14ac:dyDescent="0.2">
      <c r="B21" s="46" t="str">
        <f>B243</f>
        <v>3.1. Veículo Coletor Compactador 15 m³</v>
      </c>
      <c r="C21" s="47"/>
      <c r="D21" s="41"/>
      <c r="E21" s="41"/>
      <c r="F21" s="42">
        <f>SUM(F22:F27)</f>
        <v>391415.56186393334</v>
      </c>
      <c r="G21" s="43">
        <f t="shared" si="1"/>
        <v>0.36816653373028402</v>
      </c>
      <c r="H21" s="11"/>
    </row>
    <row r="22" spans="2:8" s="2" customFormat="1" ht="15.75" customHeight="1" x14ac:dyDescent="0.2">
      <c r="B22" s="46" t="str">
        <f>B245</f>
        <v>3.1.1. Depreciação</v>
      </c>
      <c r="C22" s="47"/>
      <c r="D22" s="41"/>
      <c r="E22" s="41"/>
      <c r="F22" s="42">
        <f>G259</f>
        <v>46921.034879999992</v>
      </c>
      <c r="G22" s="43">
        <f t="shared" si="1"/>
        <v>4.4134052025280798E-2</v>
      </c>
      <c r="H22" s="3"/>
    </row>
    <row r="23" spans="2:8" s="2" customFormat="1" ht="15.75" customHeight="1" x14ac:dyDescent="0.2">
      <c r="B23" s="46" t="str">
        <f>B261</f>
        <v>3.1.2. Remuneração do Capital</v>
      </c>
      <c r="C23" s="47"/>
      <c r="D23" s="41"/>
      <c r="E23" s="41"/>
      <c r="F23" s="42">
        <f>G275</f>
        <v>41756.687355599992</v>
      </c>
      <c r="G23" s="43">
        <f t="shared" si="1"/>
        <v>3.9276452807756899E-2</v>
      </c>
      <c r="H23" s="3"/>
    </row>
    <row r="24" spans="2:8" s="2" customFormat="1" ht="15.75" customHeight="1" x14ac:dyDescent="0.2">
      <c r="B24" s="46" t="str">
        <f>B277</f>
        <v>3.1.3. Impostos e Seguros</v>
      </c>
      <c r="C24" s="47"/>
      <c r="D24" s="41"/>
      <c r="E24" s="41"/>
      <c r="F24" s="42">
        <f>G283</f>
        <v>4409.5349999999999</v>
      </c>
      <c r="G24" s="43">
        <f t="shared" si="1"/>
        <v>4.1476205201997586E-3</v>
      </c>
      <c r="H24" s="3"/>
    </row>
    <row r="25" spans="2:8" s="2" customFormat="1" ht="15.75" customHeight="1" x14ac:dyDescent="0.2">
      <c r="B25" s="46" t="str">
        <f>B285</f>
        <v>3.1.4. Consumos</v>
      </c>
      <c r="C25" s="47"/>
      <c r="D25" s="41"/>
      <c r="E25" s="41"/>
      <c r="F25" s="42">
        <f>G301</f>
        <v>257494.34539333335</v>
      </c>
      <c r="G25" s="43">
        <f t="shared" si="1"/>
        <v>0.2421998761295224</v>
      </c>
      <c r="H25" s="3"/>
    </row>
    <row r="26" spans="2:8" s="2" customFormat="1" ht="15.75" customHeight="1" x14ac:dyDescent="0.2">
      <c r="B26" s="46" t="str">
        <f>B303</f>
        <v>3.1.5. Manutenção</v>
      </c>
      <c r="C26" s="47"/>
      <c r="D26" s="41"/>
      <c r="E26" s="41"/>
      <c r="F26" s="42">
        <f>G306</f>
        <v>35917.5</v>
      </c>
      <c r="G26" s="43">
        <f t="shared" si="1"/>
        <v>3.3784097423940354E-2</v>
      </c>
      <c r="H26" s="3"/>
    </row>
    <row r="27" spans="2:8" s="2" customFormat="1" ht="15.75" customHeight="1" x14ac:dyDescent="0.2">
      <c r="B27" s="46" t="str">
        <f>B308</f>
        <v>3.1.6. Pneus</v>
      </c>
      <c r="C27" s="47"/>
      <c r="D27" s="41"/>
      <c r="E27" s="41"/>
      <c r="F27" s="42">
        <f>G315</f>
        <v>4916.4592350000003</v>
      </c>
      <c r="G27" s="43">
        <f t="shared" si="1"/>
        <v>4.6244348235838038E-3</v>
      </c>
      <c r="H27" s="3"/>
    </row>
    <row r="28" spans="2:8" s="2" customFormat="1" ht="15.75" customHeight="1" x14ac:dyDescent="0.2">
      <c r="B28" s="44" t="str">
        <f>B320</f>
        <v>4. Ferramentas e Materiais de Consumo</v>
      </c>
      <c r="C28" s="45"/>
      <c r="D28" s="36"/>
      <c r="E28" s="36"/>
      <c r="F28" s="37">
        <f>+G331</f>
        <v>6418.7</v>
      </c>
      <c r="G28" s="38">
        <f t="shared" si="1"/>
        <v>6.0374465409632058E-3</v>
      </c>
      <c r="H28" s="3"/>
    </row>
    <row r="29" spans="2:8" s="7" customFormat="1" ht="15.75" customHeight="1" x14ac:dyDescent="0.2">
      <c r="B29" s="44" t="str">
        <f>B333</f>
        <v>5. Monitoramento da Frota</v>
      </c>
      <c r="C29" s="45"/>
      <c r="D29" s="36"/>
      <c r="E29" s="36"/>
      <c r="F29" s="37">
        <f>+G342</f>
        <v>1402.5</v>
      </c>
      <c r="G29" s="38">
        <f t="shared" si="1"/>
        <v>1.3191952846683746E-3</v>
      </c>
      <c r="H29" s="11"/>
    </row>
    <row r="30" spans="2:8" s="7" customFormat="1" ht="15.75" customHeight="1" thickBot="1" x14ac:dyDescent="0.25">
      <c r="B30" s="44" t="str">
        <f>B346</f>
        <v>6. Benefícios e Despesas Indiretas - BDI</v>
      </c>
      <c r="C30" s="45"/>
      <c r="D30" s="36"/>
      <c r="E30" s="36"/>
      <c r="F30" s="48">
        <f>+G352</f>
        <v>212082.8326687495</v>
      </c>
      <c r="G30" s="38">
        <f t="shared" si="1"/>
        <v>0.19948568471709538</v>
      </c>
      <c r="H30" s="11"/>
    </row>
    <row r="31" spans="2:8" s="2" customFormat="1" ht="15.75" customHeight="1" thickBot="1" x14ac:dyDescent="0.25">
      <c r="B31" s="49" t="s">
        <v>219</v>
      </c>
      <c r="C31" s="50"/>
      <c r="D31" s="51"/>
      <c r="E31" s="51"/>
      <c r="F31" s="52">
        <v>1063148.1299999999</v>
      </c>
      <c r="G31" s="53">
        <f>G7+G19+G20+G28+G29+G30</f>
        <v>0.99999003751442828</v>
      </c>
      <c r="H31" s="3"/>
    </row>
    <row r="32" spans="2:8" s="2" customFormat="1" ht="15.75" customHeight="1" x14ac:dyDescent="0.2">
      <c r="B32" s="54"/>
      <c r="C32" s="54"/>
      <c r="D32" s="54"/>
      <c r="E32" s="55"/>
      <c r="F32" s="55"/>
      <c r="G32" s="55"/>
      <c r="H32" s="3"/>
    </row>
    <row r="33" spans="2:8" s="2" customFormat="1" ht="15.75" customHeight="1" thickBot="1" x14ac:dyDescent="0.25">
      <c r="B33" s="54"/>
      <c r="C33" s="54"/>
      <c r="D33" s="54"/>
      <c r="E33" s="55"/>
      <c r="F33" s="55"/>
      <c r="G33" s="55"/>
      <c r="H33" s="3"/>
    </row>
    <row r="34" spans="2:8" s="2" customFormat="1" ht="15.75" customHeight="1" thickBot="1" x14ac:dyDescent="0.25">
      <c r="B34" s="357" t="s">
        <v>100</v>
      </c>
      <c r="C34" s="358"/>
      <c r="D34" s="358"/>
      <c r="E34" s="358"/>
      <c r="F34" s="359"/>
      <c r="G34" s="55"/>
      <c r="H34" s="3"/>
    </row>
    <row r="35" spans="2:8" s="2" customFormat="1" ht="15.75" customHeight="1" thickBot="1" x14ac:dyDescent="0.25">
      <c r="B35" s="354" t="s">
        <v>41</v>
      </c>
      <c r="C35" s="355"/>
      <c r="D35" s="355"/>
      <c r="E35" s="356"/>
      <c r="F35" s="56" t="s">
        <v>42</v>
      </c>
      <c r="G35" s="55"/>
      <c r="H35" s="3"/>
    </row>
    <row r="36" spans="2:8" s="2" customFormat="1" ht="15.75" customHeight="1" x14ac:dyDescent="0.2">
      <c r="B36" s="57" t="str">
        <f>+B56</f>
        <v>1.1. Coletor Turno Dia</v>
      </c>
      <c r="C36" s="30"/>
      <c r="D36" s="30"/>
      <c r="E36" s="58"/>
      <c r="F36" s="59">
        <v>42</v>
      </c>
      <c r="G36" s="55"/>
      <c r="H36" s="3"/>
    </row>
    <row r="37" spans="2:8" s="2" customFormat="1" ht="15.75" customHeight="1" x14ac:dyDescent="0.2">
      <c r="B37" s="39" t="str">
        <f>+B69</f>
        <v>1.2. Coletor Turno Noite</v>
      </c>
      <c r="C37" s="41"/>
      <c r="D37" s="41"/>
      <c r="E37" s="60"/>
      <c r="F37" s="61">
        <v>4</v>
      </c>
      <c r="G37" s="55"/>
      <c r="H37" s="3"/>
    </row>
    <row r="38" spans="2:8" s="7" customFormat="1" ht="15.75" customHeight="1" x14ac:dyDescent="0.2">
      <c r="B38" s="277" t="str">
        <f>+B88</f>
        <v>1.3. Motorista Turno do Dia</v>
      </c>
      <c r="C38" s="278"/>
      <c r="D38" s="278"/>
      <c r="E38" s="279"/>
      <c r="F38" s="280">
        <v>15</v>
      </c>
      <c r="G38" s="55"/>
      <c r="H38" s="11"/>
    </row>
    <row r="39" spans="2:8" s="7" customFormat="1" ht="15.75" customHeight="1" x14ac:dyDescent="0.2">
      <c r="B39" s="39" t="str">
        <f>+B103</f>
        <v>1.4. Motorista Turno Noite</v>
      </c>
      <c r="C39" s="278"/>
      <c r="D39" s="278"/>
      <c r="E39" s="279"/>
      <c r="F39" s="61">
        <v>2</v>
      </c>
      <c r="G39" s="68"/>
      <c r="H39" s="283"/>
    </row>
    <row r="40" spans="2:8" s="7" customFormat="1" ht="15.75" customHeight="1" x14ac:dyDescent="0.2">
      <c r="B40" s="39" t="str">
        <f>B12</f>
        <v>1.5 Fiscal Coleta</v>
      </c>
      <c r="C40" s="41"/>
      <c r="D40" s="41"/>
      <c r="E40" s="282"/>
      <c r="F40" s="281">
        <v>3</v>
      </c>
      <c r="G40" s="55"/>
      <c r="H40" s="11"/>
    </row>
    <row r="41" spans="2:8" s="7" customFormat="1" ht="15.75" customHeight="1" x14ac:dyDescent="0.2">
      <c r="B41" s="39" t="str">
        <f>B138</f>
        <v>1.6 Gerente Operacional</v>
      </c>
      <c r="C41" s="41"/>
      <c r="D41" s="41"/>
      <c r="E41" s="282"/>
      <c r="F41" s="281">
        <v>1</v>
      </c>
      <c r="G41" s="55"/>
      <c r="H41" s="11"/>
    </row>
    <row r="42" spans="2:8" s="7" customFormat="1" ht="15.75" customHeight="1" x14ac:dyDescent="0.2">
      <c r="B42" s="39" t="str">
        <f>B152</f>
        <v>1.7 Auxiliar Administrativo</v>
      </c>
      <c r="C42" s="41"/>
      <c r="D42" s="41"/>
      <c r="E42" s="60"/>
      <c r="F42" s="61">
        <v>1</v>
      </c>
      <c r="G42" s="55"/>
      <c r="H42" s="11"/>
    </row>
    <row r="43" spans="2:8" s="7" customFormat="1" ht="15.75" customHeight="1" x14ac:dyDescent="0.2">
      <c r="B43" s="39" t="str">
        <f>B166</f>
        <v>1.8 Encarregado Operacional</v>
      </c>
      <c r="C43" s="41"/>
      <c r="D43" s="41"/>
      <c r="E43" s="282"/>
      <c r="F43" s="61">
        <v>1</v>
      </c>
      <c r="G43" s="55"/>
      <c r="H43" s="11"/>
    </row>
    <row r="44" spans="2:8" s="7" customFormat="1" ht="15.75" customHeight="1" thickBot="1" x14ac:dyDescent="0.25">
      <c r="B44" s="62" t="s">
        <v>61</v>
      </c>
      <c r="C44" s="63"/>
      <c r="D44" s="63"/>
      <c r="E44" s="64"/>
      <c r="F44" s="65">
        <f>SUM(F36:F43)</f>
        <v>69</v>
      </c>
      <c r="G44" s="55"/>
      <c r="H44" s="11"/>
    </row>
    <row r="45" spans="2:8" s="2" customFormat="1" ht="15.75" customHeight="1" thickBot="1" x14ac:dyDescent="0.25">
      <c r="B45" s="66"/>
      <c r="C45" s="67"/>
      <c r="D45" s="68"/>
      <c r="E45" s="68"/>
      <c r="F45" s="284"/>
      <c r="G45" s="55"/>
      <c r="H45" s="3"/>
    </row>
    <row r="46" spans="2:8" x14ac:dyDescent="0.2">
      <c r="B46" s="344" t="s">
        <v>58</v>
      </c>
      <c r="C46" s="345"/>
      <c r="D46" s="345"/>
      <c r="E46" s="345"/>
      <c r="F46" s="56" t="s">
        <v>42</v>
      </c>
      <c r="G46" s="54"/>
    </row>
    <row r="47" spans="2:8" ht="13.5" thickBot="1" x14ac:dyDescent="0.25">
      <c r="B47" s="69" t="str">
        <f>+B243</f>
        <v>3.1. Veículo Coletor Compactador 15 m³</v>
      </c>
      <c r="C47" s="70"/>
      <c r="D47" s="70"/>
      <c r="E47" s="71"/>
      <c r="F47" s="72">
        <v>9</v>
      </c>
      <c r="G47" s="54"/>
    </row>
    <row r="48" spans="2:8" ht="13.5" thickBot="1" x14ac:dyDescent="0.25">
      <c r="B48" s="69">
        <f>+B244</f>
        <v>0</v>
      </c>
      <c r="C48" s="70"/>
      <c r="D48" s="70"/>
      <c r="E48" s="71"/>
      <c r="F48" s="72"/>
      <c r="G48" s="54"/>
    </row>
    <row r="49" spans="2:8" s="2" customFormat="1" ht="15" customHeight="1" x14ac:dyDescent="0.2">
      <c r="B49" s="68"/>
      <c r="C49" s="68"/>
      <c r="D49" s="68"/>
      <c r="E49" s="73"/>
      <c r="F49" s="74"/>
      <c r="G49" s="54"/>
      <c r="H49" s="3"/>
    </row>
    <row r="50" spans="2:8" s="2" customFormat="1" ht="15" customHeight="1" thickBot="1" x14ac:dyDescent="0.25">
      <c r="B50" s="68"/>
      <c r="C50" s="68"/>
      <c r="D50" s="68"/>
      <c r="E50" s="73"/>
      <c r="F50" s="75"/>
      <c r="G50" s="54"/>
      <c r="H50" s="3"/>
    </row>
    <row r="51" spans="2:8" s="2" customFormat="1" ht="15" customHeight="1" thickBot="1" x14ac:dyDescent="0.25">
      <c r="B51" s="76" t="s">
        <v>182</v>
      </c>
      <c r="C51" s="77">
        <v>1</v>
      </c>
      <c r="D51" s="78"/>
      <c r="E51" s="79"/>
      <c r="F51" s="80"/>
      <c r="G51" s="81"/>
      <c r="H51" s="3"/>
    </row>
    <row r="52" spans="2:8" s="2" customFormat="1" ht="15" customHeight="1" thickBot="1" x14ac:dyDescent="0.25">
      <c r="B52" s="76" t="s">
        <v>307</v>
      </c>
      <c r="C52" s="77">
        <v>0.5</v>
      </c>
      <c r="D52" s="78"/>
      <c r="E52" s="79"/>
      <c r="F52" s="80"/>
      <c r="G52" s="81"/>
      <c r="H52" s="3"/>
    </row>
    <row r="53" spans="2:8" s="2" customFormat="1" ht="15" customHeight="1" x14ac:dyDescent="0.2">
      <c r="B53" s="78"/>
      <c r="C53" s="271"/>
      <c r="D53" s="68"/>
      <c r="E53" s="73"/>
      <c r="F53" s="75"/>
      <c r="G53" s="54"/>
      <c r="H53" s="3"/>
    </row>
    <row r="54" spans="2:8" s="2" customFormat="1" ht="15" customHeight="1" x14ac:dyDescent="0.2">
      <c r="B54" s="81" t="s">
        <v>49</v>
      </c>
      <c r="C54" s="54"/>
      <c r="D54" s="54"/>
      <c r="E54" s="55"/>
      <c r="F54" s="55"/>
      <c r="G54" s="55"/>
      <c r="H54" s="3"/>
    </row>
    <row r="55" spans="2:8" s="2" customFormat="1" ht="15" customHeight="1" x14ac:dyDescent="0.2">
      <c r="B55" s="54"/>
      <c r="C55" s="54"/>
      <c r="D55" s="54"/>
      <c r="E55" s="55"/>
      <c r="F55" s="55"/>
      <c r="G55" s="55"/>
      <c r="H55" s="3"/>
    </row>
    <row r="56" spans="2:8" s="2" customFormat="1" ht="15" customHeight="1" thickBot="1" x14ac:dyDescent="0.25">
      <c r="B56" s="54" t="s">
        <v>103</v>
      </c>
      <c r="C56" s="54"/>
      <c r="D56" s="54"/>
      <c r="E56" s="55"/>
      <c r="F56" s="55"/>
      <c r="G56" s="55"/>
      <c r="H56" s="3"/>
    </row>
    <row r="57" spans="2:8" s="2" customFormat="1" ht="15" customHeight="1" thickBot="1" x14ac:dyDescent="0.25">
      <c r="B57" s="82" t="s">
        <v>66</v>
      </c>
      <c r="C57" s="83" t="s">
        <v>67</v>
      </c>
      <c r="D57" s="83" t="s">
        <v>42</v>
      </c>
      <c r="E57" s="84" t="s">
        <v>215</v>
      </c>
      <c r="F57" s="84" t="s">
        <v>68</v>
      </c>
      <c r="G57" s="85" t="s">
        <v>306</v>
      </c>
      <c r="H57" s="3"/>
    </row>
    <row r="58" spans="2:8" s="2" customFormat="1" ht="15" customHeight="1" x14ac:dyDescent="0.2">
      <c r="B58" s="86" t="s">
        <v>196</v>
      </c>
      <c r="C58" s="87" t="s">
        <v>8</v>
      </c>
      <c r="D58" s="87">
        <v>1</v>
      </c>
      <c r="E58" s="88">
        <v>1521</v>
      </c>
      <c r="F58" s="89">
        <f>D58*E58</f>
        <v>1521</v>
      </c>
      <c r="G58" s="55"/>
      <c r="H58" s="3"/>
    </row>
    <row r="59" spans="2:8" s="2" customFormat="1" ht="15" customHeight="1" x14ac:dyDescent="0.2">
      <c r="B59" s="90" t="s">
        <v>36</v>
      </c>
      <c r="C59" s="91" t="s">
        <v>0</v>
      </c>
      <c r="D59" s="92">
        <v>5</v>
      </c>
      <c r="E59" s="93">
        <f>E58/220*2</f>
        <v>13.827272727272728</v>
      </c>
      <c r="F59" s="93">
        <f>D59*E59</f>
        <v>69.13636363636364</v>
      </c>
      <c r="G59" s="55"/>
      <c r="H59" s="3"/>
    </row>
    <row r="60" spans="2:8" s="2" customFormat="1" ht="15" customHeight="1" x14ac:dyDescent="0.2">
      <c r="B60" s="90" t="s">
        <v>37</v>
      </c>
      <c r="C60" s="91" t="s">
        <v>0</v>
      </c>
      <c r="D60" s="92">
        <v>8</v>
      </c>
      <c r="E60" s="93">
        <f>E58/220*1.5</f>
        <v>10.370454545454546</v>
      </c>
      <c r="F60" s="93">
        <f>D60*E60</f>
        <v>82.963636363636368</v>
      </c>
      <c r="G60" s="55"/>
      <c r="H60" s="3"/>
    </row>
    <row r="61" spans="2:8" s="2" customFormat="1" x14ac:dyDescent="0.2">
      <c r="B61" s="90" t="s">
        <v>199</v>
      </c>
      <c r="C61" s="91" t="s">
        <v>35</v>
      </c>
      <c r="D61" s="54"/>
      <c r="E61" s="93">
        <f>63/302*(SUM(F59:F60))</f>
        <v>31.729470198675504</v>
      </c>
      <c r="F61" s="93">
        <f>E61</f>
        <v>31.729470198675504</v>
      </c>
      <c r="G61" s="55"/>
      <c r="H61" s="3"/>
    </row>
    <row r="62" spans="2:8" s="7" customFormat="1" ht="15.75" customHeight="1" x14ac:dyDescent="0.2">
      <c r="B62" s="90" t="s">
        <v>1</v>
      </c>
      <c r="C62" s="91" t="s">
        <v>2</v>
      </c>
      <c r="D62" s="91">
        <v>40</v>
      </c>
      <c r="E62" s="94">
        <f>SUM(F58:F61)</f>
        <v>1704.8294701986756</v>
      </c>
      <c r="F62" s="93">
        <f>D62*E62/100</f>
        <v>681.93178807947027</v>
      </c>
      <c r="G62" s="55"/>
      <c r="H62" s="11"/>
    </row>
    <row r="63" spans="2:8" s="2" customFormat="1" ht="15.75" customHeight="1" x14ac:dyDescent="0.2">
      <c r="B63" s="95" t="s">
        <v>3</v>
      </c>
      <c r="C63" s="96"/>
      <c r="D63" s="96"/>
      <c r="E63" s="97"/>
      <c r="F63" s="98">
        <f>SUM(F58:F62)</f>
        <v>2386.7612582781458</v>
      </c>
      <c r="G63" s="55"/>
      <c r="H63" s="3"/>
    </row>
    <row r="64" spans="2:8" ht="13.15" customHeight="1" x14ac:dyDescent="0.2">
      <c r="B64" s="90" t="s">
        <v>4</v>
      </c>
      <c r="C64" s="91" t="s">
        <v>2</v>
      </c>
      <c r="D64" s="99">
        <v>115.47</v>
      </c>
      <c r="E64" s="93">
        <f>F63</f>
        <v>2386.7612582781458</v>
      </c>
      <c r="F64" s="93">
        <f>E64*D64/100</f>
        <v>2755.9932249337749</v>
      </c>
      <c r="G64" s="55"/>
    </row>
    <row r="65" spans="2:8" ht="11.25" customHeight="1" x14ac:dyDescent="0.2">
      <c r="B65" s="95" t="s">
        <v>75</v>
      </c>
      <c r="C65" s="96"/>
      <c r="D65" s="96"/>
      <c r="E65" s="97"/>
      <c r="F65" s="98">
        <f>F63+F64</f>
        <v>5142.7544832119202</v>
      </c>
      <c r="G65" s="55"/>
    </row>
    <row r="66" spans="2:8" ht="13.9" customHeight="1" thickBot="1" x14ac:dyDescent="0.25">
      <c r="B66" s="90" t="s">
        <v>5</v>
      </c>
      <c r="C66" s="91" t="s">
        <v>6</v>
      </c>
      <c r="D66" s="100">
        <v>42</v>
      </c>
      <c r="E66" s="93">
        <f>F65</f>
        <v>5142.7544832119202</v>
      </c>
      <c r="F66" s="93">
        <f>D66*E66</f>
        <v>215995.68829490064</v>
      </c>
      <c r="G66" s="55"/>
    </row>
    <row r="67" spans="2:8" ht="13.9" customHeight="1" thickBot="1" x14ac:dyDescent="0.25">
      <c r="B67" s="54"/>
      <c r="C67" s="54"/>
      <c r="D67" s="54"/>
      <c r="E67" s="101" t="s">
        <v>181</v>
      </c>
      <c r="F67" s="102">
        <f>$C$51</f>
        <v>1</v>
      </c>
      <c r="G67" s="103">
        <f>F66*F67</f>
        <v>215995.68829490064</v>
      </c>
    </row>
    <row r="68" spans="2:8" ht="13.15" customHeight="1" x14ac:dyDescent="0.2">
      <c r="B68" s="54"/>
      <c r="C68" s="54"/>
      <c r="D68" s="54"/>
      <c r="E68" s="55"/>
      <c r="F68" s="55"/>
      <c r="G68" s="55"/>
    </row>
    <row r="69" spans="2:8" ht="13.5" thickBot="1" x14ac:dyDescent="0.25">
      <c r="B69" s="54" t="s">
        <v>94</v>
      </c>
      <c r="C69" s="54"/>
      <c r="D69" s="54"/>
      <c r="E69" s="55"/>
      <c r="F69" s="55"/>
      <c r="G69" s="55"/>
    </row>
    <row r="70" spans="2:8" ht="13.15" customHeight="1" thickBot="1" x14ac:dyDescent="0.25">
      <c r="B70" s="82" t="s">
        <v>66</v>
      </c>
      <c r="C70" s="83" t="s">
        <v>67</v>
      </c>
      <c r="D70" s="83" t="s">
        <v>42</v>
      </c>
      <c r="E70" s="84" t="s">
        <v>215</v>
      </c>
      <c r="F70" s="84" t="s">
        <v>68</v>
      </c>
      <c r="G70" s="85" t="s">
        <v>306</v>
      </c>
    </row>
    <row r="71" spans="2:8" ht="13.15" customHeight="1" x14ac:dyDescent="0.2">
      <c r="B71" s="86" t="s">
        <v>196</v>
      </c>
      <c r="C71" s="87" t="s">
        <v>8</v>
      </c>
      <c r="D71" s="87">
        <v>1</v>
      </c>
      <c r="E71" s="89">
        <f>E58</f>
        <v>1521</v>
      </c>
      <c r="F71" s="89">
        <f>D71*E71</f>
        <v>1521</v>
      </c>
      <c r="G71" s="55"/>
    </row>
    <row r="72" spans="2:8" x14ac:dyDescent="0.2">
      <c r="B72" s="90" t="s">
        <v>7</v>
      </c>
      <c r="C72" s="91" t="s">
        <v>101</v>
      </c>
      <c r="D72" s="92">
        <v>5</v>
      </c>
      <c r="E72" s="93"/>
      <c r="F72" s="93"/>
      <c r="G72" s="55"/>
    </row>
    <row r="73" spans="2:8" x14ac:dyDescent="0.2">
      <c r="B73" s="90"/>
      <c r="C73" s="91" t="s">
        <v>106</v>
      </c>
      <c r="D73" s="104">
        <f>D72*8/7</f>
        <v>5.7142857142857144</v>
      </c>
      <c r="E73" s="93">
        <f>E71/220*0.2</f>
        <v>1.3827272727272728</v>
      </c>
      <c r="F73" s="93">
        <f>D73*E73</f>
        <v>7.9012987012987015</v>
      </c>
      <c r="G73" s="55"/>
    </row>
    <row r="74" spans="2:8" x14ac:dyDescent="0.2">
      <c r="B74" s="90" t="s">
        <v>36</v>
      </c>
      <c r="C74" s="91" t="s">
        <v>0</v>
      </c>
      <c r="D74" s="92">
        <v>0</v>
      </c>
      <c r="E74" s="93">
        <f>E71/220*2</f>
        <v>13.827272727272728</v>
      </c>
      <c r="F74" s="93">
        <f>D74*E74</f>
        <v>0</v>
      </c>
      <c r="G74" s="55"/>
    </row>
    <row r="75" spans="2:8" x14ac:dyDescent="0.2">
      <c r="B75" s="90" t="s">
        <v>102</v>
      </c>
      <c r="C75" s="91" t="s">
        <v>101</v>
      </c>
      <c r="D75" s="92">
        <v>6.09</v>
      </c>
      <c r="E75" s="93"/>
      <c r="F75" s="93"/>
      <c r="G75" s="55"/>
    </row>
    <row r="76" spans="2:8" x14ac:dyDescent="0.2">
      <c r="B76" s="90"/>
      <c r="C76" s="91" t="s">
        <v>106</v>
      </c>
      <c r="D76" s="104">
        <f>D75*8/7</f>
        <v>6.96</v>
      </c>
      <c r="E76" s="93">
        <f>E71/220*2*1.2</f>
        <v>16.592727272727274</v>
      </c>
      <c r="F76" s="93">
        <f>D76*E76</f>
        <v>115.48538181818182</v>
      </c>
      <c r="G76" s="55"/>
      <c r="H76" s="3"/>
    </row>
    <row r="77" spans="2:8" ht="13.9" customHeight="1" x14ac:dyDescent="0.2">
      <c r="B77" s="90" t="s">
        <v>37</v>
      </c>
      <c r="C77" s="91" t="s">
        <v>0</v>
      </c>
      <c r="D77" s="92">
        <v>0</v>
      </c>
      <c r="E77" s="93">
        <f>E71/220*1.5</f>
        <v>10.370454545454546</v>
      </c>
      <c r="F77" s="93">
        <f>D77*E77</f>
        <v>0</v>
      </c>
      <c r="G77" s="55"/>
      <c r="H77" s="3"/>
    </row>
    <row r="78" spans="2:8" ht="11.25" customHeight="1" x14ac:dyDescent="0.2">
      <c r="B78" s="90" t="s">
        <v>198</v>
      </c>
      <c r="C78" s="91" t="s">
        <v>101</v>
      </c>
      <c r="D78" s="92">
        <v>7.33</v>
      </c>
      <c r="E78" s="93"/>
      <c r="F78" s="93"/>
      <c r="G78" s="55"/>
    </row>
    <row r="79" spans="2:8" x14ac:dyDescent="0.2">
      <c r="B79" s="90"/>
      <c r="C79" s="91" t="s">
        <v>106</v>
      </c>
      <c r="D79" s="93">
        <f>D78*8/7</f>
        <v>8.3771428571428572</v>
      </c>
      <c r="E79" s="93">
        <f>E71/220*1.5*1.2</f>
        <v>12.444545454545455</v>
      </c>
      <c r="F79" s="93">
        <f>D79*E79</f>
        <v>104.24973506493507</v>
      </c>
      <c r="G79" s="55"/>
    </row>
    <row r="80" spans="2:8" x14ac:dyDescent="0.2">
      <c r="B80" s="90" t="s">
        <v>199</v>
      </c>
      <c r="C80" s="91" t="s">
        <v>35</v>
      </c>
      <c r="D80" s="54"/>
      <c r="E80" s="93">
        <f>63/302*(SUM(F74:F79))</f>
        <v>45.838782661047567</v>
      </c>
      <c r="F80" s="93">
        <f>E80</f>
        <v>45.838782661047567</v>
      </c>
      <c r="G80" s="55"/>
    </row>
    <row r="81" spans="2:7" x14ac:dyDescent="0.2">
      <c r="B81" s="90" t="s">
        <v>1</v>
      </c>
      <c r="C81" s="91" t="s">
        <v>2</v>
      </c>
      <c r="D81" s="91">
        <f>+D62</f>
        <v>40</v>
      </c>
      <c r="E81" s="94">
        <f>SUM(F71:F80)</f>
        <v>1794.4751982454632</v>
      </c>
      <c r="F81" s="93">
        <f>D81*E81/100</f>
        <v>717.79007929818533</v>
      </c>
      <c r="G81" s="55"/>
    </row>
    <row r="82" spans="2:7" x14ac:dyDescent="0.2">
      <c r="B82" s="95" t="s">
        <v>3</v>
      </c>
      <c r="C82" s="96"/>
      <c r="D82" s="96"/>
      <c r="E82" s="97"/>
      <c r="F82" s="98">
        <f>SUM(F71:F81)</f>
        <v>2512.2652775436486</v>
      </c>
      <c r="G82" s="55"/>
    </row>
    <row r="83" spans="2:7" x14ac:dyDescent="0.2">
      <c r="B83" s="90" t="s">
        <v>4</v>
      </c>
      <c r="C83" s="91" t="s">
        <v>2</v>
      </c>
      <c r="D83" s="99">
        <v>115.47</v>
      </c>
      <c r="E83" s="93">
        <f>F82</f>
        <v>2512.2652775436486</v>
      </c>
      <c r="F83" s="93">
        <f>E83*D83/100</f>
        <v>2900.9127159796508</v>
      </c>
      <c r="G83" s="55"/>
    </row>
    <row r="84" spans="2:7" x14ac:dyDescent="0.2">
      <c r="B84" s="95" t="s">
        <v>75</v>
      </c>
      <c r="C84" s="96"/>
      <c r="D84" s="96"/>
      <c r="E84" s="97"/>
      <c r="F84" s="98">
        <f>F82+F83</f>
        <v>5413.1779935232989</v>
      </c>
      <c r="G84" s="55"/>
    </row>
    <row r="85" spans="2:7" ht="13.5" thickBot="1" x14ac:dyDescent="0.25">
      <c r="B85" s="90" t="s">
        <v>5</v>
      </c>
      <c r="C85" s="91" t="s">
        <v>6</v>
      </c>
      <c r="D85" s="100">
        <v>4</v>
      </c>
      <c r="E85" s="93">
        <f>F84</f>
        <v>5413.1779935232989</v>
      </c>
      <c r="F85" s="93">
        <f>D85*E85</f>
        <v>21652.711974093196</v>
      </c>
      <c r="G85" s="55"/>
    </row>
    <row r="86" spans="2:7" ht="13.5" thickBot="1" x14ac:dyDescent="0.25">
      <c r="B86" s="54"/>
      <c r="C86" s="54"/>
      <c r="D86" s="54"/>
      <c r="E86" s="101" t="s">
        <v>181</v>
      </c>
      <c r="F86" s="102">
        <f>$C$51</f>
        <v>1</v>
      </c>
      <c r="G86" s="103">
        <f>F85*F86</f>
        <v>21652.711974093196</v>
      </c>
    </row>
    <row r="87" spans="2:7" x14ac:dyDescent="0.2">
      <c r="B87" s="54"/>
      <c r="C87" s="54"/>
      <c r="D87" s="54"/>
      <c r="E87" s="55"/>
      <c r="F87" s="55"/>
      <c r="G87" s="55"/>
    </row>
    <row r="88" spans="2:7" ht="13.5" thickBot="1" x14ac:dyDescent="0.25">
      <c r="B88" s="54" t="s">
        <v>104</v>
      </c>
      <c r="C88" s="54"/>
      <c r="D88" s="54"/>
      <c r="E88" s="55"/>
      <c r="F88" s="55"/>
      <c r="G88" s="55"/>
    </row>
    <row r="89" spans="2:7" ht="13.5" thickBot="1" x14ac:dyDescent="0.25">
      <c r="B89" s="82" t="s">
        <v>66</v>
      </c>
      <c r="C89" s="83" t="s">
        <v>67</v>
      </c>
      <c r="D89" s="83" t="s">
        <v>42</v>
      </c>
      <c r="E89" s="84" t="s">
        <v>215</v>
      </c>
      <c r="F89" s="84" t="s">
        <v>68</v>
      </c>
      <c r="G89" s="85" t="s">
        <v>306</v>
      </c>
    </row>
    <row r="90" spans="2:7" ht="13.15" customHeight="1" x14ac:dyDescent="0.2">
      <c r="B90" s="86" t="s">
        <v>257</v>
      </c>
      <c r="C90" s="87" t="s">
        <v>8</v>
      </c>
      <c r="D90" s="87">
        <v>1</v>
      </c>
      <c r="E90" s="88">
        <v>2184</v>
      </c>
      <c r="F90" s="89">
        <f>D90*E90</f>
        <v>2184</v>
      </c>
      <c r="G90" s="55"/>
    </row>
    <row r="91" spans="2:7" x14ac:dyDescent="0.2">
      <c r="B91" s="86" t="s">
        <v>258</v>
      </c>
      <c r="C91" s="87" t="s">
        <v>8</v>
      </c>
      <c r="D91" s="87">
        <v>1</v>
      </c>
      <c r="E91" s="88">
        <v>1320</v>
      </c>
      <c r="F91" s="89"/>
      <c r="G91" s="55"/>
    </row>
    <row r="92" spans="2:7" x14ac:dyDescent="0.2">
      <c r="B92" s="90" t="s">
        <v>36</v>
      </c>
      <c r="C92" s="91" t="s">
        <v>0</v>
      </c>
      <c r="D92" s="92">
        <v>7.33</v>
      </c>
      <c r="E92" s="93">
        <f>E90/220*2</f>
        <v>19.854545454545455</v>
      </c>
      <c r="F92" s="93">
        <f>D92*E92</f>
        <v>145.53381818181819</v>
      </c>
      <c r="G92" s="55"/>
    </row>
    <row r="93" spans="2:7" x14ac:dyDescent="0.2">
      <c r="B93" s="90" t="s">
        <v>37</v>
      </c>
      <c r="C93" s="91" t="s">
        <v>0</v>
      </c>
      <c r="D93" s="92">
        <v>5.2</v>
      </c>
      <c r="E93" s="93">
        <f>E90/220*1.5</f>
        <v>14.890909090909091</v>
      </c>
      <c r="F93" s="93">
        <f>D93*E93</f>
        <v>77.432727272727277</v>
      </c>
      <c r="G93" s="55"/>
    </row>
    <row r="94" spans="2:7" x14ac:dyDescent="0.2">
      <c r="B94" s="90" t="s">
        <v>199</v>
      </c>
      <c r="C94" s="91" t="s">
        <v>35</v>
      </c>
      <c r="D94" s="54"/>
      <c r="E94" s="93">
        <f>63/302*(SUM(F92:F93))</f>
        <v>46.51288862131247</v>
      </c>
      <c r="F94" s="93">
        <f>E94</f>
        <v>46.51288862131247</v>
      </c>
      <c r="G94" s="55"/>
    </row>
    <row r="95" spans="2:7" x14ac:dyDescent="0.2">
      <c r="B95" s="90" t="s">
        <v>197</v>
      </c>
      <c r="C95" s="91"/>
      <c r="D95" s="105">
        <v>2</v>
      </c>
      <c r="E95" s="93"/>
      <c r="F95" s="93"/>
      <c r="G95" s="55"/>
    </row>
    <row r="96" spans="2:7" x14ac:dyDescent="0.2">
      <c r="B96" s="90" t="s">
        <v>1</v>
      </c>
      <c r="C96" s="91" t="s">
        <v>2</v>
      </c>
      <c r="D96" s="100">
        <v>2</v>
      </c>
      <c r="E96" s="94">
        <f>IF(D95=2,SUM(F90:F94),IF(D95=1,(SUM(F90:F94))*E91/E90,0))</f>
        <v>2453.4794340758581</v>
      </c>
      <c r="F96" s="93">
        <f>D96*E96/100</f>
        <v>49.06958868151716</v>
      </c>
      <c r="G96" s="55"/>
    </row>
    <row r="97" spans="2:8" ht="11.25" customHeight="1" x14ac:dyDescent="0.2">
      <c r="B97" s="106" t="s">
        <v>3</v>
      </c>
      <c r="C97" s="96"/>
      <c r="D97" s="96"/>
      <c r="E97" s="97"/>
      <c r="F97" s="107">
        <f>SUM(F90:F96)</f>
        <v>2502.549022757375</v>
      </c>
      <c r="G97" s="108"/>
    </row>
    <row r="98" spans="2:8" x14ac:dyDescent="0.2">
      <c r="B98" s="90" t="s">
        <v>4</v>
      </c>
      <c r="C98" s="91" t="s">
        <v>2</v>
      </c>
      <c r="D98" s="99">
        <v>115.47</v>
      </c>
      <c r="E98" s="93">
        <f>F97</f>
        <v>2502.549022757375</v>
      </c>
      <c r="F98" s="93">
        <f>E98*D98/100</f>
        <v>2889.6933565779409</v>
      </c>
      <c r="G98" s="55"/>
    </row>
    <row r="99" spans="2:8" s="8" customFormat="1" ht="13.15" customHeight="1" x14ac:dyDescent="0.2">
      <c r="B99" s="106" t="s">
        <v>227</v>
      </c>
      <c r="C99" s="109"/>
      <c r="D99" s="109"/>
      <c r="E99" s="110"/>
      <c r="F99" s="107">
        <f>F97+F98</f>
        <v>5392.2423793353155</v>
      </c>
      <c r="G99" s="108"/>
      <c r="H99" s="6"/>
    </row>
    <row r="100" spans="2:8" ht="13.5" thickBot="1" x14ac:dyDescent="0.25">
      <c r="B100" s="90" t="s">
        <v>5</v>
      </c>
      <c r="C100" s="91" t="s">
        <v>6</v>
      </c>
      <c r="D100" s="100">
        <v>15</v>
      </c>
      <c r="E100" s="93">
        <f>F99</f>
        <v>5392.2423793353155</v>
      </c>
      <c r="F100" s="93">
        <f>D100*E100</f>
        <v>80883.63569002974</v>
      </c>
      <c r="G100" s="55"/>
    </row>
    <row r="101" spans="2:8" ht="13.5" thickBot="1" x14ac:dyDescent="0.25">
      <c r="B101" s="54"/>
      <c r="C101" s="54"/>
      <c r="D101" s="54"/>
      <c r="E101" s="101" t="s">
        <v>181</v>
      </c>
      <c r="F101" s="102">
        <f>$C$51</f>
        <v>1</v>
      </c>
      <c r="G101" s="103">
        <f>F100*F101</f>
        <v>80883.63569002974</v>
      </c>
    </row>
    <row r="102" spans="2:8" x14ac:dyDescent="0.2">
      <c r="B102" s="54"/>
      <c r="C102" s="54"/>
      <c r="D102" s="54"/>
      <c r="E102" s="55"/>
      <c r="F102" s="55"/>
      <c r="G102" s="55"/>
    </row>
    <row r="103" spans="2:8" ht="13.5" thickBot="1" x14ac:dyDescent="0.25">
      <c r="B103" s="54" t="s">
        <v>105</v>
      </c>
      <c r="C103" s="54"/>
      <c r="D103" s="54"/>
      <c r="E103" s="55"/>
      <c r="F103" s="55"/>
      <c r="G103" s="55"/>
    </row>
    <row r="104" spans="2:8" ht="13.15" customHeight="1" thickBot="1" x14ac:dyDescent="0.25">
      <c r="B104" s="82" t="s">
        <v>66</v>
      </c>
      <c r="C104" s="83" t="s">
        <v>67</v>
      </c>
      <c r="D104" s="83" t="s">
        <v>42</v>
      </c>
      <c r="E104" s="84" t="s">
        <v>215</v>
      </c>
      <c r="F104" s="84" t="s">
        <v>68</v>
      </c>
      <c r="G104" s="85" t="s">
        <v>306</v>
      </c>
    </row>
    <row r="105" spans="2:8" x14ac:dyDescent="0.2">
      <c r="B105" s="86" t="s">
        <v>257</v>
      </c>
      <c r="C105" s="87" t="s">
        <v>8</v>
      </c>
      <c r="D105" s="87">
        <v>1</v>
      </c>
      <c r="E105" s="89">
        <f>E90</f>
        <v>2184</v>
      </c>
      <c r="F105" s="89">
        <f>D105*E105</f>
        <v>2184</v>
      </c>
      <c r="G105" s="55"/>
    </row>
    <row r="106" spans="2:8" x14ac:dyDescent="0.2">
      <c r="B106" s="86" t="s">
        <v>258</v>
      </c>
      <c r="C106" s="87" t="s">
        <v>8</v>
      </c>
      <c r="D106" s="87">
        <v>1</v>
      </c>
      <c r="E106" s="93">
        <f>E91</f>
        <v>1320</v>
      </c>
      <c r="F106" s="93"/>
      <c r="G106" s="55"/>
    </row>
    <row r="107" spans="2:8" s="7" customFormat="1" x14ac:dyDescent="0.2">
      <c r="B107" s="90" t="s">
        <v>7</v>
      </c>
      <c r="C107" s="91" t="s">
        <v>101</v>
      </c>
      <c r="D107" s="92">
        <v>5.33</v>
      </c>
      <c r="E107" s="90"/>
      <c r="F107" s="90"/>
      <c r="G107" s="55"/>
      <c r="H107" s="11"/>
    </row>
    <row r="108" spans="2:8" x14ac:dyDescent="0.2">
      <c r="B108" s="90"/>
      <c r="C108" s="91" t="s">
        <v>106</v>
      </c>
      <c r="D108" s="93">
        <f>D107*8/7</f>
        <v>6.0914285714285716</v>
      </c>
      <c r="E108" s="93">
        <f>E105/220*0.2</f>
        <v>1.9854545454545456</v>
      </c>
      <c r="F108" s="93">
        <f>D108*E108</f>
        <v>12.094254545454547</v>
      </c>
      <c r="G108" s="55"/>
    </row>
    <row r="109" spans="2:8" s="7" customFormat="1" x14ac:dyDescent="0.2">
      <c r="B109" s="90" t="s">
        <v>36</v>
      </c>
      <c r="C109" s="91" t="s">
        <v>0</v>
      </c>
      <c r="D109" s="92">
        <v>0</v>
      </c>
      <c r="E109" s="93">
        <f>E105/220*2</f>
        <v>19.854545454545455</v>
      </c>
      <c r="F109" s="93">
        <f>D109*E109</f>
        <v>0</v>
      </c>
      <c r="G109" s="55"/>
      <c r="H109" s="11"/>
    </row>
    <row r="110" spans="2:8" x14ac:dyDescent="0.2">
      <c r="B110" s="90" t="s">
        <v>102</v>
      </c>
      <c r="C110" s="91" t="s">
        <v>101</v>
      </c>
      <c r="D110" s="92">
        <v>7.33</v>
      </c>
      <c r="E110" s="93"/>
      <c r="F110" s="93"/>
      <c r="G110" s="55"/>
    </row>
    <row r="111" spans="2:8" x14ac:dyDescent="0.2">
      <c r="B111" s="90"/>
      <c r="C111" s="91" t="s">
        <v>106</v>
      </c>
      <c r="D111" s="93">
        <f>D110*8/7</f>
        <v>8.3771428571428572</v>
      </c>
      <c r="E111" s="93">
        <f>E105/220*2*1.2</f>
        <v>23.825454545454544</v>
      </c>
      <c r="F111" s="93">
        <f>D111*E111</f>
        <v>199.58923636363636</v>
      </c>
      <c r="G111" s="55"/>
    </row>
    <row r="112" spans="2:8" ht="11.25" customHeight="1" x14ac:dyDescent="0.2">
      <c r="B112" s="90" t="s">
        <v>37</v>
      </c>
      <c r="C112" s="91" t="s">
        <v>0</v>
      </c>
      <c r="D112" s="92">
        <v>0</v>
      </c>
      <c r="E112" s="93">
        <f>E105/220*1.5</f>
        <v>14.890909090909091</v>
      </c>
      <c r="F112" s="93">
        <f>D112*E112</f>
        <v>0</v>
      </c>
      <c r="G112" s="55"/>
    </row>
    <row r="113" spans="2:7" x14ac:dyDescent="0.2">
      <c r="B113" s="90" t="s">
        <v>198</v>
      </c>
      <c r="C113" s="91" t="s">
        <v>101</v>
      </c>
      <c r="D113" s="92">
        <v>6.6</v>
      </c>
      <c r="E113" s="93"/>
      <c r="F113" s="93"/>
      <c r="G113" s="55"/>
    </row>
    <row r="114" spans="2:7" x14ac:dyDescent="0.2">
      <c r="B114" s="90"/>
      <c r="C114" s="91" t="s">
        <v>106</v>
      </c>
      <c r="D114" s="93">
        <f>D113*8/7</f>
        <v>7.5428571428571427</v>
      </c>
      <c r="E114" s="93">
        <f>E105/220*1.5*1.2</f>
        <v>17.869090909090907</v>
      </c>
      <c r="F114" s="93">
        <f>D114*E114</f>
        <v>134.78399999999999</v>
      </c>
      <c r="G114" s="55"/>
    </row>
    <row r="115" spans="2:7" x14ac:dyDescent="0.2">
      <c r="B115" s="90" t="s">
        <v>199</v>
      </c>
      <c r="C115" s="91" t="s">
        <v>35</v>
      </c>
      <c r="D115" s="54"/>
      <c r="E115" s="93">
        <f>63/302*(SUM(F109:F114))</f>
        <v>69.753357254665872</v>
      </c>
      <c r="F115" s="93">
        <f>E115</f>
        <v>69.753357254665872</v>
      </c>
      <c r="G115" s="55"/>
    </row>
    <row r="116" spans="2:7" x14ac:dyDescent="0.2">
      <c r="B116" s="90" t="s">
        <v>197</v>
      </c>
      <c r="C116" s="91"/>
      <c r="D116" s="105">
        <v>2</v>
      </c>
      <c r="E116" s="93"/>
      <c r="F116" s="93"/>
      <c r="G116" s="55"/>
    </row>
    <row r="117" spans="2:7" x14ac:dyDescent="0.2">
      <c r="B117" s="90" t="s">
        <v>1</v>
      </c>
      <c r="C117" s="91" t="s">
        <v>2</v>
      </c>
      <c r="D117" s="94">
        <f>+D96</f>
        <v>2</v>
      </c>
      <c r="E117" s="94">
        <f>IF(D116=2,SUM(F105:F115),IF(D116=1,SUM(F105:F115)*E106/E105,0))</f>
        <v>2600.2208481637567</v>
      </c>
      <c r="F117" s="93">
        <f>D117*E117/100</f>
        <v>52.004416963275133</v>
      </c>
      <c r="G117" s="55"/>
    </row>
    <row r="118" spans="2:7" x14ac:dyDescent="0.2">
      <c r="B118" s="95" t="s">
        <v>3</v>
      </c>
      <c r="C118" s="96"/>
      <c r="D118" s="96"/>
      <c r="E118" s="97"/>
      <c r="F118" s="98">
        <f>SUM(F105:F117)</f>
        <v>2652.2252651270319</v>
      </c>
      <c r="G118" s="108"/>
    </row>
    <row r="119" spans="2:7" x14ac:dyDescent="0.2">
      <c r="B119" s="90" t="s">
        <v>4</v>
      </c>
      <c r="C119" s="91" t="s">
        <v>2</v>
      </c>
      <c r="D119" s="99">
        <v>115.47</v>
      </c>
      <c r="E119" s="93">
        <f>F118</f>
        <v>2652.2252651270319</v>
      </c>
      <c r="F119" s="93">
        <f>E119*D119/100</f>
        <v>3062.5245136421836</v>
      </c>
      <c r="G119" s="55"/>
    </row>
    <row r="120" spans="2:7" x14ac:dyDescent="0.2">
      <c r="B120" s="95" t="s">
        <v>227</v>
      </c>
      <c r="C120" s="96"/>
      <c r="D120" s="96"/>
      <c r="E120" s="97"/>
      <c r="F120" s="98">
        <f>F118+F119</f>
        <v>5714.7497787692155</v>
      </c>
      <c r="G120" s="108"/>
    </row>
    <row r="121" spans="2:7" ht="13.5" thickBot="1" x14ac:dyDescent="0.25">
      <c r="B121" s="90" t="s">
        <v>5</v>
      </c>
      <c r="C121" s="91" t="s">
        <v>6</v>
      </c>
      <c r="D121" s="100">
        <v>2</v>
      </c>
      <c r="E121" s="93">
        <f>F120</f>
        <v>5714.7497787692155</v>
      </c>
      <c r="F121" s="93">
        <f>D121*E121</f>
        <v>11429.499557538431</v>
      </c>
      <c r="G121" s="55"/>
    </row>
    <row r="122" spans="2:7" ht="13.5" thickBot="1" x14ac:dyDescent="0.25">
      <c r="B122" s="54"/>
      <c r="C122" s="54"/>
      <c r="D122" s="54"/>
      <c r="E122" s="101" t="s">
        <v>181</v>
      </c>
      <c r="F122" s="102">
        <f>$C$51</f>
        <v>1</v>
      </c>
      <c r="G122" s="103">
        <f>F121*F122</f>
        <v>11429.499557538431</v>
      </c>
    </row>
    <row r="123" spans="2:7" ht="13.5" thickBot="1" x14ac:dyDescent="0.25">
      <c r="B123" s="54" t="s">
        <v>311</v>
      </c>
      <c r="C123" s="54"/>
      <c r="D123" s="54"/>
      <c r="E123" s="55"/>
      <c r="F123" s="55"/>
      <c r="G123" s="55"/>
    </row>
    <row r="124" spans="2:7" ht="13.5" thickBot="1" x14ac:dyDescent="0.25">
      <c r="B124" s="82" t="s">
        <v>66</v>
      </c>
      <c r="C124" s="83" t="s">
        <v>67</v>
      </c>
      <c r="D124" s="83" t="s">
        <v>42</v>
      </c>
      <c r="E124" s="84" t="s">
        <v>215</v>
      </c>
      <c r="F124" s="84" t="s">
        <v>68</v>
      </c>
      <c r="G124" s="85" t="s">
        <v>306</v>
      </c>
    </row>
    <row r="125" spans="2:7" x14ac:dyDescent="0.2">
      <c r="B125" s="86" t="s">
        <v>257</v>
      </c>
      <c r="C125" s="87" t="s">
        <v>8</v>
      </c>
      <c r="D125" s="87">
        <v>1</v>
      </c>
      <c r="E125" s="88">
        <v>2388.9</v>
      </c>
      <c r="F125" s="89">
        <f>D125*E125</f>
        <v>2388.9</v>
      </c>
      <c r="G125" s="55"/>
    </row>
    <row r="126" spans="2:7" x14ac:dyDescent="0.2">
      <c r="B126" s="86" t="s">
        <v>258</v>
      </c>
      <c r="C126" s="87" t="s">
        <v>8</v>
      </c>
      <c r="D126" s="87">
        <v>1</v>
      </c>
      <c r="E126" s="88">
        <v>1320</v>
      </c>
      <c r="F126" s="89"/>
      <c r="G126" s="55"/>
    </row>
    <row r="127" spans="2:7" x14ac:dyDescent="0.2">
      <c r="B127" s="90" t="s">
        <v>36</v>
      </c>
      <c r="C127" s="91" t="s">
        <v>0</v>
      </c>
      <c r="D127" s="92">
        <v>6</v>
      </c>
      <c r="E127" s="93">
        <f>E125/220*2</f>
        <v>21.717272727272729</v>
      </c>
      <c r="F127" s="93">
        <f>D127*E127</f>
        <v>130.30363636363637</v>
      </c>
      <c r="G127" s="55"/>
    </row>
    <row r="128" spans="2:7" x14ac:dyDescent="0.2">
      <c r="B128" s="90" t="s">
        <v>37</v>
      </c>
      <c r="C128" s="91" t="s">
        <v>0</v>
      </c>
      <c r="D128" s="92">
        <v>10</v>
      </c>
      <c r="E128" s="93">
        <f>E125/220*1.5</f>
        <v>16.287954545454546</v>
      </c>
      <c r="F128" s="93">
        <f>D128*E128</f>
        <v>162.87954545454545</v>
      </c>
      <c r="G128" s="55"/>
    </row>
    <row r="129" spans="2:7" x14ac:dyDescent="0.2">
      <c r="B129" s="90" t="s">
        <v>199</v>
      </c>
      <c r="C129" s="91" t="s">
        <v>35</v>
      </c>
      <c r="D129" s="54"/>
      <c r="E129" s="93">
        <f>63/302*(SUM(F127:F128))</f>
        <v>61.160729981938594</v>
      </c>
      <c r="F129" s="93">
        <f>E129</f>
        <v>61.160729981938594</v>
      </c>
      <c r="G129" s="55"/>
    </row>
    <row r="130" spans="2:7" x14ac:dyDescent="0.2">
      <c r="B130" s="90" t="s">
        <v>197</v>
      </c>
      <c r="C130" s="91"/>
      <c r="D130" s="105">
        <v>1</v>
      </c>
      <c r="E130" s="93"/>
      <c r="F130" s="93"/>
      <c r="G130" s="55"/>
    </row>
    <row r="131" spans="2:7" x14ac:dyDescent="0.2">
      <c r="B131" s="90" t="s">
        <v>1</v>
      </c>
      <c r="C131" s="91" t="s">
        <v>2</v>
      </c>
      <c r="D131" s="100">
        <v>20</v>
      </c>
      <c r="E131" s="94">
        <f>IF(D130=2,SUM(F125:F129),IF(D130=1,(SUM(F125:F129))*E126/E125,0))</f>
        <v>1515.7947019867552</v>
      </c>
      <c r="F131" s="93">
        <f>D131*E131/100</f>
        <v>303.15894039735105</v>
      </c>
      <c r="G131" s="55"/>
    </row>
    <row r="132" spans="2:7" x14ac:dyDescent="0.2">
      <c r="B132" s="106" t="s">
        <v>3</v>
      </c>
      <c r="C132" s="96"/>
      <c r="D132" s="96"/>
      <c r="E132" s="97"/>
      <c r="F132" s="107">
        <f>SUM(F125:F131)</f>
        <v>3046.4028521974719</v>
      </c>
      <c r="G132" s="108"/>
    </row>
    <row r="133" spans="2:7" x14ac:dyDescent="0.2">
      <c r="B133" s="90" t="s">
        <v>4</v>
      </c>
      <c r="C133" s="91" t="s">
        <v>2</v>
      </c>
      <c r="D133" s="99">
        <v>115.47</v>
      </c>
      <c r="E133" s="93">
        <f>F132</f>
        <v>3046.4028521974719</v>
      </c>
      <c r="F133" s="93">
        <f>E133*D133/100</f>
        <v>3517.6813734324205</v>
      </c>
      <c r="G133" s="55"/>
    </row>
    <row r="134" spans="2:7" x14ac:dyDescent="0.2">
      <c r="B134" s="106" t="s">
        <v>227</v>
      </c>
      <c r="C134" s="109"/>
      <c r="D134" s="109"/>
      <c r="E134" s="110"/>
      <c r="F134" s="107">
        <f>F132+F133</f>
        <v>6564.0842256298929</v>
      </c>
      <c r="G134" s="108"/>
    </row>
    <row r="135" spans="2:7" ht="13.5" thickBot="1" x14ac:dyDescent="0.25">
      <c r="B135" s="90" t="s">
        <v>5</v>
      </c>
      <c r="C135" s="91" t="s">
        <v>6</v>
      </c>
      <c r="D135" s="100">
        <v>3</v>
      </c>
      <c r="E135" s="93">
        <f>F134</f>
        <v>6564.0842256298929</v>
      </c>
      <c r="F135" s="93">
        <f>D135*E135</f>
        <v>19692.252676889679</v>
      </c>
      <c r="G135" s="55"/>
    </row>
    <row r="136" spans="2:7" ht="13.5" thickBot="1" x14ac:dyDescent="0.25">
      <c r="B136" s="54"/>
      <c r="C136" s="54"/>
      <c r="D136" s="54"/>
      <c r="E136" s="101" t="s">
        <v>181</v>
      </c>
      <c r="F136" s="275">
        <f>C51</f>
        <v>1</v>
      </c>
      <c r="G136" s="133">
        <f>F135*F136</f>
        <v>19692.252676889679</v>
      </c>
    </row>
    <row r="137" spans="2:7" x14ac:dyDescent="0.2">
      <c r="B137" s="54"/>
      <c r="C137" s="54"/>
      <c r="D137" s="54"/>
      <c r="E137" s="101"/>
      <c r="F137" s="68"/>
      <c r="G137" s="165"/>
    </row>
    <row r="138" spans="2:7" ht="13.5" thickBot="1" x14ac:dyDescent="0.25">
      <c r="B138" s="54" t="s">
        <v>312</v>
      </c>
      <c r="C138" s="54"/>
      <c r="D138" s="54"/>
      <c r="E138" s="55"/>
      <c r="F138" s="55"/>
      <c r="G138" s="55"/>
    </row>
    <row r="139" spans="2:7" ht="13.5" thickBot="1" x14ac:dyDescent="0.25">
      <c r="B139" s="82" t="s">
        <v>66</v>
      </c>
      <c r="C139" s="83" t="s">
        <v>67</v>
      </c>
      <c r="D139" s="83" t="s">
        <v>42</v>
      </c>
      <c r="E139" s="84" t="s">
        <v>215</v>
      </c>
      <c r="F139" s="84" t="s">
        <v>68</v>
      </c>
      <c r="G139" s="85" t="s">
        <v>306</v>
      </c>
    </row>
    <row r="140" spans="2:7" x14ac:dyDescent="0.2">
      <c r="B140" s="86" t="s">
        <v>257</v>
      </c>
      <c r="C140" s="87" t="s">
        <v>8</v>
      </c>
      <c r="D140" s="87">
        <v>1</v>
      </c>
      <c r="E140" s="88">
        <f>5072.41+2028.96</f>
        <v>7101.37</v>
      </c>
      <c r="F140" s="89">
        <f>D140*E140</f>
        <v>7101.37</v>
      </c>
      <c r="G140" s="55"/>
    </row>
    <row r="141" spans="2:7" x14ac:dyDescent="0.2">
      <c r="B141" s="86" t="s">
        <v>258</v>
      </c>
      <c r="C141" s="87" t="s">
        <v>8</v>
      </c>
      <c r="D141" s="87">
        <v>1</v>
      </c>
      <c r="E141" s="88">
        <v>1320</v>
      </c>
      <c r="F141" s="89"/>
      <c r="G141" s="55"/>
    </row>
    <row r="142" spans="2:7" x14ac:dyDescent="0.2">
      <c r="B142" s="90" t="s">
        <v>36</v>
      </c>
      <c r="C142" s="91" t="s">
        <v>0</v>
      </c>
      <c r="D142" s="92"/>
      <c r="E142" s="93">
        <f>E140/220*2</f>
        <v>64.557909090909092</v>
      </c>
      <c r="F142" s="93">
        <f>D142*E142</f>
        <v>0</v>
      </c>
      <c r="G142" s="55"/>
    </row>
    <row r="143" spans="2:7" x14ac:dyDescent="0.2">
      <c r="B143" s="90" t="s">
        <v>37</v>
      </c>
      <c r="C143" s="91" t="s">
        <v>0</v>
      </c>
      <c r="D143" s="92"/>
      <c r="E143" s="93">
        <f>E140/220*1.5</f>
        <v>48.418431818181816</v>
      </c>
      <c r="F143" s="93">
        <f>D143*E143</f>
        <v>0</v>
      </c>
      <c r="G143" s="55"/>
    </row>
    <row r="144" spans="2:7" x14ac:dyDescent="0.2">
      <c r="B144" s="90" t="s">
        <v>199</v>
      </c>
      <c r="C144" s="91" t="s">
        <v>35</v>
      </c>
      <c r="D144" s="54"/>
      <c r="E144" s="93">
        <f>63/302*(SUM(F142:F143))</f>
        <v>0</v>
      </c>
      <c r="F144" s="93">
        <f>E144</f>
        <v>0</v>
      </c>
      <c r="G144" s="55"/>
    </row>
    <row r="145" spans="2:7" x14ac:dyDescent="0.2">
      <c r="B145" s="90" t="s">
        <v>197</v>
      </c>
      <c r="C145" s="91"/>
      <c r="D145" s="105">
        <v>1</v>
      </c>
      <c r="E145" s="93"/>
      <c r="F145" s="93"/>
      <c r="G145" s="55"/>
    </row>
    <row r="146" spans="2:7" x14ac:dyDescent="0.2">
      <c r="B146" s="90" t="s">
        <v>1</v>
      </c>
      <c r="C146" s="91" t="s">
        <v>2</v>
      </c>
      <c r="D146" s="100"/>
      <c r="E146" s="94">
        <f>IF(D145=2,SUM(F140:F144),IF(D145=1,(SUM(F140:F144))*E141/E140,0))</f>
        <v>1320</v>
      </c>
      <c r="F146" s="93">
        <f>D146*E146/100</f>
        <v>0</v>
      </c>
      <c r="G146" s="55"/>
    </row>
    <row r="147" spans="2:7" x14ac:dyDescent="0.2">
      <c r="B147" s="106" t="s">
        <v>3</v>
      </c>
      <c r="C147" s="96"/>
      <c r="D147" s="96"/>
      <c r="E147" s="97"/>
      <c r="F147" s="107">
        <f>SUM(F140:F146)</f>
        <v>7101.37</v>
      </c>
      <c r="G147" s="108"/>
    </row>
    <row r="148" spans="2:7" x14ac:dyDescent="0.2">
      <c r="B148" s="90" t="s">
        <v>4</v>
      </c>
      <c r="C148" s="91" t="s">
        <v>2</v>
      </c>
      <c r="D148" s="99">
        <v>115.47</v>
      </c>
      <c r="E148" s="93">
        <f>F147</f>
        <v>7101.37</v>
      </c>
      <c r="F148" s="93">
        <f>E148*D148/100</f>
        <v>8199.9519389999987</v>
      </c>
      <c r="G148" s="55"/>
    </row>
    <row r="149" spans="2:7" x14ac:dyDescent="0.2">
      <c r="B149" s="106" t="s">
        <v>227</v>
      </c>
      <c r="C149" s="109"/>
      <c r="D149" s="109"/>
      <c r="E149" s="110"/>
      <c r="F149" s="107">
        <f>F147+F148</f>
        <v>15301.321938999998</v>
      </c>
      <c r="G149" s="108"/>
    </row>
    <row r="150" spans="2:7" ht="13.5" thickBot="1" x14ac:dyDescent="0.25">
      <c r="B150" s="90" t="s">
        <v>5</v>
      </c>
      <c r="C150" s="91" t="s">
        <v>6</v>
      </c>
      <c r="D150" s="100">
        <v>1</v>
      </c>
      <c r="E150" s="93">
        <f>F149</f>
        <v>15301.321938999998</v>
      </c>
      <c r="F150" s="93">
        <f>D150*E150</f>
        <v>15301.321938999998</v>
      </c>
      <c r="G150" s="55"/>
    </row>
    <row r="151" spans="2:7" ht="13.5" thickBot="1" x14ac:dyDescent="0.25">
      <c r="B151" s="54"/>
      <c r="C151" s="54"/>
      <c r="D151" s="54"/>
      <c r="E151" s="101" t="s">
        <v>181</v>
      </c>
      <c r="F151" s="275">
        <f>C51</f>
        <v>1</v>
      </c>
      <c r="G151" s="133">
        <f>F150*F151</f>
        <v>15301.321938999998</v>
      </c>
    </row>
    <row r="152" spans="2:7" ht="13.5" thickBot="1" x14ac:dyDescent="0.25">
      <c r="B152" s="54" t="s">
        <v>313</v>
      </c>
      <c r="C152" s="54"/>
      <c r="D152" s="54"/>
      <c r="E152" s="55"/>
      <c r="F152" s="55"/>
      <c r="G152" s="55"/>
    </row>
    <row r="153" spans="2:7" ht="13.5" thickBot="1" x14ac:dyDescent="0.25">
      <c r="B153" s="82" t="s">
        <v>66</v>
      </c>
      <c r="C153" s="83" t="s">
        <v>67</v>
      </c>
      <c r="D153" s="83" t="s">
        <v>42</v>
      </c>
      <c r="E153" s="84" t="s">
        <v>215</v>
      </c>
      <c r="F153" s="84" t="s">
        <v>68</v>
      </c>
      <c r="G153" s="85" t="s">
        <v>306</v>
      </c>
    </row>
    <row r="154" spans="2:7" x14ac:dyDescent="0.2">
      <c r="B154" s="86" t="s">
        <v>257</v>
      </c>
      <c r="C154" s="87" t="s">
        <v>8</v>
      </c>
      <c r="D154" s="87">
        <v>1</v>
      </c>
      <c r="E154" s="88">
        <v>1717.39</v>
      </c>
      <c r="F154" s="89">
        <f>D154*E154</f>
        <v>1717.39</v>
      </c>
      <c r="G154" s="55"/>
    </row>
    <row r="155" spans="2:7" x14ac:dyDescent="0.2">
      <c r="B155" s="86" t="s">
        <v>258</v>
      </c>
      <c r="C155" s="87" t="s">
        <v>8</v>
      </c>
      <c r="D155" s="87">
        <v>1</v>
      </c>
      <c r="E155" s="88">
        <v>1320</v>
      </c>
      <c r="F155" s="89"/>
      <c r="G155" s="55"/>
    </row>
    <row r="156" spans="2:7" x14ac:dyDescent="0.2">
      <c r="B156" s="90" t="s">
        <v>36</v>
      </c>
      <c r="C156" s="91" t="s">
        <v>0</v>
      </c>
      <c r="D156" s="92">
        <v>0</v>
      </c>
      <c r="E156" s="93">
        <f>E154/220*2</f>
        <v>15.612636363636364</v>
      </c>
      <c r="F156" s="93">
        <f>D156*E156</f>
        <v>0</v>
      </c>
      <c r="G156" s="55"/>
    </row>
    <row r="157" spans="2:7" x14ac:dyDescent="0.2">
      <c r="B157" s="90" t="s">
        <v>37</v>
      </c>
      <c r="C157" s="91" t="s">
        <v>0</v>
      </c>
      <c r="D157" s="92">
        <v>0</v>
      </c>
      <c r="E157" s="93">
        <f>E154/220*1.5</f>
        <v>11.709477272727273</v>
      </c>
      <c r="F157" s="93">
        <f>D157*E157</f>
        <v>0</v>
      </c>
      <c r="G157" s="55"/>
    </row>
    <row r="158" spans="2:7" x14ac:dyDescent="0.2">
      <c r="B158" s="90" t="s">
        <v>199</v>
      </c>
      <c r="C158" s="91" t="s">
        <v>35</v>
      </c>
      <c r="D158" s="54"/>
      <c r="E158" s="93">
        <f>63/302*(SUM(F156:F157))</f>
        <v>0</v>
      </c>
      <c r="F158" s="93">
        <f>E158</f>
        <v>0</v>
      </c>
      <c r="G158" s="55"/>
    </row>
    <row r="159" spans="2:7" x14ac:dyDescent="0.2">
      <c r="B159" s="90" t="s">
        <v>197</v>
      </c>
      <c r="C159" s="91"/>
      <c r="D159" s="105">
        <v>1</v>
      </c>
      <c r="E159" s="93"/>
      <c r="F159" s="93"/>
      <c r="G159" s="55"/>
    </row>
    <row r="160" spans="2:7" x14ac:dyDescent="0.2">
      <c r="B160" s="90" t="s">
        <v>1</v>
      </c>
      <c r="C160" s="91" t="s">
        <v>2</v>
      </c>
      <c r="D160" s="100">
        <v>0</v>
      </c>
      <c r="E160" s="94">
        <f>IF(D159=2,SUM(F154:F158),IF(D159=1,(SUM(F154:F158))*E155/E154,0))</f>
        <v>1320</v>
      </c>
      <c r="F160" s="93">
        <f>D160*E160/100</f>
        <v>0</v>
      </c>
      <c r="G160" s="55"/>
    </row>
    <row r="161" spans="2:7" x14ac:dyDescent="0.2">
      <c r="B161" s="106" t="s">
        <v>3</v>
      </c>
      <c r="C161" s="96"/>
      <c r="D161" s="96"/>
      <c r="E161" s="97"/>
      <c r="F161" s="107">
        <f>SUM(F154:F160)</f>
        <v>1717.39</v>
      </c>
      <c r="G161" s="108"/>
    </row>
    <row r="162" spans="2:7" x14ac:dyDescent="0.2">
      <c r="B162" s="90" t="s">
        <v>4</v>
      </c>
      <c r="C162" s="91" t="s">
        <v>2</v>
      </c>
      <c r="D162" s="99">
        <f>'[1]2.Encargos Sociais'!$C$42*100</f>
        <v>113.35</v>
      </c>
      <c r="E162" s="93">
        <f>F161</f>
        <v>1717.39</v>
      </c>
      <c r="F162" s="93">
        <f>E162*D162/100</f>
        <v>1946.6615650000001</v>
      </c>
      <c r="G162" s="55"/>
    </row>
    <row r="163" spans="2:7" x14ac:dyDescent="0.2">
      <c r="B163" s="106" t="s">
        <v>227</v>
      </c>
      <c r="C163" s="109"/>
      <c r="D163" s="109"/>
      <c r="E163" s="110"/>
      <c r="F163" s="107">
        <f>F161+F162</f>
        <v>3664.0515650000002</v>
      </c>
      <c r="G163" s="108"/>
    </row>
    <row r="164" spans="2:7" ht="13.5" thickBot="1" x14ac:dyDescent="0.25">
      <c r="B164" s="90" t="s">
        <v>5</v>
      </c>
      <c r="C164" s="91" t="s">
        <v>6</v>
      </c>
      <c r="D164" s="100">
        <v>1</v>
      </c>
      <c r="E164" s="93">
        <f>F163</f>
        <v>3664.0515650000002</v>
      </c>
      <c r="F164" s="93">
        <f>D164*E164</f>
        <v>3664.0515650000002</v>
      </c>
      <c r="G164" s="55"/>
    </row>
    <row r="165" spans="2:7" ht="13.5" thickBot="1" x14ac:dyDescent="0.25">
      <c r="B165" s="54"/>
      <c r="C165" s="54"/>
      <c r="D165" s="54"/>
      <c r="E165" s="101" t="s">
        <v>181</v>
      </c>
      <c r="F165" s="275">
        <f>C51</f>
        <v>1</v>
      </c>
      <c r="G165" s="133">
        <f>F164*F165</f>
        <v>3664.0515650000002</v>
      </c>
    </row>
    <row r="166" spans="2:7" ht="10.5" customHeight="1" thickBot="1" x14ac:dyDescent="0.25">
      <c r="B166" s="54" t="s">
        <v>314</v>
      </c>
      <c r="C166" s="54"/>
      <c r="D166" s="54"/>
      <c r="E166" s="55"/>
      <c r="F166" s="55"/>
      <c r="G166" s="55"/>
    </row>
    <row r="167" spans="2:7" ht="13.5" thickBot="1" x14ac:dyDescent="0.25">
      <c r="B167" s="82" t="s">
        <v>66</v>
      </c>
      <c r="C167" s="83" t="s">
        <v>67</v>
      </c>
      <c r="D167" s="83" t="s">
        <v>42</v>
      </c>
      <c r="E167" s="84" t="s">
        <v>215</v>
      </c>
      <c r="F167" s="84" t="s">
        <v>68</v>
      </c>
      <c r="G167" s="85" t="s">
        <v>306</v>
      </c>
    </row>
    <row r="168" spans="2:7" x14ac:dyDescent="0.2">
      <c r="B168" s="86" t="s">
        <v>257</v>
      </c>
      <c r="C168" s="87" t="s">
        <v>8</v>
      </c>
      <c r="D168" s="87">
        <v>1</v>
      </c>
      <c r="E168" s="88">
        <v>3458</v>
      </c>
      <c r="F168" s="89">
        <f>D168*E168</f>
        <v>3458</v>
      </c>
      <c r="G168" s="55"/>
    </row>
    <row r="169" spans="2:7" x14ac:dyDescent="0.2">
      <c r="B169" s="86" t="s">
        <v>258</v>
      </c>
      <c r="C169" s="87" t="s">
        <v>8</v>
      </c>
      <c r="D169" s="87">
        <v>1</v>
      </c>
      <c r="E169" s="88">
        <v>1320</v>
      </c>
      <c r="F169" s="89"/>
      <c r="G169" s="55"/>
    </row>
    <row r="170" spans="2:7" x14ac:dyDescent="0.2">
      <c r="B170" s="90" t="s">
        <v>36</v>
      </c>
      <c r="C170" s="91" t="s">
        <v>0</v>
      </c>
      <c r="D170" s="92">
        <v>4</v>
      </c>
      <c r="E170" s="93">
        <f>E168/220*2</f>
        <v>31.436363636363637</v>
      </c>
      <c r="F170" s="93">
        <f>D170*E170</f>
        <v>125.74545454545455</v>
      </c>
      <c r="G170" s="55"/>
    </row>
    <row r="171" spans="2:7" x14ac:dyDescent="0.2">
      <c r="B171" s="90" t="s">
        <v>37</v>
      </c>
      <c r="C171" s="91" t="s">
        <v>0</v>
      </c>
      <c r="D171" s="92">
        <v>10</v>
      </c>
      <c r="E171" s="93">
        <f>E168/220*1.5</f>
        <v>23.577272727272728</v>
      </c>
      <c r="F171" s="93">
        <f>D171*E171</f>
        <v>235.77272727272728</v>
      </c>
      <c r="G171" s="55"/>
    </row>
    <row r="172" spans="2:7" x14ac:dyDescent="0.2">
      <c r="B172" s="90" t="s">
        <v>199</v>
      </c>
      <c r="C172" s="91" t="s">
        <v>35</v>
      </c>
      <c r="D172" s="54"/>
      <c r="E172" s="93">
        <f>63/302*(SUM(F170:F171))</f>
        <v>75.416044551475011</v>
      </c>
      <c r="F172" s="93">
        <f>E172</f>
        <v>75.416044551475011</v>
      </c>
      <c r="G172" s="55"/>
    </row>
    <row r="173" spans="2:7" x14ac:dyDescent="0.2">
      <c r="B173" s="90" t="s">
        <v>197</v>
      </c>
      <c r="C173" s="91"/>
      <c r="D173" s="105">
        <v>1</v>
      </c>
      <c r="E173" s="93"/>
      <c r="F173" s="93"/>
      <c r="G173" s="55"/>
    </row>
    <row r="174" spans="2:7" x14ac:dyDescent="0.2">
      <c r="B174" s="90" t="s">
        <v>1</v>
      </c>
      <c r="C174" s="91" t="s">
        <v>2</v>
      </c>
      <c r="D174" s="100">
        <v>0</v>
      </c>
      <c r="E174" s="94">
        <f>IF(D173=2,SUM(F168:F172),IF(D173=1,(SUM(F168:F172))*E169/E168,0))</f>
        <v>1486.7880794701989</v>
      </c>
      <c r="F174" s="93">
        <f>D174*E174/100</f>
        <v>0</v>
      </c>
      <c r="G174" s="55"/>
    </row>
    <row r="175" spans="2:7" x14ac:dyDescent="0.2">
      <c r="B175" s="106" t="s">
        <v>3</v>
      </c>
      <c r="C175" s="96"/>
      <c r="D175" s="96"/>
      <c r="E175" s="97"/>
      <c r="F175" s="107">
        <f>SUM(F168:F174)</f>
        <v>3894.9342263696572</v>
      </c>
      <c r="G175" s="108"/>
    </row>
    <row r="176" spans="2:7" x14ac:dyDescent="0.2">
      <c r="B176" s="90" t="s">
        <v>4</v>
      </c>
      <c r="C176" s="91" t="s">
        <v>2</v>
      </c>
      <c r="D176" s="99">
        <f>'[1]2.Encargos Sociais'!$C$42*100</f>
        <v>113.35</v>
      </c>
      <c r="E176" s="93">
        <f>F175</f>
        <v>3894.9342263696572</v>
      </c>
      <c r="F176" s="93">
        <f>E176*D176/100</f>
        <v>4414.9079455900064</v>
      </c>
      <c r="G176" s="55"/>
    </row>
    <row r="177" spans="2:8" x14ac:dyDescent="0.2">
      <c r="B177" s="106" t="s">
        <v>227</v>
      </c>
      <c r="C177" s="109"/>
      <c r="D177" s="109"/>
      <c r="E177" s="110"/>
      <c r="F177" s="107">
        <f>F175+F176</f>
        <v>8309.8421719596627</v>
      </c>
      <c r="G177" s="108"/>
    </row>
    <row r="178" spans="2:8" ht="13.5" thickBot="1" x14ac:dyDescent="0.25">
      <c r="B178" s="90" t="s">
        <v>5</v>
      </c>
      <c r="C178" s="91" t="s">
        <v>6</v>
      </c>
      <c r="D178" s="100">
        <v>1</v>
      </c>
      <c r="E178" s="93">
        <f>F177</f>
        <v>8309.8421719596627</v>
      </c>
      <c r="F178" s="93">
        <f>D178*E178</f>
        <v>8309.8421719596627</v>
      </c>
      <c r="G178" s="55"/>
    </row>
    <row r="179" spans="2:8" ht="13.5" thickBot="1" x14ac:dyDescent="0.25">
      <c r="B179" s="54"/>
      <c r="C179" s="54"/>
      <c r="D179" s="54"/>
      <c r="E179" s="101" t="s">
        <v>181</v>
      </c>
      <c r="F179" s="275">
        <f>$C$51</f>
        <v>1</v>
      </c>
      <c r="G179" s="133">
        <f>F178*F179</f>
        <v>8309.8421719596627</v>
      </c>
    </row>
    <row r="180" spans="2:8" x14ac:dyDescent="0.2">
      <c r="B180" s="54"/>
      <c r="C180" s="54"/>
      <c r="D180" s="54"/>
      <c r="E180" s="101"/>
      <c r="F180" s="68"/>
      <c r="G180" s="165"/>
    </row>
    <row r="181" spans="2:8" x14ac:dyDescent="0.2">
      <c r="B181" s="54"/>
      <c r="C181" s="54"/>
      <c r="D181" s="54"/>
      <c r="E181" s="55"/>
      <c r="F181" s="55"/>
      <c r="G181" s="55"/>
    </row>
    <row r="182" spans="2:8" ht="13.5" thickBot="1" x14ac:dyDescent="0.25">
      <c r="B182" s="54" t="s">
        <v>315</v>
      </c>
      <c r="C182" s="111"/>
      <c r="D182" s="54"/>
      <c r="E182" s="54"/>
      <c r="F182" s="54"/>
      <c r="G182" s="55"/>
    </row>
    <row r="183" spans="2:8" ht="13.15" customHeight="1" thickBot="1" x14ac:dyDescent="0.25">
      <c r="B183" s="82" t="s">
        <v>66</v>
      </c>
      <c r="C183" s="83" t="s">
        <v>67</v>
      </c>
      <c r="D183" s="83" t="s">
        <v>42</v>
      </c>
      <c r="E183" s="84" t="s">
        <v>215</v>
      </c>
      <c r="F183" s="84" t="s">
        <v>68</v>
      </c>
      <c r="G183" s="85" t="s">
        <v>306</v>
      </c>
    </row>
    <row r="184" spans="2:8" x14ac:dyDescent="0.2">
      <c r="B184" s="90" t="s">
        <v>95</v>
      </c>
      <c r="C184" s="91" t="s">
        <v>35</v>
      </c>
      <c r="D184" s="112">
        <v>1</v>
      </c>
      <c r="E184" s="113">
        <v>4.5</v>
      </c>
      <c r="F184" s="93"/>
      <c r="G184" s="55"/>
    </row>
    <row r="185" spans="2:8" x14ac:dyDescent="0.2">
      <c r="B185" s="90" t="s">
        <v>96</v>
      </c>
      <c r="C185" s="91" t="s">
        <v>97</v>
      </c>
      <c r="D185" s="114">
        <v>26</v>
      </c>
      <c r="E185" s="93"/>
      <c r="F185" s="93"/>
      <c r="G185" s="55"/>
    </row>
    <row r="186" spans="2:8" s="7" customFormat="1" x14ac:dyDescent="0.2">
      <c r="B186" s="90" t="s">
        <v>76</v>
      </c>
      <c r="C186" s="91" t="s">
        <v>9</v>
      </c>
      <c r="D186" s="115">
        <f>$D$185*2*(D66+D85)</f>
        <v>2392</v>
      </c>
      <c r="E186" s="89">
        <f>IFERROR((($D$185*2*$E$184)-(F58*0.06*D185/26))/($D$185*2),"-")</f>
        <v>2.7450000000000001</v>
      </c>
      <c r="F186" s="93">
        <f>IFERROR(D186*E186,"-")</f>
        <v>6566.04</v>
      </c>
      <c r="G186" s="55"/>
      <c r="H186" s="11"/>
    </row>
    <row r="187" spans="2:8" x14ac:dyDescent="0.2">
      <c r="B187" s="86" t="s">
        <v>46</v>
      </c>
      <c r="C187" s="87" t="s">
        <v>9</v>
      </c>
      <c r="D187" s="115">
        <f>$D$185*2*(D100+D121)</f>
        <v>884</v>
      </c>
      <c r="E187" s="89">
        <f>IFERROR((($D$185*2*$E$184)-(F90*0.06*D185/26))/($D$185*2),"-")</f>
        <v>1.9800000000000002</v>
      </c>
      <c r="F187" s="89">
        <f>IFERROR(D187*E187,"-")</f>
        <v>1750.3200000000002</v>
      </c>
      <c r="G187" s="55"/>
    </row>
    <row r="188" spans="2:8" x14ac:dyDescent="0.2">
      <c r="B188" s="86" t="s">
        <v>322</v>
      </c>
      <c r="C188" s="87" t="s">
        <v>9</v>
      </c>
      <c r="D188" s="115">
        <f>$D$185*2*(F40+F41+F42+F43)</f>
        <v>312</v>
      </c>
      <c r="E188" s="89">
        <f>IFERROR((($D$185*2*$E$184)-(F91*0.06*D186/26))/($D$185*2),"-")</f>
        <v>4.5</v>
      </c>
      <c r="F188" s="89">
        <f>IFERROR(D188*E188,"-")</f>
        <v>1404</v>
      </c>
      <c r="G188" s="55"/>
    </row>
    <row r="189" spans="2:8" ht="13.5" thickBot="1" x14ac:dyDescent="0.25">
      <c r="B189" s="73"/>
      <c r="C189" s="272"/>
      <c r="D189" s="273"/>
      <c r="E189" s="274"/>
      <c r="F189" s="274"/>
      <c r="G189" s="55"/>
    </row>
    <row r="190" spans="2:8" s="7" customFormat="1" ht="13.5" thickBot="1" x14ac:dyDescent="0.25">
      <c r="B190" s="54"/>
      <c r="C190" s="54"/>
      <c r="D190" s="54"/>
      <c r="E190" s="55"/>
      <c r="F190" s="55"/>
      <c r="G190" s="116">
        <f>SUM(F186:F188)</f>
        <v>9720.36</v>
      </c>
      <c r="H190" s="11"/>
    </row>
    <row r="191" spans="2:8" ht="13.5" thickBot="1" x14ac:dyDescent="0.25">
      <c r="B191" s="54" t="s">
        <v>316</v>
      </c>
      <c r="C191" s="54"/>
      <c r="D191" s="54"/>
      <c r="E191" s="55"/>
      <c r="F191" s="55"/>
      <c r="G191" s="117"/>
    </row>
    <row r="192" spans="2:8" ht="11.25" customHeight="1" thickBot="1" x14ac:dyDescent="0.25">
      <c r="B192" s="82" t="s">
        <v>66</v>
      </c>
      <c r="C192" s="83" t="s">
        <v>67</v>
      </c>
      <c r="D192" s="83" t="s">
        <v>42</v>
      </c>
      <c r="E192" s="84" t="s">
        <v>215</v>
      </c>
      <c r="F192" s="84" t="s">
        <v>68</v>
      </c>
      <c r="G192" s="85" t="s">
        <v>306</v>
      </c>
      <c r="H192" s="5"/>
    </row>
    <row r="193" spans="2:8" x14ac:dyDescent="0.2">
      <c r="B193" s="90" t="str">
        <f>+B186</f>
        <v>Coletor</v>
      </c>
      <c r="C193" s="91" t="s">
        <v>10</v>
      </c>
      <c r="D193" s="118">
        <f>D185*(F36+F37)</f>
        <v>1196</v>
      </c>
      <c r="E193" s="119">
        <v>17.82</v>
      </c>
      <c r="F193" s="102">
        <f>D193*E193</f>
        <v>21312.720000000001</v>
      </c>
      <c r="G193" s="117"/>
      <c r="H193" s="5"/>
    </row>
    <row r="194" spans="2:8" x14ac:dyDescent="0.2">
      <c r="B194" s="90" t="str">
        <f>+B187</f>
        <v>Motorista</v>
      </c>
      <c r="C194" s="91" t="s">
        <v>10</v>
      </c>
      <c r="D194" s="118">
        <f>D185*(F38+F39)</f>
        <v>442</v>
      </c>
      <c r="E194" s="119">
        <v>11.78</v>
      </c>
      <c r="F194" s="102">
        <f>D194*E194</f>
        <v>5206.7599999999993</v>
      </c>
      <c r="G194" s="117"/>
      <c r="H194" s="5"/>
    </row>
    <row r="195" spans="2:8" ht="13.5" thickBot="1" x14ac:dyDescent="0.25">
      <c r="B195" s="90" t="s">
        <v>322</v>
      </c>
      <c r="C195" s="91" t="s">
        <v>10</v>
      </c>
      <c r="D195" s="118">
        <f>D185*(F41+F42+F43)</f>
        <v>78</v>
      </c>
      <c r="E195" s="119">
        <v>11.78</v>
      </c>
      <c r="F195" s="102">
        <f>D195*E195</f>
        <v>918.83999999999992</v>
      </c>
      <c r="G195" s="117"/>
      <c r="H195" s="5"/>
    </row>
    <row r="196" spans="2:8" ht="13.5" thickBot="1" x14ac:dyDescent="0.25">
      <c r="B196" s="54"/>
      <c r="C196" s="54"/>
      <c r="D196" s="54"/>
      <c r="E196" s="55"/>
      <c r="F196" s="55"/>
      <c r="G196" s="116">
        <f>SUM(F193:F195)</f>
        <v>27438.32</v>
      </c>
      <c r="H196" s="5"/>
    </row>
    <row r="197" spans="2:8" x14ac:dyDescent="0.2">
      <c r="B197" s="54"/>
      <c r="C197" s="54"/>
      <c r="D197" s="54"/>
      <c r="E197" s="55"/>
      <c r="F197" s="55"/>
      <c r="G197" s="55"/>
      <c r="H197" s="5"/>
    </row>
    <row r="198" spans="2:8" ht="13.5" thickBot="1" x14ac:dyDescent="0.25">
      <c r="B198" s="54" t="s">
        <v>317</v>
      </c>
      <c r="C198" s="54"/>
      <c r="D198" s="54"/>
      <c r="E198" s="55"/>
      <c r="F198" s="55"/>
      <c r="G198" s="117"/>
      <c r="H198" s="5"/>
    </row>
    <row r="199" spans="2:8" ht="13.5" thickBot="1" x14ac:dyDescent="0.25">
      <c r="B199" s="82" t="s">
        <v>66</v>
      </c>
      <c r="C199" s="83" t="s">
        <v>67</v>
      </c>
      <c r="D199" s="83" t="s">
        <v>42</v>
      </c>
      <c r="E199" s="84" t="s">
        <v>215</v>
      </c>
      <c r="F199" s="84" t="s">
        <v>68</v>
      </c>
      <c r="G199" s="85" t="s">
        <v>306</v>
      </c>
      <c r="H199" s="5"/>
    </row>
    <row r="200" spans="2:8" x14ac:dyDescent="0.2">
      <c r="B200" s="90" t="str">
        <f>+B193</f>
        <v>Coletor</v>
      </c>
      <c r="C200" s="91" t="s">
        <v>10</v>
      </c>
      <c r="D200" s="118">
        <f>F36+F37</f>
        <v>46</v>
      </c>
      <c r="E200" s="119"/>
      <c r="F200" s="102">
        <f>D200*E200</f>
        <v>0</v>
      </c>
      <c r="G200" s="117"/>
      <c r="H200" s="5"/>
    </row>
    <row r="201" spans="2:8" ht="11.25" customHeight="1" x14ac:dyDescent="0.2">
      <c r="B201" s="90" t="str">
        <f>+B194</f>
        <v>Motorista</v>
      </c>
      <c r="C201" s="91" t="s">
        <v>10</v>
      </c>
      <c r="D201" s="118">
        <f>F38+F39</f>
        <v>17</v>
      </c>
      <c r="E201" s="119">
        <v>89.46</v>
      </c>
      <c r="F201" s="102">
        <f>D201*E201</f>
        <v>1520.82</v>
      </c>
      <c r="G201" s="117"/>
      <c r="H201" s="5"/>
    </row>
    <row r="202" spans="2:8" ht="11.25" customHeight="1" thickBot="1" x14ac:dyDescent="0.25">
      <c r="B202" s="90" t="s">
        <v>322</v>
      </c>
      <c r="C202" s="91" t="s">
        <v>10</v>
      </c>
      <c r="D202" s="290">
        <f>(F40+F41+F42+F43)</f>
        <v>6</v>
      </c>
      <c r="E202" s="119">
        <v>89.46</v>
      </c>
      <c r="F202" s="102">
        <f>E202*D202</f>
        <v>536.76</v>
      </c>
      <c r="G202" s="117"/>
      <c r="H202" s="5"/>
    </row>
    <row r="203" spans="2:8" ht="13.5" thickBot="1" x14ac:dyDescent="0.25">
      <c r="B203" s="54"/>
      <c r="C203" s="54"/>
      <c r="D203" s="54"/>
      <c r="E203" s="101" t="s">
        <v>181</v>
      </c>
      <c r="F203" s="102">
        <f>$C$51</f>
        <v>1</v>
      </c>
      <c r="G203" s="116">
        <f>SUM(F200:F202)*F203</f>
        <v>2057.58</v>
      </c>
      <c r="H203" s="5"/>
    </row>
    <row r="204" spans="2:8" ht="13.5" thickBot="1" x14ac:dyDescent="0.25">
      <c r="B204" s="54"/>
      <c r="C204" s="54"/>
      <c r="D204" s="54"/>
      <c r="E204" s="55"/>
      <c r="F204" s="55"/>
      <c r="G204" s="55"/>
      <c r="H204" s="5"/>
    </row>
    <row r="205" spans="2:8" ht="13.5" thickBot="1" x14ac:dyDescent="0.25">
      <c r="B205" s="120" t="s">
        <v>98</v>
      </c>
      <c r="C205" s="121"/>
      <c r="D205" s="121"/>
      <c r="E205" s="51"/>
      <c r="F205" s="122"/>
      <c r="G205" s="116">
        <f>G203+G196+G190+G122+G101+G86+G67+G179+G165+G151+G136</f>
        <v>416145.26386941131</v>
      </c>
      <c r="H205" s="5"/>
    </row>
    <row r="206" spans="2:8" x14ac:dyDescent="0.2">
      <c r="B206" s="54"/>
      <c r="C206" s="54"/>
      <c r="D206" s="54"/>
      <c r="E206" s="55"/>
      <c r="F206" s="55"/>
      <c r="G206" s="55"/>
      <c r="H206" s="5"/>
    </row>
    <row r="207" spans="2:8" x14ac:dyDescent="0.2">
      <c r="B207" s="81" t="s">
        <v>47</v>
      </c>
      <c r="C207" s="54"/>
      <c r="D207" s="54"/>
      <c r="E207" s="55"/>
      <c r="F207" s="55"/>
      <c r="G207" s="55"/>
      <c r="H207" s="5"/>
    </row>
    <row r="208" spans="2:8" x14ac:dyDescent="0.2">
      <c r="B208" s="54"/>
      <c r="C208" s="54"/>
      <c r="D208" s="54"/>
      <c r="E208" s="55"/>
      <c r="F208" s="55"/>
      <c r="G208" s="55"/>
      <c r="H208" s="5"/>
    </row>
    <row r="209" spans="2:8" x14ac:dyDescent="0.2">
      <c r="B209" s="54" t="s">
        <v>183</v>
      </c>
      <c r="C209" s="54"/>
      <c r="D209" s="54"/>
      <c r="E209" s="55"/>
      <c r="F209" s="55"/>
      <c r="G209" s="55"/>
      <c r="H209" s="5"/>
    </row>
    <row r="210" spans="2:8" ht="13.5" thickBot="1" x14ac:dyDescent="0.25">
      <c r="B210" s="54"/>
      <c r="C210" s="54"/>
      <c r="D210" s="54"/>
      <c r="E210" s="55"/>
      <c r="F210" s="55"/>
      <c r="G210" s="55"/>
      <c r="H210" s="5"/>
    </row>
    <row r="211" spans="2:8" ht="24.75" thickBot="1" x14ac:dyDescent="0.25">
      <c r="B211" s="82" t="s">
        <v>66</v>
      </c>
      <c r="C211" s="83" t="s">
        <v>67</v>
      </c>
      <c r="D211" s="123" t="s">
        <v>228</v>
      </c>
      <c r="E211" s="84" t="s">
        <v>215</v>
      </c>
      <c r="F211" s="84" t="s">
        <v>68</v>
      </c>
      <c r="G211" s="85" t="s">
        <v>306</v>
      </c>
      <c r="H211" s="5"/>
    </row>
    <row r="212" spans="2:8" x14ac:dyDescent="0.2">
      <c r="B212" s="86" t="s">
        <v>69</v>
      </c>
      <c r="C212" s="87" t="s">
        <v>10</v>
      </c>
      <c r="D212" s="124">
        <v>12</v>
      </c>
      <c r="E212" s="88">
        <v>330</v>
      </c>
      <c r="F212" s="89">
        <f>IFERROR(E212/D212,0)</f>
        <v>27.5</v>
      </c>
      <c r="G212" s="55"/>
      <c r="H212" s="5"/>
    </row>
    <row r="213" spans="2:8" x14ac:dyDescent="0.2">
      <c r="B213" s="90" t="s">
        <v>30</v>
      </c>
      <c r="C213" s="91" t="s">
        <v>10</v>
      </c>
      <c r="D213" s="124">
        <v>0.5</v>
      </c>
      <c r="E213" s="88">
        <v>50</v>
      </c>
      <c r="F213" s="89">
        <f t="shared" ref="F213:F221" si="2">IFERROR(E213/D213,0)</f>
        <v>100</v>
      </c>
      <c r="G213" s="55"/>
      <c r="H213" s="5"/>
    </row>
    <row r="214" spans="2:8" x14ac:dyDescent="0.2">
      <c r="B214" s="90" t="s">
        <v>31</v>
      </c>
      <c r="C214" s="91" t="s">
        <v>10</v>
      </c>
      <c r="D214" s="124">
        <v>0.5</v>
      </c>
      <c r="E214" s="88">
        <v>70</v>
      </c>
      <c r="F214" s="89">
        <f t="shared" si="2"/>
        <v>140</v>
      </c>
      <c r="G214" s="55"/>
      <c r="H214" s="5"/>
    </row>
    <row r="215" spans="2:8" x14ac:dyDescent="0.2">
      <c r="B215" s="90" t="s">
        <v>32</v>
      </c>
      <c r="C215" s="91" t="s">
        <v>10</v>
      </c>
      <c r="D215" s="124">
        <v>3</v>
      </c>
      <c r="E215" s="88">
        <v>15</v>
      </c>
      <c r="F215" s="89">
        <f t="shared" si="2"/>
        <v>5</v>
      </c>
      <c r="G215" s="55"/>
      <c r="H215" s="5"/>
    </row>
    <row r="216" spans="2:8" x14ac:dyDescent="0.2">
      <c r="B216" s="90" t="s">
        <v>71</v>
      </c>
      <c r="C216" s="91" t="s">
        <v>50</v>
      </c>
      <c r="D216" s="124">
        <v>2</v>
      </c>
      <c r="E216" s="88">
        <v>80.16</v>
      </c>
      <c r="F216" s="89">
        <f t="shared" si="2"/>
        <v>40.08</v>
      </c>
      <c r="G216" s="55"/>
    </row>
    <row r="217" spans="2:8" x14ac:dyDescent="0.2">
      <c r="B217" s="90" t="s">
        <v>99</v>
      </c>
      <c r="C217" s="91" t="s">
        <v>50</v>
      </c>
      <c r="D217" s="124">
        <v>3</v>
      </c>
      <c r="E217" s="88">
        <v>15.9</v>
      </c>
      <c r="F217" s="89">
        <f t="shared" si="2"/>
        <v>5.3</v>
      </c>
      <c r="G217" s="55"/>
      <c r="H217" s="5"/>
    </row>
    <row r="218" spans="2:8" ht="11.25" customHeight="1" x14ac:dyDescent="0.2">
      <c r="B218" s="90" t="s">
        <v>70</v>
      </c>
      <c r="C218" s="91" t="s">
        <v>10</v>
      </c>
      <c r="D218" s="124">
        <v>3</v>
      </c>
      <c r="E218" s="88">
        <v>51.3</v>
      </c>
      <c r="F218" s="89">
        <f t="shared" si="2"/>
        <v>17.099999999999998</v>
      </c>
      <c r="G218" s="55"/>
      <c r="H218" s="5"/>
    </row>
    <row r="219" spans="2:8" ht="13.9" customHeight="1" x14ac:dyDescent="0.2">
      <c r="B219" s="125" t="s">
        <v>11</v>
      </c>
      <c r="C219" s="126" t="s">
        <v>10</v>
      </c>
      <c r="D219" s="124">
        <v>3</v>
      </c>
      <c r="E219" s="88">
        <v>30</v>
      </c>
      <c r="F219" s="89">
        <f t="shared" si="2"/>
        <v>10</v>
      </c>
      <c r="G219" s="127"/>
      <c r="H219" s="5"/>
    </row>
    <row r="220" spans="2:8" ht="11.25" customHeight="1" x14ac:dyDescent="0.2">
      <c r="B220" s="90" t="s">
        <v>33</v>
      </c>
      <c r="C220" s="91" t="s">
        <v>50</v>
      </c>
      <c r="D220" s="124">
        <v>0.25</v>
      </c>
      <c r="E220" s="88">
        <v>16.5</v>
      </c>
      <c r="F220" s="89">
        <f t="shared" si="2"/>
        <v>66</v>
      </c>
      <c r="G220" s="55"/>
      <c r="H220" s="5"/>
    </row>
    <row r="221" spans="2:8" ht="27.75" customHeight="1" x14ac:dyDescent="0.2">
      <c r="B221" s="90" t="s">
        <v>65</v>
      </c>
      <c r="C221" s="91" t="s">
        <v>51</v>
      </c>
      <c r="D221" s="124">
        <v>1</v>
      </c>
      <c r="E221" s="88">
        <v>30</v>
      </c>
      <c r="F221" s="89">
        <f t="shared" si="2"/>
        <v>30</v>
      </c>
      <c r="G221" s="55"/>
      <c r="H221" s="5"/>
    </row>
    <row r="222" spans="2:8" x14ac:dyDescent="0.2">
      <c r="B222" s="90" t="s">
        <v>184</v>
      </c>
      <c r="C222" s="91" t="s">
        <v>129</v>
      </c>
      <c r="D222" s="124">
        <v>1</v>
      </c>
      <c r="E222" s="88">
        <v>60</v>
      </c>
      <c r="F222" s="93">
        <f t="shared" ref="F222:F223" si="3">D222*E222</f>
        <v>60</v>
      </c>
      <c r="G222" s="55"/>
      <c r="H222" s="5"/>
    </row>
    <row r="223" spans="2:8" ht="13.15" customHeight="1" thickBot="1" x14ac:dyDescent="0.25">
      <c r="B223" s="90" t="s">
        <v>5</v>
      </c>
      <c r="C223" s="91" t="s">
        <v>6</v>
      </c>
      <c r="D223" s="129">
        <f>F36+F37</f>
        <v>46</v>
      </c>
      <c r="E223" s="93">
        <f>+SUM(F212:F222)</f>
        <v>500.98</v>
      </c>
      <c r="F223" s="93">
        <f t="shared" si="3"/>
        <v>23045.08</v>
      </c>
      <c r="G223" s="55"/>
      <c r="H223" s="5"/>
    </row>
    <row r="224" spans="2:8" ht="13.5" thickBot="1" x14ac:dyDescent="0.25">
      <c r="B224" s="54"/>
      <c r="C224" s="54"/>
      <c r="D224" s="54"/>
      <c r="E224" s="101" t="s">
        <v>181</v>
      </c>
      <c r="F224" s="102">
        <f>$C$51</f>
        <v>1</v>
      </c>
      <c r="G224" s="103">
        <f>F223*F224</f>
        <v>23045.08</v>
      </c>
      <c r="H224" s="5"/>
    </row>
    <row r="225" spans="2:8" ht="13.15" customHeight="1" x14ac:dyDescent="0.2">
      <c r="B225" s="54"/>
      <c r="C225" s="54"/>
      <c r="D225" s="54"/>
      <c r="E225" s="55"/>
      <c r="F225" s="55"/>
      <c r="G225" s="55"/>
      <c r="H225" s="5"/>
    </row>
    <row r="226" spans="2:8" ht="13.9" customHeight="1" x14ac:dyDescent="0.2">
      <c r="B226" s="54" t="s">
        <v>185</v>
      </c>
      <c r="C226" s="54"/>
      <c r="D226" s="54"/>
      <c r="E226" s="55"/>
      <c r="F226" s="55"/>
      <c r="G226" s="55"/>
      <c r="H226" s="5"/>
    </row>
    <row r="227" spans="2:8" ht="13.15" customHeight="1" thickBot="1" x14ac:dyDescent="0.25">
      <c r="B227" s="54"/>
      <c r="C227" s="54"/>
      <c r="D227" s="54"/>
      <c r="E227" s="55"/>
      <c r="F227" s="55"/>
      <c r="G227" s="55"/>
    </row>
    <row r="228" spans="2:8" ht="24.75" thickBot="1" x14ac:dyDescent="0.25">
      <c r="B228" s="82" t="s">
        <v>66</v>
      </c>
      <c r="C228" s="83" t="s">
        <v>67</v>
      </c>
      <c r="D228" s="123" t="s">
        <v>228</v>
      </c>
      <c r="E228" s="84" t="s">
        <v>215</v>
      </c>
      <c r="F228" s="84" t="s">
        <v>68</v>
      </c>
      <c r="G228" s="85" t="s">
        <v>306</v>
      </c>
    </row>
    <row r="229" spans="2:8" s="1" customFormat="1" x14ac:dyDescent="0.2">
      <c r="B229" s="86" t="s">
        <v>69</v>
      </c>
      <c r="C229" s="87" t="s">
        <v>10</v>
      </c>
      <c r="D229" s="124">
        <v>1</v>
      </c>
      <c r="E229" s="89">
        <f>+E212</f>
        <v>330</v>
      </c>
      <c r="F229" s="89">
        <f>IFERROR(E229/D229,0)</f>
        <v>330</v>
      </c>
      <c r="G229" s="55"/>
      <c r="H229" s="10"/>
    </row>
    <row r="230" spans="2:8" x14ac:dyDescent="0.2">
      <c r="B230" s="90" t="s">
        <v>30</v>
      </c>
      <c r="C230" s="91" t="s">
        <v>10</v>
      </c>
      <c r="D230" s="124">
        <v>1</v>
      </c>
      <c r="E230" s="93">
        <f>+E213</f>
        <v>50</v>
      </c>
      <c r="F230" s="89">
        <f t="shared" ref="F230:F234" si="4">IFERROR(E230/D230,0)</f>
        <v>50</v>
      </c>
      <c r="G230" s="55"/>
    </row>
    <row r="231" spans="2:8" ht="13.15" customHeight="1" x14ac:dyDescent="0.2">
      <c r="B231" s="90" t="s">
        <v>31</v>
      </c>
      <c r="C231" s="91" t="s">
        <v>10</v>
      </c>
      <c r="D231" s="124">
        <v>1</v>
      </c>
      <c r="E231" s="93">
        <f>+E214</f>
        <v>70</v>
      </c>
      <c r="F231" s="89">
        <f t="shared" si="4"/>
        <v>70</v>
      </c>
      <c r="G231" s="55"/>
    </row>
    <row r="232" spans="2:8" x14ac:dyDescent="0.2">
      <c r="B232" s="90" t="s">
        <v>71</v>
      </c>
      <c r="C232" s="91" t="s">
        <v>50</v>
      </c>
      <c r="D232" s="124">
        <v>2</v>
      </c>
      <c r="E232" s="93">
        <f>+E216</f>
        <v>80.16</v>
      </c>
      <c r="F232" s="89">
        <f t="shared" si="4"/>
        <v>40.08</v>
      </c>
      <c r="G232" s="55"/>
    </row>
    <row r="233" spans="2:8" x14ac:dyDescent="0.2">
      <c r="B233" s="90" t="s">
        <v>70</v>
      </c>
      <c r="C233" s="91" t="s">
        <v>10</v>
      </c>
      <c r="D233" s="124">
        <v>1</v>
      </c>
      <c r="E233" s="93">
        <f>+E218</f>
        <v>51.3</v>
      </c>
      <c r="F233" s="89">
        <f t="shared" si="4"/>
        <v>51.3</v>
      </c>
      <c r="G233" s="55"/>
    </row>
    <row r="234" spans="2:8" x14ac:dyDescent="0.2">
      <c r="B234" s="90" t="s">
        <v>65</v>
      </c>
      <c r="C234" s="91" t="s">
        <v>51</v>
      </c>
      <c r="D234" s="124">
        <v>1</v>
      </c>
      <c r="E234" s="93">
        <f>+E221</f>
        <v>30</v>
      </c>
      <c r="F234" s="89">
        <f t="shared" si="4"/>
        <v>30</v>
      </c>
      <c r="G234" s="55"/>
    </row>
    <row r="235" spans="2:8" ht="11.25" customHeight="1" x14ac:dyDescent="0.2">
      <c r="B235" s="90" t="s">
        <v>184</v>
      </c>
      <c r="C235" s="91" t="s">
        <v>129</v>
      </c>
      <c r="D235" s="128">
        <v>1</v>
      </c>
      <c r="E235" s="88">
        <v>60</v>
      </c>
      <c r="F235" s="93">
        <f t="shared" ref="F235:F236" si="5">D235*E235</f>
        <v>60</v>
      </c>
      <c r="G235" s="55"/>
    </row>
    <row r="236" spans="2:8" ht="13.9" customHeight="1" thickBot="1" x14ac:dyDescent="0.25">
      <c r="B236" s="90" t="s">
        <v>5</v>
      </c>
      <c r="C236" s="91" t="s">
        <v>6</v>
      </c>
      <c r="D236" s="129">
        <f>F38+F39+F40</f>
        <v>20</v>
      </c>
      <c r="E236" s="93">
        <f>+SUM(F229:F235)</f>
        <v>631.38</v>
      </c>
      <c r="F236" s="93">
        <f t="shared" si="5"/>
        <v>12627.6</v>
      </c>
      <c r="G236" s="55"/>
    </row>
    <row r="237" spans="2:8" ht="11.25" customHeight="1" thickBot="1" x14ac:dyDescent="0.25">
      <c r="B237" s="54"/>
      <c r="C237" s="54"/>
      <c r="D237" s="54"/>
      <c r="E237" s="101" t="s">
        <v>181</v>
      </c>
      <c r="F237" s="102">
        <f>$C$51</f>
        <v>1</v>
      </c>
      <c r="G237" s="103">
        <f>F236*F237</f>
        <v>12627.6</v>
      </c>
    </row>
    <row r="238" spans="2:8" ht="13.5" thickBot="1" x14ac:dyDescent="0.25">
      <c r="B238" s="54"/>
      <c r="C238" s="54"/>
      <c r="D238" s="54"/>
      <c r="E238" s="55"/>
      <c r="F238" s="55"/>
      <c r="G238" s="55"/>
    </row>
    <row r="239" spans="2:8" ht="13.5" thickBot="1" x14ac:dyDescent="0.25">
      <c r="B239" s="120" t="s">
        <v>186</v>
      </c>
      <c r="C239" s="130"/>
      <c r="D239" s="130"/>
      <c r="E239" s="131"/>
      <c r="F239" s="132"/>
      <c r="G239" s="133">
        <f>+G224+G237</f>
        <v>35672.68</v>
      </c>
    </row>
    <row r="240" spans="2:8" x14ac:dyDescent="0.2">
      <c r="B240" s="54"/>
      <c r="C240" s="54"/>
      <c r="D240" s="54"/>
      <c r="E240" s="55"/>
      <c r="F240" s="55"/>
      <c r="G240" s="55"/>
    </row>
    <row r="241" spans="2:8" x14ac:dyDescent="0.2">
      <c r="B241" s="81" t="s">
        <v>56</v>
      </c>
      <c r="C241" s="54"/>
      <c r="D241" s="54"/>
      <c r="E241" s="55"/>
      <c r="F241" s="55"/>
      <c r="G241" s="55"/>
    </row>
    <row r="242" spans="2:8" x14ac:dyDescent="0.2">
      <c r="B242" s="54"/>
      <c r="C242" s="134"/>
      <c r="D242" s="54"/>
      <c r="E242" s="55"/>
      <c r="F242" s="55"/>
      <c r="G242" s="55"/>
    </row>
    <row r="243" spans="2:8" x14ac:dyDescent="0.2">
      <c r="B243" s="285" t="s">
        <v>318</v>
      </c>
      <c r="C243" s="54"/>
      <c r="D243" s="54"/>
      <c r="E243" s="55"/>
      <c r="F243" s="55"/>
      <c r="G243" s="55"/>
      <c r="H243" s="5"/>
    </row>
    <row r="244" spans="2:8" x14ac:dyDescent="0.2">
      <c r="B244" s="54"/>
      <c r="C244" s="54"/>
      <c r="D244" s="54"/>
      <c r="E244" s="55"/>
      <c r="F244" s="55"/>
      <c r="G244" s="55"/>
      <c r="H244" s="5"/>
    </row>
    <row r="245" spans="2:8" ht="13.5" thickBot="1" x14ac:dyDescent="0.25">
      <c r="B245" s="134" t="s">
        <v>48</v>
      </c>
      <c r="C245" s="54"/>
      <c r="D245" s="54"/>
      <c r="E245" s="55"/>
      <c r="F245" s="55"/>
      <c r="G245" s="55"/>
      <c r="H245" s="5"/>
    </row>
    <row r="246" spans="2:8" ht="13.5" thickBot="1" x14ac:dyDescent="0.25">
      <c r="B246" s="82" t="s">
        <v>66</v>
      </c>
      <c r="C246" s="83" t="s">
        <v>67</v>
      </c>
      <c r="D246" s="83" t="s">
        <v>42</v>
      </c>
      <c r="E246" s="84" t="s">
        <v>215</v>
      </c>
      <c r="F246" s="84" t="s">
        <v>68</v>
      </c>
      <c r="G246" s="85" t="s">
        <v>306</v>
      </c>
      <c r="H246" s="5"/>
    </row>
    <row r="247" spans="2:8" x14ac:dyDescent="0.2">
      <c r="B247" s="86" t="s">
        <v>113</v>
      </c>
      <c r="C247" s="87" t="s">
        <v>10</v>
      </c>
      <c r="D247" s="135">
        <v>1</v>
      </c>
      <c r="E247" s="88">
        <v>385340</v>
      </c>
      <c r="F247" s="89">
        <f>D247*E247</f>
        <v>385340</v>
      </c>
      <c r="G247" s="55"/>
      <c r="H247" s="5"/>
    </row>
    <row r="248" spans="2:8" ht="11.25" customHeight="1" x14ac:dyDescent="0.2">
      <c r="B248" s="90" t="s">
        <v>107</v>
      </c>
      <c r="C248" s="91" t="s">
        <v>108</v>
      </c>
      <c r="D248" s="100">
        <v>5</v>
      </c>
      <c r="E248" s="94"/>
      <c r="F248" s="93"/>
      <c r="G248" s="55"/>
      <c r="H248" s="5"/>
    </row>
    <row r="249" spans="2:8" x14ac:dyDescent="0.2">
      <c r="B249" s="90" t="s">
        <v>191</v>
      </c>
      <c r="C249" s="91" t="s">
        <v>108</v>
      </c>
      <c r="D249" s="100">
        <v>0</v>
      </c>
      <c r="E249" s="93"/>
      <c r="F249" s="93"/>
      <c r="G249" s="136"/>
      <c r="H249" s="5"/>
    </row>
    <row r="250" spans="2:8" ht="11.25" customHeight="1" x14ac:dyDescent="0.2">
      <c r="B250" s="90" t="s">
        <v>111</v>
      </c>
      <c r="C250" s="91" t="s">
        <v>2</v>
      </c>
      <c r="D250" s="99">
        <v>55.68</v>
      </c>
      <c r="E250" s="93">
        <f>F247</f>
        <v>385340</v>
      </c>
      <c r="F250" s="93">
        <f>D250*E250/100</f>
        <v>214557.31200000001</v>
      </c>
      <c r="G250" s="55"/>
      <c r="H250" s="5"/>
    </row>
    <row r="251" spans="2:8" ht="13.5" thickBot="1" x14ac:dyDescent="0.25">
      <c r="B251" s="137" t="s">
        <v>52</v>
      </c>
      <c r="C251" s="138" t="s">
        <v>8</v>
      </c>
      <c r="D251" s="138">
        <v>60</v>
      </c>
      <c r="E251" s="139">
        <f>IF(D249&lt;=D248,F250,0)</f>
        <v>214557.31200000001</v>
      </c>
      <c r="F251" s="139">
        <f>IFERROR(E251/D251,0)</f>
        <v>3575.9551999999999</v>
      </c>
      <c r="G251" s="55"/>
      <c r="H251" s="5"/>
    </row>
    <row r="252" spans="2:8" ht="11.25" customHeight="1" thickTop="1" x14ac:dyDescent="0.2">
      <c r="B252" s="86" t="s">
        <v>112</v>
      </c>
      <c r="C252" s="87" t="s">
        <v>10</v>
      </c>
      <c r="D252" s="87">
        <f>D247</f>
        <v>1</v>
      </c>
      <c r="E252" s="88">
        <v>176454</v>
      </c>
      <c r="F252" s="89">
        <f>D252*E252</f>
        <v>176454</v>
      </c>
      <c r="G252" s="55"/>
      <c r="H252" s="5"/>
    </row>
    <row r="253" spans="2:8" x14ac:dyDescent="0.2">
      <c r="B253" s="90" t="s">
        <v>109</v>
      </c>
      <c r="C253" s="91" t="s">
        <v>108</v>
      </c>
      <c r="D253" s="100">
        <v>5</v>
      </c>
      <c r="E253" s="93"/>
      <c r="F253" s="93"/>
      <c r="G253" s="55"/>
      <c r="H253" s="5"/>
    </row>
    <row r="254" spans="2:8" ht="11.25" customHeight="1" x14ac:dyDescent="0.2">
      <c r="B254" s="90" t="s">
        <v>192</v>
      </c>
      <c r="C254" s="91" t="s">
        <v>108</v>
      </c>
      <c r="D254" s="100">
        <v>0</v>
      </c>
      <c r="E254" s="93"/>
      <c r="F254" s="93"/>
      <c r="G254" s="136"/>
      <c r="H254" s="5"/>
    </row>
    <row r="255" spans="2:8" x14ac:dyDescent="0.2">
      <c r="B255" s="90" t="s">
        <v>110</v>
      </c>
      <c r="C255" s="91" t="s">
        <v>2</v>
      </c>
      <c r="D255" s="140">
        <v>55.68</v>
      </c>
      <c r="E255" s="93">
        <f>F252</f>
        <v>176454</v>
      </c>
      <c r="F255" s="93">
        <f>D255*E255/100</f>
        <v>98249.587200000009</v>
      </c>
      <c r="G255" s="55"/>
      <c r="H255" s="5"/>
    </row>
    <row r="256" spans="2:8" x14ac:dyDescent="0.2">
      <c r="B256" s="106" t="s">
        <v>114</v>
      </c>
      <c r="C256" s="141" t="s">
        <v>8</v>
      </c>
      <c r="D256" s="141">
        <v>60</v>
      </c>
      <c r="E256" s="107">
        <f>IF(D254&lt;=D253,F255,0)</f>
        <v>98249.587200000009</v>
      </c>
      <c r="F256" s="107">
        <f>IFERROR(E256/D256,0)</f>
        <v>1637.4931200000001</v>
      </c>
      <c r="G256" s="55"/>
      <c r="H256" s="5"/>
    </row>
    <row r="257" spans="2:11" x14ac:dyDescent="0.2">
      <c r="B257" s="95" t="s">
        <v>231</v>
      </c>
      <c r="C257" s="96"/>
      <c r="D257" s="96"/>
      <c r="E257" s="97"/>
      <c r="F257" s="98">
        <f>F251+F256</f>
        <v>5213.4483199999995</v>
      </c>
      <c r="G257" s="55"/>
      <c r="H257" s="5"/>
    </row>
    <row r="258" spans="2:11" ht="13.5" thickBot="1" x14ac:dyDescent="0.25">
      <c r="B258" s="106" t="s">
        <v>232</v>
      </c>
      <c r="C258" s="141" t="s">
        <v>10</v>
      </c>
      <c r="D258" s="100">
        <v>9</v>
      </c>
      <c r="E258" s="107">
        <f>F257</f>
        <v>5213.4483199999995</v>
      </c>
      <c r="F258" s="98">
        <f>D258*E258</f>
        <v>46921.034879999992</v>
      </c>
      <c r="G258" s="55"/>
      <c r="H258" s="5"/>
    </row>
    <row r="259" spans="2:11" ht="13.5" thickBot="1" x14ac:dyDescent="0.25">
      <c r="B259" s="142"/>
      <c r="C259" s="142"/>
      <c r="D259" s="142"/>
      <c r="E259" s="101" t="s">
        <v>181</v>
      </c>
      <c r="F259" s="102">
        <f>$C$51</f>
        <v>1</v>
      </c>
      <c r="G259" s="133">
        <f>F258*F259</f>
        <v>46921.034879999992</v>
      </c>
      <c r="J259" s="15"/>
      <c r="K259" s="15"/>
    </row>
    <row r="260" spans="2:11" x14ac:dyDescent="0.2">
      <c r="B260" s="54"/>
      <c r="C260" s="54"/>
      <c r="D260" s="54"/>
      <c r="E260" s="55"/>
      <c r="F260" s="55"/>
      <c r="G260" s="55"/>
    </row>
    <row r="261" spans="2:11" ht="13.5" thickBot="1" x14ac:dyDescent="0.25">
      <c r="B261" s="134" t="s">
        <v>119</v>
      </c>
      <c r="C261" s="54"/>
      <c r="D261" s="54"/>
      <c r="E261" s="55"/>
      <c r="F261" s="55"/>
      <c r="G261" s="55"/>
    </row>
    <row r="262" spans="2:11" ht="13.5" thickBot="1" x14ac:dyDescent="0.25">
      <c r="B262" s="143" t="s">
        <v>66</v>
      </c>
      <c r="C262" s="144" t="s">
        <v>67</v>
      </c>
      <c r="D262" s="144" t="s">
        <v>42</v>
      </c>
      <c r="E262" s="84" t="s">
        <v>215</v>
      </c>
      <c r="F262" s="145" t="s">
        <v>68</v>
      </c>
      <c r="G262" s="85" t="s">
        <v>306</v>
      </c>
      <c r="H262" s="5"/>
    </row>
    <row r="263" spans="2:11" x14ac:dyDescent="0.2">
      <c r="B263" s="90" t="s">
        <v>117</v>
      </c>
      <c r="C263" s="91" t="s">
        <v>10</v>
      </c>
      <c r="D263" s="135">
        <v>1</v>
      </c>
      <c r="E263" s="93">
        <f>E247</f>
        <v>385340</v>
      </c>
      <c r="F263" s="93">
        <f>D263*E263</f>
        <v>385340</v>
      </c>
      <c r="G263" s="136"/>
    </row>
    <row r="264" spans="2:11" x14ac:dyDescent="0.2">
      <c r="B264" s="90" t="s">
        <v>195</v>
      </c>
      <c r="C264" s="91" t="s">
        <v>2</v>
      </c>
      <c r="D264" s="100">
        <v>12.75</v>
      </c>
      <c r="E264" s="93"/>
      <c r="F264" s="93"/>
      <c r="G264" s="136"/>
      <c r="J264" s="15"/>
      <c r="K264" s="15"/>
    </row>
    <row r="265" spans="2:11" x14ac:dyDescent="0.2">
      <c r="B265" s="90" t="s">
        <v>193</v>
      </c>
      <c r="C265" s="91" t="s">
        <v>35</v>
      </c>
      <c r="D265" s="146">
        <f>IFERROR(IF(D249&lt;=D248,F247-(D250/(100*D248)*D249)*F247,F247-F250),0)</f>
        <v>385340</v>
      </c>
      <c r="E265" s="93"/>
      <c r="F265" s="93"/>
      <c r="G265" s="136"/>
    </row>
    <row r="266" spans="2:11" x14ac:dyDescent="0.2">
      <c r="B266" s="90" t="s">
        <v>122</v>
      </c>
      <c r="C266" s="91" t="s">
        <v>35</v>
      </c>
      <c r="D266" s="94">
        <f>IFERROR(IF(D249&gt;=D248,D265,((((D265)-(F247-F250))*(((D248-D249)+1)/(2*(D248-D249))))+(F247-F250))),0)</f>
        <v>299517.07519999996</v>
      </c>
      <c r="E266" s="93"/>
      <c r="F266" s="93"/>
      <c r="G266" s="136"/>
    </row>
    <row r="267" spans="2:11" ht="13.5" thickBot="1" x14ac:dyDescent="0.25">
      <c r="B267" s="137" t="s">
        <v>123</v>
      </c>
      <c r="C267" s="138" t="s">
        <v>35</v>
      </c>
      <c r="D267" s="138"/>
      <c r="E267" s="147">
        <f>D264*D266/12/100</f>
        <v>3182.3689239999994</v>
      </c>
      <c r="F267" s="139">
        <f>E267</f>
        <v>3182.3689239999994</v>
      </c>
      <c r="G267" s="136"/>
    </row>
    <row r="268" spans="2:11" ht="13.5" thickTop="1" x14ac:dyDescent="0.2">
      <c r="B268" s="86" t="s">
        <v>118</v>
      </c>
      <c r="C268" s="87" t="s">
        <v>10</v>
      </c>
      <c r="D268" s="87">
        <f>D252</f>
        <v>1</v>
      </c>
      <c r="E268" s="89">
        <f>E252</f>
        <v>176454</v>
      </c>
      <c r="F268" s="89">
        <f>D268*E268</f>
        <v>176454</v>
      </c>
      <c r="G268" s="136"/>
    </row>
    <row r="269" spans="2:11" x14ac:dyDescent="0.2">
      <c r="B269" s="90" t="s">
        <v>195</v>
      </c>
      <c r="C269" s="91" t="s">
        <v>2</v>
      </c>
      <c r="D269" s="148">
        <f>D264</f>
        <v>12.75</v>
      </c>
      <c r="E269" s="93"/>
      <c r="F269" s="93"/>
      <c r="G269" s="136"/>
    </row>
    <row r="270" spans="2:11" ht="11.25" customHeight="1" x14ac:dyDescent="0.2">
      <c r="B270" s="90" t="s">
        <v>194</v>
      </c>
      <c r="C270" s="91" t="s">
        <v>35</v>
      </c>
      <c r="D270" s="146">
        <f>IFERROR(IF(D254&lt;=D253,F252-(D255/(100*D253)*D254)*F252,F252-F255),0)</f>
        <v>176454</v>
      </c>
      <c r="E270" s="93"/>
      <c r="F270" s="93"/>
      <c r="G270" s="136"/>
    </row>
    <row r="271" spans="2:11" x14ac:dyDescent="0.2">
      <c r="B271" s="90" t="s">
        <v>124</v>
      </c>
      <c r="C271" s="91" t="s">
        <v>35</v>
      </c>
      <c r="D271" s="94">
        <f>IFERROR(IF(D254&gt;=D253,D270,((((D270)-(F252-F255))*(((D253-D254)+1)/(2*(D253-D254))))+(F252-F255))),0)</f>
        <v>137154.16511999999</v>
      </c>
      <c r="E271" s="93"/>
      <c r="F271" s="93"/>
      <c r="G271" s="136"/>
    </row>
    <row r="272" spans="2:11" x14ac:dyDescent="0.2">
      <c r="B272" s="106" t="s">
        <v>121</v>
      </c>
      <c r="C272" s="141" t="s">
        <v>35</v>
      </c>
      <c r="D272" s="141"/>
      <c r="E272" s="149">
        <f>D269*D271/12/100</f>
        <v>1457.2630044</v>
      </c>
      <c r="F272" s="107">
        <f>E272</f>
        <v>1457.2630044</v>
      </c>
      <c r="G272" s="136"/>
      <c r="J272" s="15"/>
      <c r="K272" s="15"/>
    </row>
    <row r="273" spans="2:11" x14ac:dyDescent="0.2">
      <c r="B273" s="95" t="s">
        <v>231</v>
      </c>
      <c r="C273" s="96"/>
      <c r="D273" s="96"/>
      <c r="E273" s="97"/>
      <c r="F273" s="98">
        <f>F267+F272</f>
        <v>4639.6319283999992</v>
      </c>
      <c r="G273" s="136"/>
      <c r="J273" s="15"/>
      <c r="K273" s="15"/>
    </row>
    <row r="274" spans="2:11" ht="13.5" thickBot="1" x14ac:dyDescent="0.25">
      <c r="B274" s="106" t="s">
        <v>232</v>
      </c>
      <c r="C274" s="141" t="s">
        <v>10</v>
      </c>
      <c r="D274" s="148">
        <f>D258</f>
        <v>9</v>
      </c>
      <c r="E274" s="107">
        <f>F273</f>
        <v>4639.6319283999992</v>
      </c>
      <c r="F274" s="98">
        <f>D274*E274</f>
        <v>41756.687355599992</v>
      </c>
      <c r="G274" s="136"/>
      <c r="J274" s="15"/>
      <c r="K274" s="15"/>
    </row>
    <row r="275" spans="2:11" ht="13.5" thickBot="1" x14ac:dyDescent="0.25">
      <c r="B275" s="54"/>
      <c r="C275" s="54"/>
      <c r="D275" s="150"/>
      <c r="E275" s="101" t="s">
        <v>181</v>
      </c>
      <c r="F275" s="102">
        <f>$C$51</f>
        <v>1</v>
      </c>
      <c r="G275" s="133">
        <f>F274*F275</f>
        <v>41756.687355599992</v>
      </c>
      <c r="J275" s="15"/>
      <c r="K275" s="15"/>
    </row>
    <row r="276" spans="2:11" x14ac:dyDescent="0.2">
      <c r="B276" s="54"/>
      <c r="C276" s="54"/>
      <c r="D276" s="54"/>
      <c r="E276" s="55"/>
      <c r="F276" s="55"/>
      <c r="G276" s="55"/>
      <c r="J276" s="15"/>
      <c r="K276" s="15"/>
    </row>
    <row r="277" spans="2:11" ht="13.5" thickBot="1" x14ac:dyDescent="0.25">
      <c r="B277" s="54" t="s">
        <v>53</v>
      </c>
      <c r="C277" s="54"/>
      <c r="D277" s="54"/>
      <c r="E277" s="55"/>
      <c r="F277" s="55"/>
      <c r="G277" s="55"/>
      <c r="J277" s="15"/>
      <c r="K277" s="15"/>
    </row>
    <row r="278" spans="2:11" ht="13.5" thickBot="1" x14ac:dyDescent="0.25">
      <c r="B278" s="82" t="s">
        <v>66</v>
      </c>
      <c r="C278" s="83" t="s">
        <v>67</v>
      </c>
      <c r="D278" s="83" t="s">
        <v>42</v>
      </c>
      <c r="E278" s="84" t="s">
        <v>215</v>
      </c>
      <c r="F278" s="84" t="s">
        <v>68</v>
      </c>
      <c r="G278" s="85" t="s">
        <v>306</v>
      </c>
      <c r="J278" s="15"/>
      <c r="K278" s="15"/>
    </row>
    <row r="279" spans="2:11" x14ac:dyDescent="0.2">
      <c r="B279" s="86" t="s">
        <v>12</v>
      </c>
      <c r="C279" s="87" t="s">
        <v>10</v>
      </c>
      <c r="D279" s="89">
        <f>D258</f>
        <v>9</v>
      </c>
      <c r="E279" s="89">
        <f>0.01*($F$247)</f>
        <v>3853.4</v>
      </c>
      <c r="F279" s="89">
        <f>D279*E279</f>
        <v>34680.6</v>
      </c>
      <c r="G279" s="55"/>
      <c r="J279" s="15"/>
      <c r="K279" s="15"/>
    </row>
    <row r="280" spans="2:11" x14ac:dyDescent="0.2">
      <c r="B280" s="90" t="s">
        <v>180</v>
      </c>
      <c r="C280" s="91" t="s">
        <v>10</v>
      </c>
      <c r="D280" s="89">
        <f>D258</f>
        <v>9</v>
      </c>
      <c r="E280" s="151">
        <v>66.7</v>
      </c>
      <c r="F280" s="93">
        <f>D280*E280</f>
        <v>600.30000000000007</v>
      </c>
      <c r="G280" s="55"/>
      <c r="J280" s="15"/>
      <c r="K280" s="15"/>
    </row>
    <row r="281" spans="2:11" x14ac:dyDescent="0.2">
      <c r="B281" s="90" t="s">
        <v>13</v>
      </c>
      <c r="C281" s="91" t="s">
        <v>10</v>
      </c>
      <c r="D281" s="89">
        <f>D258</f>
        <v>9</v>
      </c>
      <c r="E281" s="151">
        <v>1959.28</v>
      </c>
      <c r="F281" s="93">
        <f>D281*E281</f>
        <v>17633.52</v>
      </c>
      <c r="G281" s="152"/>
      <c r="J281" s="15"/>
      <c r="K281" s="15"/>
    </row>
    <row r="282" spans="2:11" ht="13.5" thickBot="1" x14ac:dyDescent="0.25">
      <c r="B282" s="106" t="s">
        <v>14</v>
      </c>
      <c r="C282" s="141" t="s">
        <v>8</v>
      </c>
      <c r="D282" s="141">
        <v>12</v>
      </c>
      <c r="E282" s="107">
        <f>SUM(F279:F281)</f>
        <v>52914.42</v>
      </c>
      <c r="F282" s="107">
        <f>E282/D282</f>
        <v>4409.5349999999999</v>
      </c>
      <c r="G282" s="55"/>
      <c r="J282" s="15"/>
      <c r="K282" s="15"/>
    </row>
    <row r="283" spans="2:11" ht="13.5" thickBot="1" x14ac:dyDescent="0.25">
      <c r="B283" s="54"/>
      <c r="C283" s="54"/>
      <c r="D283" s="54"/>
      <c r="E283" s="101" t="s">
        <v>181</v>
      </c>
      <c r="F283" s="102">
        <f>$C$51</f>
        <v>1</v>
      </c>
      <c r="G283" s="103">
        <f>F282*F283</f>
        <v>4409.5349999999999</v>
      </c>
      <c r="J283" s="15"/>
      <c r="K283" s="15"/>
    </row>
    <row r="284" spans="2:11" x14ac:dyDescent="0.2">
      <c r="B284" s="54"/>
      <c r="C284" s="54"/>
      <c r="D284" s="54"/>
      <c r="E284" s="55"/>
      <c r="F284" s="55"/>
      <c r="G284" s="55"/>
      <c r="J284" s="15"/>
      <c r="K284" s="15"/>
    </row>
    <row r="285" spans="2:11" x14ac:dyDescent="0.2">
      <c r="B285" s="54" t="s">
        <v>54</v>
      </c>
      <c r="C285" s="153"/>
      <c r="D285" s="54"/>
      <c r="E285" s="55"/>
      <c r="F285" s="55"/>
      <c r="G285" s="55"/>
      <c r="J285" s="15"/>
      <c r="K285" s="15"/>
    </row>
    <row r="286" spans="2:11" ht="11.25" customHeight="1" x14ac:dyDescent="0.2">
      <c r="B286" s="54"/>
      <c r="C286" s="153"/>
      <c r="D286" s="54"/>
      <c r="E286" s="55"/>
      <c r="F286" s="55"/>
      <c r="G286" s="55"/>
      <c r="J286" s="15"/>
      <c r="K286" s="15"/>
    </row>
    <row r="287" spans="2:11" x14ac:dyDescent="0.2">
      <c r="B287" s="106" t="s">
        <v>126</v>
      </c>
      <c r="C287" s="154">
        <v>47890</v>
      </c>
      <c r="D287" s="54"/>
      <c r="E287" s="55"/>
      <c r="F287" s="55"/>
      <c r="G287" s="55"/>
      <c r="J287" s="15"/>
      <c r="K287" s="15"/>
    </row>
    <row r="288" spans="2:11" ht="13.5" thickBot="1" x14ac:dyDescent="0.25">
      <c r="B288" s="54"/>
      <c r="C288" s="153"/>
      <c r="D288" s="54"/>
      <c r="E288" s="55"/>
      <c r="F288" s="55"/>
      <c r="G288" s="55"/>
      <c r="J288" s="15"/>
      <c r="K288" s="15"/>
    </row>
    <row r="289" spans="2:11" ht="13.5" thickBot="1" x14ac:dyDescent="0.25">
      <c r="B289" s="82" t="s">
        <v>66</v>
      </c>
      <c r="C289" s="83" t="s">
        <v>67</v>
      </c>
      <c r="D289" s="83" t="s">
        <v>230</v>
      </c>
      <c r="E289" s="84" t="s">
        <v>215</v>
      </c>
      <c r="F289" s="84" t="s">
        <v>68</v>
      </c>
      <c r="G289" s="85" t="s">
        <v>306</v>
      </c>
      <c r="J289" s="15"/>
      <c r="K289" s="15"/>
    </row>
    <row r="290" spans="2:11" x14ac:dyDescent="0.2">
      <c r="B290" s="86" t="s">
        <v>15</v>
      </c>
      <c r="C290" s="87" t="s">
        <v>16</v>
      </c>
      <c r="D290" s="155">
        <v>1.2</v>
      </c>
      <c r="E290" s="156">
        <v>6.22</v>
      </c>
      <c r="F290" s="89"/>
      <c r="G290" s="55"/>
      <c r="J290" s="15"/>
      <c r="K290" s="15"/>
    </row>
    <row r="291" spans="2:11" x14ac:dyDescent="0.2">
      <c r="B291" s="90" t="s">
        <v>17</v>
      </c>
      <c r="C291" s="91" t="s">
        <v>18</v>
      </c>
      <c r="D291" s="112">
        <f>C287</f>
        <v>47890</v>
      </c>
      <c r="E291" s="157">
        <f>IFERROR(+E290/D290,"-")</f>
        <v>5.1833333333333336</v>
      </c>
      <c r="F291" s="93">
        <f>IFERROR(D291*E291,"-")</f>
        <v>248229.83333333334</v>
      </c>
      <c r="G291" s="55"/>
      <c r="J291" s="15"/>
      <c r="K291" s="15"/>
    </row>
    <row r="292" spans="2:11" x14ac:dyDescent="0.2">
      <c r="B292" s="90" t="s">
        <v>216</v>
      </c>
      <c r="C292" s="91" t="s">
        <v>19</v>
      </c>
      <c r="D292" s="158">
        <v>1.2</v>
      </c>
      <c r="E292" s="151">
        <v>33.32</v>
      </c>
      <c r="F292" s="93"/>
      <c r="G292" s="55"/>
      <c r="J292" s="15"/>
      <c r="K292" s="15"/>
    </row>
    <row r="293" spans="2:11" x14ac:dyDescent="0.2">
      <c r="B293" s="90" t="s">
        <v>20</v>
      </c>
      <c r="C293" s="91" t="s">
        <v>18</v>
      </c>
      <c r="D293" s="112">
        <f>D291</f>
        <v>47890</v>
      </c>
      <c r="E293" s="159">
        <f>+D292*E292/1000</f>
        <v>3.9983999999999999E-2</v>
      </c>
      <c r="F293" s="93">
        <f>D293*E293</f>
        <v>1914.83376</v>
      </c>
      <c r="G293" s="55"/>
      <c r="J293" s="15"/>
      <c r="K293" s="15"/>
    </row>
    <row r="294" spans="2:11" ht="11.25" customHeight="1" x14ac:dyDescent="0.2">
      <c r="B294" s="90" t="s">
        <v>217</v>
      </c>
      <c r="C294" s="91" t="s">
        <v>19</v>
      </c>
      <c r="D294" s="158">
        <v>1.2</v>
      </c>
      <c r="E294" s="151">
        <f>460/20</f>
        <v>23</v>
      </c>
      <c r="F294" s="93"/>
      <c r="G294" s="55"/>
      <c r="J294" s="15"/>
      <c r="K294" s="15"/>
    </row>
    <row r="295" spans="2:11" x14ac:dyDescent="0.2">
      <c r="B295" s="90" t="s">
        <v>21</v>
      </c>
      <c r="C295" s="91" t="s">
        <v>18</v>
      </c>
      <c r="D295" s="112">
        <f>D291</f>
        <v>47890</v>
      </c>
      <c r="E295" s="159">
        <f>+D294*E294/1000</f>
        <v>2.76E-2</v>
      </c>
      <c r="F295" s="93">
        <f>D295*E295</f>
        <v>1321.7639999999999</v>
      </c>
      <c r="G295" s="55"/>
      <c r="J295" s="15"/>
      <c r="K295" s="15"/>
    </row>
    <row r="296" spans="2:11" x14ac:dyDescent="0.2">
      <c r="B296" s="90" t="s">
        <v>218</v>
      </c>
      <c r="C296" s="91" t="s">
        <v>19</v>
      </c>
      <c r="D296" s="158">
        <v>1.3</v>
      </c>
      <c r="E296" s="151">
        <v>19.899999999999999</v>
      </c>
      <c r="F296" s="93"/>
      <c r="G296" s="55"/>
      <c r="J296" s="15"/>
      <c r="K296" s="15"/>
    </row>
    <row r="297" spans="2:11" x14ac:dyDescent="0.2">
      <c r="B297" s="90" t="s">
        <v>22</v>
      </c>
      <c r="C297" s="91" t="s">
        <v>18</v>
      </c>
      <c r="D297" s="112">
        <f>D291</f>
        <v>47890</v>
      </c>
      <c r="E297" s="159">
        <f>+D296*E296/1000</f>
        <v>2.5869999999999997E-2</v>
      </c>
      <c r="F297" s="93">
        <f>D297*E297</f>
        <v>1238.9142999999999</v>
      </c>
      <c r="G297" s="55"/>
      <c r="J297" s="15"/>
      <c r="K297" s="15"/>
    </row>
    <row r="298" spans="2:11" x14ac:dyDescent="0.2">
      <c r="B298" s="90" t="s">
        <v>23</v>
      </c>
      <c r="C298" s="91" t="s">
        <v>24</v>
      </c>
      <c r="D298" s="158">
        <v>2</v>
      </c>
      <c r="E298" s="151">
        <v>50</v>
      </c>
      <c r="F298" s="93"/>
      <c r="G298" s="55"/>
      <c r="J298" s="15"/>
      <c r="K298" s="15"/>
    </row>
    <row r="299" spans="2:11" x14ac:dyDescent="0.2">
      <c r="B299" s="90" t="s">
        <v>25</v>
      </c>
      <c r="C299" s="91" t="s">
        <v>18</v>
      </c>
      <c r="D299" s="112">
        <f>D291</f>
        <v>47890</v>
      </c>
      <c r="E299" s="159">
        <f>+D298*E298/1000</f>
        <v>0.1</v>
      </c>
      <c r="F299" s="93">
        <f>D299*E299</f>
        <v>4789</v>
      </c>
      <c r="G299" s="55"/>
      <c r="J299" s="15"/>
      <c r="K299" s="15"/>
    </row>
    <row r="300" spans="2:11" ht="13.5" thickBot="1" x14ac:dyDescent="0.25">
      <c r="B300" s="106" t="s">
        <v>229</v>
      </c>
      <c r="C300" s="141" t="s">
        <v>127</v>
      </c>
      <c r="D300" s="160"/>
      <c r="E300" s="161">
        <f>IFERROR(E291+E293+E295+E297+E299,0)</f>
        <v>5.3767873333333327</v>
      </c>
      <c r="F300" s="93"/>
      <c r="G300" s="55"/>
      <c r="J300" s="15"/>
      <c r="K300" s="15"/>
    </row>
    <row r="301" spans="2:11" ht="13.5" thickBot="1" x14ac:dyDescent="0.25">
      <c r="B301" s="54"/>
      <c r="C301" s="54"/>
      <c r="D301" s="54"/>
      <c r="E301" s="55"/>
      <c r="F301" s="55"/>
      <c r="G301" s="133">
        <f>SUM(F290:F299)</f>
        <v>257494.34539333335</v>
      </c>
      <c r="J301" s="15"/>
      <c r="K301" s="15"/>
    </row>
    <row r="302" spans="2:11" x14ac:dyDescent="0.2">
      <c r="B302" s="54"/>
      <c r="C302" s="54"/>
      <c r="D302" s="54"/>
      <c r="E302" s="55"/>
      <c r="F302" s="55"/>
      <c r="G302" s="55"/>
      <c r="H302" s="17"/>
      <c r="I302" s="13"/>
      <c r="J302" s="15"/>
      <c r="K302" s="15"/>
    </row>
    <row r="303" spans="2:11" ht="13.5" thickBot="1" x14ac:dyDescent="0.25">
      <c r="B303" s="54" t="s">
        <v>55</v>
      </c>
      <c r="C303" s="54"/>
      <c r="D303" s="54"/>
      <c r="E303" s="55"/>
      <c r="F303" s="55"/>
      <c r="G303" s="55"/>
      <c r="H303" s="17"/>
      <c r="I303" s="13"/>
      <c r="J303" s="15"/>
      <c r="K303" s="15"/>
    </row>
    <row r="304" spans="2:11" ht="13.5" thickBot="1" x14ac:dyDescent="0.25">
      <c r="B304" s="82" t="s">
        <v>66</v>
      </c>
      <c r="C304" s="83" t="s">
        <v>67</v>
      </c>
      <c r="D304" s="83" t="s">
        <v>42</v>
      </c>
      <c r="E304" s="84" t="s">
        <v>215</v>
      </c>
      <c r="F304" s="84" t="s">
        <v>68</v>
      </c>
      <c r="G304" s="85" t="s">
        <v>306</v>
      </c>
      <c r="H304" s="17"/>
      <c r="I304" s="13"/>
      <c r="J304" s="15"/>
      <c r="K304" s="15"/>
    </row>
    <row r="305" spans="2:11" ht="13.5" thickBot="1" x14ac:dyDescent="0.25">
      <c r="B305" s="86" t="s">
        <v>125</v>
      </c>
      <c r="C305" s="87" t="s">
        <v>127</v>
      </c>
      <c r="D305" s="112">
        <f>D291</f>
        <v>47890</v>
      </c>
      <c r="E305" s="88">
        <v>0.75</v>
      </c>
      <c r="F305" s="89">
        <f>D305*E305</f>
        <v>35917.5</v>
      </c>
      <c r="G305" s="55"/>
      <c r="H305" s="17"/>
      <c r="I305" s="13"/>
      <c r="J305" s="15"/>
      <c r="K305" s="15"/>
    </row>
    <row r="306" spans="2:11" ht="13.5" thickBot="1" x14ac:dyDescent="0.25">
      <c r="B306" s="54"/>
      <c r="C306" s="54"/>
      <c r="D306" s="54"/>
      <c r="E306" s="55"/>
      <c r="F306" s="55"/>
      <c r="G306" s="133">
        <f>F305</f>
        <v>35917.5</v>
      </c>
      <c r="H306" s="17"/>
      <c r="I306" s="13"/>
      <c r="J306" s="15"/>
      <c r="K306" s="15"/>
    </row>
    <row r="307" spans="2:11" x14ac:dyDescent="0.2">
      <c r="B307" s="54"/>
      <c r="C307" s="54"/>
      <c r="D307" s="54"/>
      <c r="E307" s="55"/>
      <c r="F307" s="55"/>
      <c r="G307" s="55"/>
      <c r="H307" s="17"/>
      <c r="I307" s="13"/>
      <c r="J307" s="15"/>
      <c r="K307" s="15"/>
    </row>
    <row r="308" spans="2:11" ht="13.5" thickBot="1" x14ac:dyDescent="0.25">
      <c r="B308" s="54" t="s">
        <v>64</v>
      </c>
      <c r="C308" s="54"/>
      <c r="D308" s="54"/>
      <c r="E308" s="55"/>
      <c r="F308" s="55"/>
      <c r="G308" s="55"/>
      <c r="H308" s="17"/>
      <c r="I308" s="13"/>
      <c r="J308" s="15"/>
      <c r="K308" s="15"/>
    </row>
    <row r="309" spans="2:11" ht="13.5" thickBot="1" x14ac:dyDescent="0.25">
      <c r="B309" s="82" t="s">
        <v>66</v>
      </c>
      <c r="C309" s="83" t="s">
        <v>67</v>
      </c>
      <c r="D309" s="83" t="s">
        <v>42</v>
      </c>
      <c r="E309" s="84" t="s">
        <v>215</v>
      </c>
      <c r="F309" s="84" t="s">
        <v>68</v>
      </c>
      <c r="G309" s="85" t="s">
        <v>306</v>
      </c>
      <c r="H309" s="17"/>
      <c r="I309" s="13"/>
      <c r="J309" s="15"/>
      <c r="K309" s="15"/>
    </row>
    <row r="310" spans="2:11" x14ac:dyDescent="0.2">
      <c r="B310" s="86" t="s">
        <v>321</v>
      </c>
      <c r="C310" s="87" t="s">
        <v>10</v>
      </c>
      <c r="D310" s="162">
        <v>4</v>
      </c>
      <c r="E310" s="88">
        <v>2053.23</v>
      </c>
      <c r="F310" s="89">
        <f>D310*E310</f>
        <v>8212.92</v>
      </c>
      <c r="G310" s="55"/>
      <c r="H310" s="17"/>
      <c r="I310" s="13"/>
      <c r="J310" s="15"/>
      <c r="K310" s="15"/>
    </row>
    <row r="311" spans="2:11" x14ac:dyDescent="0.2">
      <c r="B311" s="86" t="s">
        <v>128</v>
      </c>
      <c r="C311" s="87" t="s">
        <v>10</v>
      </c>
      <c r="D311" s="162">
        <v>0</v>
      </c>
      <c r="E311" s="163"/>
      <c r="F311" s="89"/>
      <c r="G311" s="55"/>
      <c r="J311" s="15"/>
      <c r="K311" s="15"/>
    </row>
    <row r="312" spans="2:11" ht="11.25" customHeight="1" x14ac:dyDescent="0.2">
      <c r="B312" s="86" t="s">
        <v>73</v>
      </c>
      <c r="C312" s="87" t="s">
        <v>10</v>
      </c>
      <c r="D312" s="89">
        <f>D310*D311</f>
        <v>0</v>
      </c>
      <c r="E312" s="88">
        <v>558</v>
      </c>
      <c r="F312" s="89">
        <f>D312*E312</f>
        <v>0</v>
      </c>
      <c r="G312" s="55"/>
      <c r="J312" s="15"/>
      <c r="K312" s="15"/>
    </row>
    <row r="313" spans="2:11" x14ac:dyDescent="0.2">
      <c r="B313" s="90" t="s">
        <v>320</v>
      </c>
      <c r="C313" s="91" t="s">
        <v>26</v>
      </c>
      <c r="D313" s="164">
        <v>80000</v>
      </c>
      <c r="E313" s="93">
        <f>F310+F312</f>
        <v>8212.92</v>
      </c>
      <c r="F313" s="93">
        <f>IFERROR(E313/D313,"-")</f>
        <v>0.1026615</v>
      </c>
      <c r="G313" s="55"/>
      <c r="J313" s="15"/>
      <c r="K313" s="15"/>
    </row>
    <row r="314" spans="2:11" ht="13.5" thickBot="1" x14ac:dyDescent="0.25">
      <c r="B314" s="90" t="s">
        <v>57</v>
      </c>
      <c r="C314" s="91" t="s">
        <v>18</v>
      </c>
      <c r="D314" s="112">
        <f>C287</f>
        <v>47890</v>
      </c>
      <c r="E314" s="93">
        <f>F313</f>
        <v>0.1026615</v>
      </c>
      <c r="F314" s="93">
        <f>IFERROR(D314*E314,0)</f>
        <v>4916.4592350000003</v>
      </c>
      <c r="G314" s="55"/>
      <c r="J314" s="15"/>
      <c r="K314" s="15"/>
    </row>
    <row r="315" spans="2:11" ht="13.5" thickBot="1" x14ac:dyDescent="0.25">
      <c r="B315" s="54"/>
      <c r="C315" s="54"/>
      <c r="D315" s="54"/>
      <c r="E315" s="55"/>
      <c r="F315" s="55"/>
      <c r="G315" s="133">
        <f>F314</f>
        <v>4916.4592350000003</v>
      </c>
      <c r="J315" s="15"/>
      <c r="K315" s="15"/>
    </row>
    <row r="316" spans="2:11" x14ac:dyDescent="0.2">
      <c r="B316" s="54"/>
      <c r="C316" s="54"/>
      <c r="D316" s="54"/>
      <c r="E316" s="55"/>
      <c r="F316" s="55"/>
      <c r="G316" s="55"/>
      <c r="J316" s="15"/>
      <c r="K316" s="15"/>
    </row>
    <row r="317" spans="2:11" ht="11.25" customHeight="1" thickBot="1" x14ac:dyDescent="0.25">
      <c r="B317" s="54"/>
      <c r="C317" s="54"/>
      <c r="D317" s="54"/>
      <c r="E317" s="55"/>
      <c r="F317" s="55"/>
      <c r="G317" s="55"/>
      <c r="J317" s="15"/>
      <c r="K317" s="15"/>
    </row>
    <row r="318" spans="2:11" ht="13.5" thickBot="1" x14ac:dyDescent="0.25">
      <c r="B318" s="120" t="s">
        <v>207</v>
      </c>
      <c r="C318" s="121"/>
      <c r="D318" s="121"/>
      <c r="E318" s="51"/>
      <c r="F318" s="122"/>
      <c r="G318" s="133">
        <f>+SUM(G247:G317)</f>
        <v>391415.56186393334</v>
      </c>
      <c r="J318" s="15"/>
      <c r="K318" s="15"/>
    </row>
    <row r="319" spans="2:11" x14ac:dyDescent="0.2">
      <c r="B319" s="54"/>
      <c r="C319" s="54"/>
      <c r="D319" s="54"/>
      <c r="E319" s="55"/>
      <c r="F319" s="55"/>
      <c r="G319" s="55"/>
      <c r="J319" s="15"/>
      <c r="K319" s="15"/>
    </row>
    <row r="320" spans="2:11" x14ac:dyDescent="0.2">
      <c r="B320" s="79" t="s">
        <v>77</v>
      </c>
      <c r="C320" s="79"/>
      <c r="D320" s="79"/>
      <c r="E320" s="78"/>
      <c r="F320" s="78"/>
      <c r="G320" s="165"/>
      <c r="J320" s="15"/>
      <c r="K320" s="15"/>
    </row>
    <row r="321" spans="2:11" ht="13.5" thickBot="1" x14ac:dyDescent="0.25">
      <c r="B321" s="54"/>
      <c r="C321" s="54"/>
      <c r="D321" s="54"/>
      <c r="E321" s="55"/>
      <c r="F321" s="55"/>
      <c r="G321" s="55"/>
      <c r="J321" s="15"/>
      <c r="K321" s="15"/>
    </row>
    <row r="322" spans="2:11" ht="13.5" thickBot="1" x14ac:dyDescent="0.25">
      <c r="B322" s="82" t="s">
        <v>66</v>
      </c>
      <c r="C322" s="83" t="s">
        <v>67</v>
      </c>
      <c r="D322" s="83" t="s">
        <v>42</v>
      </c>
      <c r="E322" s="84" t="s">
        <v>215</v>
      </c>
      <c r="F322" s="84" t="s">
        <v>68</v>
      </c>
      <c r="G322" s="85" t="s">
        <v>306</v>
      </c>
      <c r="J322" s="15"/>
      <c r="K322" s="15"/>
    </row>
    <row r="323" spans="2:11" x14ac:dyDescent="0.2">
      <c r="B323" s="90" t="s">
        <v>74</v>
      </c>
      <c r="C323" s="91" t="s">
        <v>10</v>
      </c>
      <c r="D323" s="287">
        <v>0.33333333333333331</v>
      </c>
      <c r="E323" s="88">
        <v>56.61</v>
      </c>
      <c r="F323" s="93">
        <f>D323*E323</f>
        <v>18.869999999999997</v>
      </c>
      <c r="G323" s="166"/>
      <c r="J323" s="15"/>
      <c r="K323" s="15"/>
    </row>
    <row r="324" spans="2:11" x14ac:dyDescent="0.2">
      <c r="B324" s="90" t="s">
        <v>28</v>
      </c>
      <c r="C324" s="91" t="s">
        <v>10</v>
      </c>
      <c r="D324" s="287">
        <v>0.33333333333333331</v>
      </c>
      <c r="E324" s="88">
        <v>46.1</v>
      </c>
      <c r="F324" s="93">
        <f>D324*E324</f>
        <v>15.366666666666667</v>
      </c>
      <c r="G324" s="166"/>
      <c r="J324" s="15"/>
      <c r="K324" s="15"/>
    </row>
    <row r="325" spans="2:11" x14ac:dyDescent="0.2">
      <c r="B325" s="90" t="s">
        <v>29</v>
      </c>
      <c r="C325" s="91" t="s">
        <v>10</v>
      </c>
      <c r="D325" s="287">
        <v>0.33333333333333331</v>
      </c>
      <c r="E325" s="88">
        <v>13.39</v>
      </c>
      <c r="F325" s="93">
        <f>D325*E325</f>
        <v>4.4633333333333329</v>
      </c>
      <c r="G325" s="166"/>
      <c r="J325" s="15"/>
      <c r="K325" s="15"/>
    </row>
    <row r="326" spans="2:11" ht="11.25" customHeight="1" x14ac:dyDescent="0.2">
      <c r="B326" s="90" t="s">
        <v>319</v>
      </c>
      <c r="C326" s="91" t="s">
        <v>10</v>
      </c>
      <c r="D326" s="287">
        <v>1</v>
      </c>
      <c r="E326" s="88">
        <v>6250</v>
      </c>
      <c r="F326" s="93">
        <f>D326*E326</f>
        <v>6250</v>
      </c>
      <c r="G326" s="166"/>
      <c r="H326" s="5"/>
    </row>
    <row r="327" spans="2:11" ht="11.25" customHeight="1" x14ac:dyDescent="0.2">
      <c r="B327" s="90" t="s">
        <v>59</v>
      </c>
      <c r="C327" s="90" t="s">
        <v>60</v>
      </c>
      <c r="D327" s="288">
        <v>0.33333333333333331</v>
      </c>
      <c r="E327" s="286">
        <v>85</v>
      </c>
      <c r="F327" s="93">
        <f t="shared" ref="F327:F329" si="6">D327*E327</f>
        <v>28.333333333333332</v>
      </c>
      <c r="G327" s="166"/>
      <c r="H327" s="5"/>
    </row>
    <row r="328" spans="2:11" ht="11.25" customHeight="1" thickBot="1" x14ac:dyDescent="0.25">
      <c r="B328" s="90" t="s">
        <v>62</v>
      </c>
      <c r="C328" s="90" t="s">
        <v>60</v>
      </c>
      <c r="D328" s="288">
        <v>0.33333333333333331</v>
      </c>
      <c r="E328" s="286">
        <v>305</v>
      </c>
      <c r="F328" s="93">
        <f t="shared" si="6"/>
        <v>101.66666666666666</v>
      </c>
      <c r="G328" s="166"/>
      <c r="H328" s="5"/>
    </row>
    <row r="329" spans="2:11" ht="13.5" thickBot="1" x14ac:dyDescent="0.25">
      <c r="B329" s="79"/>
      <c r="C329" s="79"/>
      <c r="D329" s="79"/>
      <c r="E329" s="79"/>
      <c r="F329" s="93">
        <f t="shared" si="6"/>
        <v>0</v>
      </c>
      <c r="G329" s="133">
        <f>SUM(F323:F328)</f>
        <v>6418.7</v>
      </c>
      <c r="H329" s="5"/>
    </row>
    <row r="330" spans="2:11" ht="11.25" customHeight="1" thickBot="1" x14ac:dyDescent="0.25">
      <c r="B330" s="54"/>
      <c r="C330" s="54"/>
      <c r="D330" s="54"/>
      <c r="E330" s="55"/>
      <c r="F330" s="55"/>
      <c r="G330" s="55"/>
      <c r="H330" s="5"/>
    </row>
    <row r="331" spans="2:11" ht="13.5" thickBot="1" x14ac:dyDescent="0.25">
      <c r="B331" s="120" t="s">
        <v>208</v>
      </c>
      <c r="C331" s="121"/>
      <c r="D331" s="121"/>
      <c r="E331" s="51"/>
      <c r="F331" s="122"/>
      <c r="G331" s="133">
        <f>+G329</f>
        <v>6418.7</v>
      </c>
      <c r="H331" s="5"/>
    </row>
    <row r="332" spans="2:11" ht="11.25" customHeight="1" x14ac:dyDescent="0.2">
      <c r="B332" s="54"/>
      <c r="C332" s="54"/>
      <c r="D332" s="54"/>
      <c r="E332" s="55"/>
      <c r="F332" s="55"/>
      <c r="G332" s="55"/>
      <c r="H332" s="5"/>
    </row>
    <row r="333" spans="2:11" x14ac:dyDescent="0.2">
      <c r="B333" s="79" t="s">
        <v>78</v>
      </c>
      <c r="C333" s="79"/>
      <c r="D333" s="79"/>
      <c r="E333" s="78"/>
      <c r="F333" s="78"/>
      <c r="G333" s="165"/>
      <c r="H333" s="5"/>
    </row>
    <row r="334" spans="2:11" ht="13.5" thickBot="1" x14ac:dyDescent="0.25">
      <c r="B334" s="54"/>
      <c r="C334" s="54"/>
      <c r="D334" s="54"/>
      <c r="E334" s="55"/>
      <c r="F334" s="55"/>
      <c r="G334" s="55"/>
      <c r="H334" s="5"/>
    </row>
    <row r="335" spans="2:11" ht="13.5" thickBot="1" x14ac:dyDescent="0.25">
      <c r="B335" s="82" t="s">
        <v>66</v>
      </c>
      <c r="C335" s="83" t="s">
        <v>67</v>
      </c>
      <c r="D335" s="83" t="s">
        <v>42</v>
      </c>
      <c r="E335" s="84" t="s">
        <v>215</v>
      </c>
      <c r="F335" s="84" t="s">
        <v>68</v>
      </c>
      <c r="G335" s="85" t="s">
        <v>306</v>
      </c>
      <c r="H335" s="5"/>
    </row>
    <row r="336" spans="2:11" x14ac:dyDescent="0.2">
      <c r="B336" s="90" t="s">
        <v>205</v>
      </c>
      <c r="C336" s="167" t="s">
        <v>60</v>
      </c>
      <c r="D336" s="129">
        <f>F47</f>
        <v>9</v>
      </c>
      <c r="E336" s="151">
        <v>350</v>
      </c>
      <c r="F336" s="93">
        <f>+E336*D336</f>
        <v>3150</v>
      </c>
      <c r="G336" s="166"/>
      <c r="H336" s="5"/>
    </row>
    <row r="337" spans="2:8" x14ac:dyDescent="0.2">
      <c r="B337" s="90" t="s">
        <v>63</v>
      </c>
      <c r="C337" s="167" t="s">
        <v>8</v>
      </c>
      <c r="D337" s="168">
        <v>60</v>
      </c>
      <c r="E337" s="169">
        <f>SUM(F336:F336)</f>
        <v>3150</v>
      </c>
      <c r="F337" s="169">
        <f>+E337/D337</f>
        <v>52.5</v>
      </c>
      <c r="G337" s="166"/>
      <c r="H337" s="5"/>
    </row>
    <row r="338" spans="2:8" x14ac:dyDescent="0.2">
      <c r="B338" s="90" t="s">
        <v>206</v>
      </c>
      <c r="C338" s="91" t="s">
        <v>10</v>
      </c>
      <c r="D338" s="129">
        <f>+D336</f>
        <v>9</v>
      </c>
      <c r="E338" s="151">
        <v>150</v>
      </c>
      <c r="F338" s="93">
        <f>D338*E338</f>
        <v>1350</v>
      </c>
      <c r="G338" s="166"/>
      <c r="H338" s="5"/>
    </row>
    <row r="339" spans="2:8" ht="13.5" thickBot="1" x14ac:dyDescent="0.25">
      <c r="B339" s="90" t="s">
        <v>39</v>
      </c>
      <c r="C339" s="167" t="s">
        <v>8</v>
      </c>
      <c r="D339" s="168">
        <v>1</v>
      </c>
      <c r="E339" s="169">
        <f>+F338</f>
        <v>1350</v>
      </c>
      <c r="F339" s="169">
        <f>+E339/D339</f>
        <v>1350</v>
      </c>
      <c r="G339" s="166"/>
      <c r="H339" s="5"/>
    </row>
    <row r="340" spans="2:8" ht="11.25" customHeight="1" thickBot="1" x14ac:dyDescent="0.25">
      <c r="B340" s="170"/>
      <c r="C340" s="170"/>
      <c r="D340" s="170"/>
      <c r="E340" s="101" t="s">
        <v>181</v>
      </c>
      <c r="F340" s="102">
        <f>$C$51</f>
        <v>1</v>
      </c>
      <c r="G340" s="171">
        <f>(F337+F339)*F340</f>
        <v>1402.5</v>
      </c>
      <c r="H340" s="5"/>
    </row>
    <row r="341" spans="2:8" ht="13.5" thickBot="1" x14ac:dyDescent="0.25">
      <c r="B341" s="54"/>
      <c r="C341" s="54"/>
      <c r="D341" s="54"/>
      <c r="E341" s="55"/>
      <c r="F341" s="55"/>
      <c r="G341" s="55"/>
      <c r="H341" s="5"/>
    </row>
    <row r="342" spans="2:8" ht="11.25" customHeight="1" thickBot="1" x14ac:dyDescent="0.25">
      <c r="B342" s="120" t="s">
        <v>204</v>
      </c>
      <c r="C342" s="121"/>
      <c r="D342" s="121"/>
      <c r="E342" s="51"/>
      <c r="F342" s="122"/>
      <c r="G342" s="133">
        <f>+G340</f>
        <v>1402.5</v>
      </c>
      <c r="H342" s="5"/>
    </row>
    <row r="343" spans="2:8" ht="13.5" thickBot="1" x14ac:dyDescent="0.25">
      <c r="B343" s="54"/>
      <c r="C343" s="54"/>
      <c r="D343" s="54"/>
      <c r="E343" s="55"/>
      <c r="F343" s="55"/>
      <c r="G343" s="55"/>
    </row>
    <row r="344" spans="2:8" ht="11.25" customHeight="1" thickBot="1" x14ac:dyDescent="0.25">
      <c r="B344" s="120" t="s">
        <v>209</v>
      </c>
      <c r="C344" s="130"/>
      <c r="D344" s="130"/>
      <c r="E344" s="131"/>
      <c r="F344" s="132"/>
      <c r="G344" s="116">
        <f>+G205+G239+G318+G331+G342</f>
        <v>851054.70573334466</v>
      </c>
    </row>
    <row r="345" spans="2:8" x14ac:dyDescent="0.2">
      <c r="B345" s="54"/>
      <c r="C345" s="54"/>
      <c r="D345" s="54"/>
      <c r="E345" s="55"/>
      <c r="F345" s="55"/>
      <c r="G345" s="55"/>
    </row>
    <row r="346" spans="2:8" x14ac:dyDescent="0.2">
      <c r="B346" s="81" t="s">
        <v>93</v>
      </c>
      <c r="C346" s="54"/>
      <c r="D346" s="54"/>
      <c r="E346" s="55"/>
      <c r="F346" s="55"/>
      <c r="G346" s="55"/>
    </row>
    <row r="347" spans="2:8" ht="13.5" thickBot="1" x14ac:dyDescent="0.25">
      <c r="B347" s="54"/>
      <c r="C347" s="54"/>
      <c r="D347" s="54"/>
      <c r="E347" s="55"/>
      <c r="F347" s="55"/>
      <c r="G347" s="55"/>
    </row>
    <row r="348" spans="2:8" ht="13.5" thickBot="1" x14ac:dyDescent="0.25">
      <c r="B348" s="82" t="s">
        <v>66</v>
      </c>
      <c r="C348" s="83" t="s">
        <v>67</v>
      </c>
      <c r="D348" s="83" t="s">
        <v>42</v>
      </c>
      <c r="E348" s="84" t="s">
        <v>215</v>
      </c>
      <c r="F348" s="84" t="s">
        <v>68</v>
      </c>
      <c r="G348" s="85" t="s">
        <v>306</v>
      </c>
    </row>
    <row r="349" spans="2:8" ht="13.5" thickBot="1" x14ac:dyDescent="0.25">
      <c r="B349" s="86" t="s">
        <v>38</v>
      </c>
      <c r="C349" s="87" t="s">
        <v>2</v>
      </c>
      <c r="D349" s="99">
        <f>'4.BDI'!C14*100</f>
        <v>24.92</v>
      </c>
      <c r="E349" s="89">
        <f>+G344</f>
        <v>851054.70573334466</v>
      </c>
      <c r="F349" s="89">
        <f>D349*E349/100</f>
        <v>212082.8326687495</v>
      </c>
      <c r="G349" s="55"/>
    </row>
    <row r="350" spans="2:8" ht="13.5" thickBot="1" x14ac:dyDescent="0.25">
      <c r="B350" s="54"/>
      <c r="C350" s="54"/>
      <c r="D350" s="54"/>
      <c r="E350" s="55"/>
      <c r="F350" s="55"/>
      <c r="G350" s="133">
        <f>+F349</f>
        <v>212082.8326687495</v>
      </c>
    </row>
    <row r="351" spans="2:8" s="12" customFormat="1" ht="11.25" customHeight="1" thickBot="1" x14ac:dyDescent="0.25">
      <c r="B351" s="54"/>
      <c r="C351" s="54"/>
      <c r="D351" s="54"/>
      <c r="E351" s="55"/>
      <c r="F351" s="55"/>
      <c r="G351" s="55"/>
      <c r="H351" s="14"/>
    </row>
    <row r="352" spans="2:8" ht="13.5" thickBot="1" x14ac:dyDescent="0.25">
      <c r="B352" s="120" t="s">
        <v>220</v>
      </c>
      <c r="C352" s="130"/>
      <c r="D352" s="130"/>
      <c r="E352" s="131"/>
      <c r="F352" s="132"/>
      <c r="G352" s="116">
        <f>G350</f>
        <v>212082.8326687495</v>
      </c>
    </row>
    <row r="353" spans="2:7" ht="11.25" customHeight="1" x14ac:dyDescent="0.2">
      <c r="B353" s="79"/>
      <c r="C353" s="79"/>
      <c r="D353" s="79"/>
      <c r="E353" s="78"/>
      <c r="F353" s="78"/>
      <c r="G353" s="165"/>
    </row>
    <row r="354" spans="2:7" ht="17.25" customHeight="1" thickBot="1" x14ac:dyDescent="0.25">
      <c r="B354" s="54"/>
      <c r="C354" s="54"/>
      <c r="D354" s="54"/>
      <c r="E354" s="55"/>
      <c r="F354" s="55"/>
      <c r="G354" s="55"/>
    </row>
    <row r="355" spans="2:7" ht="11.25" customHeight="1" thickBot="1" x14ac:dyDescent="0.25">
      <c r="B355" s="120" t="s">
        <v>210</v>
      </c>
      <c r="C355" s="130"/>
      <c r="D355" s="130"/>
      <c r="E355" s="131"/>
      <c r="F355" s="132"/>
      <c r="G355" s="116">
        <v>1063148.1299999999</v>
      </c>
    </row>
    <row r="356" spans="2:7" ht="15.75" x14ac:dyDescent="0.2">
      <c r="B356" s="172"/>
      <c r="C356" s="172"/>
      <c r="D356" s="172"/>
      <c r="E356" s="173"/>
      <c r="F356" s="173"/>
      <c r="G356" s="173"/>
    </row>
    <row r="357" spans="2:7" ht="11.25" customHeight="1" thickBot="1" x14ac:dyDescent="0.25">
      <c r="B357" s="174"/>
      <c r="C357" s="174"/>
      <c r="D357" s="174"/>
      <c r="E357" s="175"/>
      <c r="F357" s="175"/>
      <c r="G357" s="55"/>
    </row>
    <row r="358" spans="2:7" ht="13.5" thickBot="1" x14ac:dyDescent="0.25">
      <c r="B358" s="176" t="s">
        <v>203</v>
      </c>
      <c r="C358" s="60"/>
      <c r="D358" s="60"/>
      <c r="E358" s="289">
        <v>3201</v>
      </c>
      <c r="F358" s="132" t="s">
        <v>27</v>
      </c>
      <c r="G358" s="55"/>
    </row>
    <row r="359" spans="2:7" ht="13.5" thickBot="1" x14ac:dyDescent="0.25">
      <c r="B359" s="54"/>
      <c r="C359" s="54"/>
      <c r="D359" s="54"/>
      <c r="E359" s="55"/>
      <c r="F359" s="55"/>
      <c r="G359" s="55"/>
    </row>
    <row r="360" spans="2:7" ht="13.5" thickBot="1" x14ac:dyDescent="0.25">
      <c r="B360" s="120" t="s">
        <v>72</v>
      </c>
      <c r="C360" s="121"/>
      <c r="D360" s="121"/>
      <c r="E360" s="51"/>
      <c r="F360" s="177" t="s">
        <v>34</v>
      </c>
      <c r="G360" s="342">
        <f>IFERROR(G355/E358,"-")</f>
        <v>332.12999999999994</v>
      </c>
    </row>
    <row r="361" spans="2:7" ht="11.25" customHeight="1" x14ac:dyDescent="0.2">
      <c r="B361" s="79"/>
      <c r="C361" s="79"/>
      <c r="D361" s="79"/>
      <c r="E361" s="78"/>
      <c r="F361" s="78"/>
      <c r="G361" s="303"/>
    </row>
    <row r="362" spans="2:7" ht="15.75" x14ac:dyDescent="0.2">
      <c r="B362" s="178"/>
      <c r="C362" s="55"/>
      <c r="D362" s="55"/>
      <c r="E362" s="55"/>
      <c r="F362" s="55"/>
      <c r="G362" s="55"/>
    </row>
    <row r="363" spans="2:7" ht="15.75" x14ac:dyDescent="0.2">
      <c r="B363" s="178"/>
      <c r="C363" s="55"/>
      <c r="D363" s="55"/>
      <c r="E363" s="55"/>
      <c r="F363" s="55"/>
      <c r="G363" s="55"/>
    </row>
    <row r="364" spans="2:7" ht="11.25" customHeight="1" x14ac:dyDescent="0.2">
      <c r="B364" s="178"/>
      <c r="C364" s="55"/>
      <c r="D364" s="55"/>
      <c r="E364" s="55"/>
      <c r="F364" s="55"/>
      <c r="G364" s="55"/>
    </row>
    <row r="365" spans="2:7" ht="24.75" customHeight="1" x14ac:dyDescent="0.2"/>
    <row r="366" spans="2:7" ht="12.6" customHeight="1" x14ac:dyDescent="0.2"/>
    <row r="368" spans="2:7" ht="16.149999999999999" customHeight="1" x14ac:dyDescent="0.2"/>
    <row r="370" spans="2:8" ht="25.5" customHeight="1" x14ac:dyDescent="0.2"/>
    <row r="371" spans="2:8" ht="12.6" customHeight="1" x14ac:dyDescent="0.2"/>
    <row r="372" spans="2:8" s="2" customFormat="1" ht="9.75" customHeight="1" x14ac:dyDescent="0.2">
      <c r="B372" s="5"/>
      <c r="C372" s="5"/>
      <c r="D372" s="5"/>
      <c r="E372" s="6"/>
      <c r="F372" s="6"/>
      <c r="G372" s="6"/>
      <c r="H372" s="3"/>
    </row>
    <row r="373" spans="2:8" s="2" customFormat="1" ht="9.75" customHeight="1" x14ac:dyDescent="0.2">
      <c r="B373" s="5"/>
      <c r="C373" s="5"/>
      <c r="D373" s="5"/>
      <c r="E373" s="6"/>
      <c r="F373" s="6"/>
      <c r="G373" s="6"/>
      <c r="H373" s="3"/>
    </row>
    <row r="374" spans="2:8" s="2" customFormat="1" ht="9.75" customHeight="1" x14ac:dyDescent="0.2">
      <c r="B374" s="5"/>
      <c r="C374" s="5"/>
      <c r="D374" s="5"/>
      <c r="E374" s="6"/>
      <c r="F374" s="6"/>
      <c r="G374" s="6"/>
      <c r="H374" s="3"/>
    </row>
    <row r="394" spans="5:7" x14ac:dyDescent="0.2">
      <c r="E394" s="5"/>
      <c r="F394" s="5"/>
      <c r="G394" s="5"/>
    </row>
    <row r="404" spans="8:8" ht="9" customHeight="1" x14ac:dyDescent="0.2">
      <c r="H404" s="5"/>
    </row>
  </sheetData>
  <mergeCells count="7">
    <mergeCell ref="B46:E46"/>
    <mergeCell ref="B19:D19"/>
    <mergeCell ref="B2:G2"/>
    <mergeCell ref="B3:G3"/>
    <mergeCell ref="B35:E35"/>
    <mergeCell ref="B5:G5"/>
    <mergeCell ref="B34:F34"/>
  </mergeCells>
  <phoneticPr fontId="8" type="noConversion"/>
  <hyperlinks>
    <hyperlink ref="B261" location="AbaRemun" display="3.1.2. Remuneração do Capital"/>
    <hyperlink ref="B245" location="AbaDeprec" display="3.1.1. Depreciação"/>
  </hyperlinks>
  <pageMargins left="0.9055118110236221" right="0.51181102362204722" top="0.74803149606299213" bottom="0.74803149606299213" header="0.31496062992125984" footer="0.31496062992125984"/>
  <pageSetup paperSize="9" scale="76" fitToHeight="0" orientation="portrait" r:id="rId1"/>
  <headerFooter alignWithMargins="0">
    <oddFooter>&amp;R&amp;P de &amp;N</oddFooter>
  </headerFooter>
  <rowBreaks count="4" manualBreakCount="4">
    <brk id="53" min="1" max="6" man="1"/>
    <brk id="181" min="1" max="6" man="1"/>
    <brk id="240" min="1" max="6" man="1"/>
    <brk id="307" min="1" max="6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66"/>
  <sheetViews>
    <sheetView zoomScaleNormal="100" workbookViewId="0">
      <selection activeCell="G42" sqref="B2:G42"/>
    </sheetView>
  </sheetViews>
  <sheetFormatPr defaultColWidth="9.140625" defaultRowHeight="12.75" x14ac:dyDescent="0.2"/>
  <cols>
    <col min="1" max="1" width="2.85546875" style="1" customWidth="1"/>
    <col min="2" max="2" width="10.85546875" style="22" bestFit="1" customWidth="1"/>
    <col min="3" max="3" width="30.140625" style="1" customWidth="1"/>
    <col min="4" max="4" width="10.7109375" style="1" customWidth="1"/>
    <col min="5" max="5" width="15.42578125" style="1" customWidth="1"/>
    <col min="6" max="6" width="10.85546875" style="1" customWidth="1"/>
    <col min="7" max="7" width="15.85546875" style="1" customWidth="1"/>
    <col min="8" max="8" width="9.140625" style="1"/>
    <col min="9" max="9" width="11" style="1" bestFit="1" customWidth="1"/>
    <col min="10" max="16384" width="9.140625" style="1"/>
  </cols>
  <sheetData>
    <row r="1" spans="2:10" ht="13.5" thickBot="1" x14ac:dyDescent="0.25"/>
    <row r="2" spans="2:10" ht="12.75" customHeight="1" thickBot="1" x14ac:dyDescent="0.25">
      <c r="B2" s="362" t="s">
        <v>265</v>
      </c>
      <c r="C2" s="363"/>
      <c r="D2" s="360" t="s">
        <v>266</v>
      </c>
      <c r="E2" s="361"/>
      <c r="F2" s="360" t="s">
        <v>267</v>
      </c>
      <c r="G2" s="361"/>
    </row>
    <row r="3" spans="2:10" s="2" customFormat="1" ht="15.6" customHeight="1" thickBot="1" x14ac:dyDescent="0.25">
      <c r="B3" s="364"/>
      <c r="C3" s="365"/>
      <c r="D3" s="366" t="s">
        <v>268</v>
      </c>
      <c r="E3" s="367"/>
      <c r="F3" s="368" t="s">
        <v>269</v>
      </c>
      <c r="G3" s="369"/>
    </row>
    <row r="4" spans="2:10" ht="29.25" thickBot="1" x14ac:dyDescent="0.25">
      <c r="B4" s="304" t="s">
        <v>270</v>
      </c>
      <c r="C4" s="305" t="s">
        <v>271</v>
      </c>
      <c r="D4" s="305" t="s">
        <v>272</v>
      </c>
      <c r="E4" s="305" t="s">
        <v>273</v>
      </c>
      <c r="F4" s="306" t="s">
        <v>272</v>
      </c>
      <c r="G4" s="307" t="s">
        <v>273</v>
      </c>
    </row>
    <row r="5" spans="2:10" ht="15" x14ac:dyDescent="0.2">
      <c r="B5" s="308"/>
      <c r="C5" s="308"/>
      <c r="D5" s="309" t="s">
        <v>2</v>
      </c>
      <c r="E5" s="310" t="s">
        <v>2</v>
      </c>
      <c r="F5" s="311" t="s">
        <v>2</v>
      </c>
      <c r="G5" s="312" t="s">
        <v>2</v>
      </c>
    </row>
    <row r="6" spans="2:10" ht="15" x14ac:dyDescent="0.2">
      <c r="B6" s="313" t="s">
        <v>274</v>
      </c>
      <c r="C6" s="314"/>
      <c r="D6" s="314"/>
      <c r="E6" s="315"/>
      <c r="F6" s="316"/>
      <c r="G6" s="317"/>
    </row>
    <row r="7" spans="2:10" ht="15" x14ac:dyDescent="0.2">
      <c r="B7" s="313" t="s">
        <v>147</v>
      </c>
      <c r="C7" s="314" t="s">
        <v>43</v>
      </c>
      <c r="D7" s="318">
        <v>0</v>
      </c>
      <c r="E7" s="319">
        <v>0</v>
      </c>
      <c r="F7" s="320">
        <v>0.2</v>
      </c>
      <c r="G7" s="321">
        <v>0.2</v>
      </c>
      <c r="H7" s="22"/>
      <c r="I7" s="22"/>
      <c r="J7" s="22"/>
    </row>
    <row r="8" spans="2:10" ht="15" x14ac:dyDescent="0.2">
      <c r="B8" s="313" t="s">
        <v>148</v>
      </c>
      <c r="C8" s="314" t="s">
        <v>149</v>
      </c>
      <c r="D8" s="318">
        <v>1.4999999999999999E-2</v>
      </c>
      <c r="E8" s="319">
        <v>1.4999999999999999E-2</v>
      </c>
      <c r="F8" s="320">
        <v>1.4999999999999999E-2</v>
      </c>
      <c r="G8" s="321">
        <v>1.4999999999999999E-2</v>
      </c>
      <c r="H8" s="22"/>
      <c r="I8" s="22"/>
      <c r="J8" s="22"/>
    </row>
    <row r="9" spans="2:10" ht="15" x14ac:dyDescent="0.2">
      <c r="B9" s="313" t="s">
        <v>150</v>
      </c>
      <c r="C9" s="314" t="s">
        <v>151</v>
      </c>
      <c r="D9" s="318">
        <v>0.01</v>
      </c>
      <c r="E9" s="319">
        <v>0.01</v>
      </c>
      <c r="F9" s="320">
        <v>0.01</v>
      </c>
      <c r="G9" s="321">
        <v>0.01</v>
      </c>
      <c r="H9" s="22"/>
      <c r="I9" s="22"/>
      <c r="J9" s="22"/>
    </row>
    <row r="10" spans="2:10" ht="15" x14ac:dyDescent="0.2">
      <c r="B10" s="313" t="s">
        <v>152</v>
      </c>
      <c r="C10" s="314" t="s">
        <v>153</v>
      </c>
      <c r="D10" s="318">
        <v>2E-3</v>
      </c>
      <c r="E10" s="319">
        <v>2E-3</v>
      </c>
      <c r="F10" s="320">
        <v>2E-3</v>
      </c>
      <c r="G10" s="321">
        <v>2E-3</v>
      </c>
      <c r="H10" s="22"/>
      <c r="I10" s="22"/>
      <c r="J10" s="22"/>
    </row>
    <row r="11" spans="2:10" ht="15" x14ac:dyDescent="0.2">
      <c r="B11" s="313" t="s">
        <v>154</v>
      </c>
      <c r="C11" s="314" t="s">
        <v>155</v>
      </c>
      <c r="D11" s="318">
        <v>6.0000000000000001E-3</v>
      </c>
      <c r="E11" s="319">
        <v>6.0000000000000001E-3</v>
      </c>
      <c r="F11" s="320">
        <v>6.0000000000000001E-3</v>
      </c>
      <c r="G11" s="321">
        <v>6.0000000000000001E-3</v>
      </c>
      <c r="H11" s="22"/>
      <c r="I11" s="22"/>
      <c r="J11" s="22"/>
    </row>
    <row r="12" spans="2:10" ht="15" x14ac:dyDescent="0.2">
      <c r="B12" s="313" t="s">
        <v>156</v>
      </c>
      <c r="C12" s="314" t="s">
        <v>275</v>
      </c>
      <c r="D12" s="318">
        <v>2.5000000000000001E-2</v>
      </c>
      <c r="E12" s="319">
        <v>2.5000000000000001E-2</v>
      </c>
      <c r="F12" s="320">
        <v>2.5000000000000001E-2</v>
      </c>
      <c r="G12" s="321">
        <v>2.5000000000000001E-2</v>
      </c>
      <c r="H12" s="22"/>
      <c r="I12" s="22"/>
      <c r="J12" s="22"/>
    </row>
    <row r="13" spans="2:10" ht="27.75" customHeight="1" x14ac:dyDescent="0.2">
      <c r="B13" s="313" t="s">
        <v>157</v>
      </c>
      <c r="C13" s="314" t="s">
        <v>276</v>
      </c>
      <c r="D13" s="318">
        <v>0.03</v>
      </c>
      <c r="E13" s="319">
        <v>0.03</v>
      </c>
      <c r="F13" s="320">
        <v>0.03</v>
      </c>
      <c r="G13" s="321">
        <v>0.03</v>
      </c>
      <c r="H13" s="22"/>
      <c r="I13" s="22"/>
      <c r="J13" s="22"/>
    </row>
    <row r="14" spans="2:10" ht="15" x14ac:dyDescent="0.2">
      <c r="B14" s="313" t="s">
        <v>158</v>
      </c>
      <c r="C14" s="314" t="s">
        <v>44</v>
      </c>
      <c r="D14" s="318">
        <v>0.08</v>
      </c>
      <c r="E14" s="319">
        <v>0.08</v>
      </c>
      <c r="F14" s="320">
        <v>0.08</v>
      </c>
      <c r="G14" s="321">
        <v>0.08</v>
      </c>
      <c r="H14" s="22"/>
      <c r="I14" s="22"/>
      <c r="J14" s="22"/>
    </row>
    <row r="15" spans="2:10" ht="15.75" thickBot="1" x14ac:dyDescent="0.25">
      <c r="B15" s="322" t="s">
        <v>277</v>
      </c>
      <c r="C15" s="323" t="s">
        <v>278</v>
      </c>
      <c r="D15" s="324">
        <v>0.01</v>
      </c>
      <c r="E15" s="325">
        <v>0.01</v>
      </c>
      <c r="F15" s="326">
        <v>0.01</v>
      </c>
      <c r="G15" s="327">
        <v>0.01</v>
      </c>
      <c r="H15" s="22"/>
      <c r="I15" s="22"/>
      <c r="J15" s="22"/>
    </row>
    <row r="16" spans="2:10" ht="15" thickBot="1" x14ac:dyDescent="0.25">
      <c r="B16" s="304" t="s">
        <v>159</v>
      </c>
      <c r="C16" s="305" t="s">
        <v>279</v>
      </c>
      <c r="D16" s="328">
        <v>0.17799999999999999</v>
      </c>
      <c r="E16" s="329">
        <v>0.17799999999999999</v>
      </c>
      <c r="F16" s="330">
        <v>0.378</v>
      </c>
      <c r="G16" s="331">
        <v>0.378</v>
      </c>
      <c r="H16" s="22"/>
      <c r="I16" s="22"/>
      <c r="J16" s="22"/>
    </row>
    <row r="17" spans="2:10" ht="15" x14ac:dyDescent="0.2">
      <c r="B17" s="332" t="s">
        <v>280</v>
      </c>
      <c r="C17" s="308"/>
      <c r="D17" s="308"/>
      <c r="E17" s="333"/>
      <c r="F17" s="334"/>
      <c r="G17" s="335"/>
      <c r="H17" s="22"/>
      <c r="I17" s="22"/>
      <c r="J17" s="22"/>
    </row>
    <row r="18" spans="2:10" ht="15" x14ac:dyDescent="0.2">
      <c r="B18" s="313" t="s">
        <v>160</v>
      </c>
      <c r="C18" s="314" t="s">
        <v>281</v>
      </c>
      <c r="D18" s="318">
        <v>0.17899999999999999</v>
      </c>
      <c r="E18" s="315" t="s">
        <v>282</v>
      </c>
      <c r="F18" s="320">
        <v>0.17899999999999999</v>
      </c>
      <c r="G18" s="317" t="s">
        <v>282</v>
      </c>
      <c r="H18" s="22"/>
      <c r="I18" s="22"/>
      <c r="J18" s="22"/>
    </row>
    <row r="19" spans="2:10" ht="15" x14ac:dyDescent="0.2">
      <c r="B19" s="313" t="s">
        <v>161</v>
      </c>
      <c r="C19" s="314" t="s">
        <v>283</v>
      </c>
      <c r="D19" s="318">
        <v>3.6999999999999998E-2</v>
      </c>
      <c r="E19" s="315" t="s">
        <v>282</v>
      </c>
      <c r="F19" s="320">
        <v>3.6999999999999998E-2</v>
      </c>
      <c r="G19" s="317" t="s">
        <v>282</v>
      </c>
      <c r="H19" s="22"/>
      <c r="I19" s="22"/>
      <c r="J19" s="22"/>
    </row>
    <row r="20" spans="2:10" ht="15" x14ac:dyDescent="0.2">
      <c r="B20" s="313" t="s">
        <v>201</v>
      </c>
      <c r="C20" s="314" t="s">
        <v>284</v>
      </c>
      <c r="D20" s="318">
        <v>8.8000000000000005E-3</v>
      </c>
      <c r="E20" s="319">
        <v>6.6E-3</v>
      </c>
      <c r="F20" s="320">
        <v>8.8000000000000005E-3</v>
      </c>
      <c r="G20" s="321">
        <v>6.6E-3</v>
      </c>
      <c r="H20" s="22"/>
      <c r="I20" s="22"/>
      <c r="J20" s="22"/>
    </row>
    <row r="21" spans="2:10" ht="15" x14ac:dyDescent="0.2">
      <c r="B21" s="313" t="s">
        <v>162</v>
      </c>
      <c r="C21" s="314" t="s">
        <v>285</v>
      </c>
      <c r="D21" s="318">
        <v>0.11119999999999999</v>
      </c>
      <c r="E21" s="319">
        <v>8.3299999999999999E-2</v>
      </c>
      <c r="F21" s="320">
        <v>0.11119999999999999</v>
      </c>
      <c r="G21" s="321">
        <v>8.3299999999999999E-2</v>
      </c>
      <c r="H21" s="22"/>
      <c r="I21" s="22"/>
      <c r="J21" s="22"/>
    </row>
    <row r="22" spans="2:10" ht="15" x14ac:dyDescent="0.2">
      <c r="B22" s="313" t="s">
        <v>164</v>
      </c>
      <c r="C22" s="314" t="s">
        <v>163</v>
      </c>
      <c r="D22" s="318">
        <v>6.9999999999999999E-4</v>
      </c>
      <c r="E22" s="319">
        <v>5.0000000000000001E-4</v>
      </c>
      <c r="F22" s="320">
        <v>6.9999999999999999E-4</v>
      </c>
      <c r="G22" s="321">
        <v>5.0000000000000001E-4</v>
      </c>
      <c r="H22" s="22"/>
      <c r="I22" s="22"/>
      <c r="J22" s="22"/>
    </row>
    <row r="23" spans="2:10" ht="15" x14ac:dyDescent="0.2">
      <c r="B23" s="313" t="s">
        <v>165</v>
      </c>
      <c r="C23" s="314" t="s">
        <v>286</v>
      </c>
      <c r="D23" s="318">
        <v>7.4000000000000003E-3</v>
      </c>
      <c r="E23" s="319">
        <v>5.5999999999999999E-3</v>
      </c>
      <c r="F23" s="320">
        <v>7.4000000000000003E-3</v>
      </c>
      <c r="G23" s="321">
        <v>5.5999999999999999E-3</v>
      </c>
      <c r="H23" s="22"/>
      <c r="I23" s="22"/>
      <c r="J23" s="22"/>
    </row>
    <row r="24" spans="2:10" ht="15" x14ac:dyDescent="0.2">
      <c r="B24" s="313" t="s">
        <v>287</v>
      </c>
      <c r="C24" s="314" t="s">
        <v>288</v>
      </c>
      <c r="D24" s="318">
        <v>1.8599999999999998E-2</v>
      </c>
      <c r="E24" s="315" t="s">
        <v>282</v>
      </c>
      <c r="F24" s="320">
        <v>1.8599999999999998E-2</v>
      </c>
      <c r="G24" s="317" t="s">
        <v>282</v>
      </c>
      <c r="H24" s="22"/>
      <c r="I24" s="22"/>
      <c r="J24" s="22"/>
    </row>
    <row r="25" spans="2:10" ht="15" x14ac:dyDescent="0.2">
      <c r="B25" s="313" t="s">
        <v>289</v>
      </c>
      <c r="C25" s="314" t="s">
        <v>290</v>
      </c>
      <c r="D25" s="318">
        <v>1.1000000000000001E-3</v>
      </c>
      <c r="E25" s="319">
        <v>8.0000000000000004E-4</v>
      </c>
      <c r="F25" s="320">
        <v>1.1000000000000001E-3</v>
      </c>
      <c r="G25" s="321">
        <v>8.0000000000000004E-4</v>
      </c>
      <c r="H25" s="22"/>
      <c r="I25" s="22"/>
      <c r="J25" s="22"/>
    </row>
    <row r="26" spans="2:10" ht="15" x14ac:dyDescent="0.2">
      <c r="B26" s="313" t="s">
        <v>291</v>
      </c>
      <c r="C26" s="314" t="s">
        <v>292</v>
      </c>
      <c r="D26" s="318">
        <v>0.13400000000000001</v>
      </c>
      <c r="E26" s="319">
        <v>0.10050000000000001</v>
      </c>
      <c r="F26" s="320">
        <v>0.13400000000000001</v>
      </c>
      <c r="G26" s="321">
        <v>0.10050000000000001</v>
      </c>
      <c r="H26" s="22"/>
      <c r="I26" s="22"/>
      <c r="J26" s="22"/>
    </row>
    <row r="27" spans="2:10" ht="15.75" thickBot="1" x14ac:dyDescent="0.25">
      <c r="B27" s="322" t="s">
        <v>293</v>
      </c>
      <c r="C27" s="323" t="s">
        <v>294</v>
      </c>
      <c r="D27" s="324">
        <v>4.0000000000000002E-4</v>
      </c>
      <c r="E27" s="325">
        <v>2.9999999999999997E-4</v>
      </c>
      <c r="F27" s="326">
        <v>4.0000000000000002E-4</v>
      </c>
      <c r="G27" s="327">
        <v>2.9999999999999997E-4</v>
      </c>
      <c r="H27" s="22"/>
      <c r="I27" s="22"/>
      <c r="J27" s="22"/>
    </row>
    <row r="28" spans="2:10" ht="15" thickBot="1" x14ac:dyDescent="0.25">
      <c r="B28" s="304" t="s">
        <v>166</v>
      </c>
      <c r="C28" s="305" t="s">
        <v>279</v>
      </c>
      <c r="D28" s="328">
        <v>0.49819999999999998</v>
      </c>
      <c r="E28" s="329">
        <v>0.1976</v>
      </c>
      <c r="F28" s="330">
        <v>0.49819999999999998</v>
      </c>
      <c r="G28" s="331">
        <v>0.1976</v>
      </c>
      <c r="H28" s="22"/>
      <c r="I28" s="22"/>
      <c r="J28" s="22"/>
    </row>
    <row r="29" spans="2:10" ht="15" x14ac:dyDescent="0.2">
      <c r="B29" s="332" t="s">
        <v>295</v>
      </c>
      <c r="C29" s="308"/>
      <c r="D29" s="308"/>
      <c r="E29" s="333"/>
      <c r="F29" s="334"/>
      <c r="G29" s="335"/>
      <c r="H29" s="22"/>
      <c r="I29" s="22"/>
      <c r="J29" s="22"/>
    </row>
    <row r="30" spans="2:10" ht="15" x14ac:dyDescent="0.2">
      <c r="B30" s="313" t="s">
        <v>167</v>
      </c>
      <c r="C30" s="314" t="s">
        <v>296</v>
      </c>
      <c r="D30" s="318">
        <v>4.8399999999999999E-2</v>
      </c>
      <c r="E30" s="319">
        <v>3.6299999999999999E-2</v>
      </c>
      <c r="F30" s="320">
        <v>4.8399999999999999E-2</v>
      </c>
      <c r="G30" s="321">
        <v>3.6299999999999999E-2</v>
      </c>
      <c r="H30" s="22"/>
      <c r="I30" s="22"/>
      <c r="J30" s="22"/>
    </row>
    <row r="31" spans="2:10" ht="15" x14ac:dyDescent="0.2">
      <c r="B31" s="313" t="s">
        <v>200</v>
      </c>
      <c r="C31" s="314" t="s">
        <v>297</v>
      </c>
      <c r="D31" s="318">
        <v>1.1000000000000001E-3</v>
      </c>
      <c r="E31" s="319">
        <v>8.9999999999999998E-4</v>
      </c>
      <c r="F31" s="320">
        <v>1.1000000000000001E-3</v>
      </c>
      <c r="G31" s="321">
        <v>8.9999999999999998E-4</v>
      </c>
      <c r="H31" s="22"/>
      <c r="I31" s="22"/>
      <c r="J31" s="22"/>
    </row>
    <row r="32" spans="2:10" ht="15" x14ac:dyDescent="0.2">
      <c r="B32" s="313" t="s">
        <v>168</v>
      </c>
      <c r="C32" s="314" t="s">
        <v>298</v>
      </c>
      <c r="D32" s="318">
        <v>8.8999999999999999E-3</v>
      </c>
      <c r="E32" s="319">
        <v>6.7000000000000002E-3</v>
      </c>
      <c r="F32" s="320">
        <v>8.8999999999999999E-3</v>
      </c>
      <c r="G32" s="321">
        <v>6.7000000000000002E-3</v>
      </c>
      <c r="H32" s="22"/>
      <c r="I32" s="22"/>
      <c r="J32" s="22"/>
    </row>
    <row r="33" spans="2:10" ht="30" x14ac:dyDescent="0.2">
      <c r="B33" s="313" t="s">
        <v>169</v>
      </c>
      <c r="C33" s="314" t="s">
        <v>299</v>
      </c>
      <c r="D33" s="318">
        <v>2.3400000000000001E-2</v>
      </c>
      <c r="E33" s="319">
        <v>1.7500000000000002E-2</v>
      </c>
      <c r="F33" s="320">
        <v>2.3400000000000001E-2</v>
      </c>
      <c r="G33" s="321">
        <v>1.7500000000000002E-2</v>
      </c>
      <c r="H33" s="22"/>
      <c r="I33" s="22"/>
      <c r="J33" s="22"/>
    </row>
    <row r="34" spans="2:10" ht="15.75" thickBot="1" x14ac:dyDescent="0.25">
      <c r="B34" s="322" t="s">
        <v>170</v>
      </c>
      <c r="C34" s="323" t="s">
        <v>300</v>
      </c>
      <c r="D34" s="324">
        <v>4.1000000000000003E-3</v>
      </c>
      <c r="E34" s="325">
        <v>3.0999999999999999E-3</v>
      </c>
      <c r="F34" s="326">
        <v>4.1000000000000003E-3</v>
      </c>
      <c r="G34" s="327">
        <v>3.0999999999999999E-3</v>
      </c>
      <c r="H34" s="22"/>
      <c r="I34" s="22"/>
      <c r="J34" s="22"/>
    </row>
    <row r="35" spans="2:10" ht="15" thickBot="1" x14ac:dyDescent="0.25">
      <c r="B35" s="304" t="s">
        <v>171</v>
      </c>
      <c r="C35" s="305" t="s">
        <v>279</v>
      </c>
      <c r="D35" s="328">
        <v>8.5900000000000004E-2</v>
      </c>
      <c r="E35" s="329">
        <v>6.4500000000000002E-2</v>
      </c>
      <c r="F35" s="330">
        <v>8.5900000000000004E-2</v>
      </c>
      <c r="G35" s="331">
        <v>6.4500000000000002E-2</v>
      </c>
      <c r="H35" s="22"/>
      <c r="I35" s="22"/>
      <c r="J35" s="22"/>
    </row>
    <row r="36" spans="2:10" ht="15" x14ac:dyDescent="0.2">
      <c r="B36" s="332" t="s">
        <v>301</v>
      </c>
      <c r="C36" s="308"/>
      <c r="D36" s="308"/>
      <c r="E36" s="333"/>
      <c r="F36" s="334"/>
      <c r="G36" s="335"/>
      <c r="H36" s="22"/>
      <c r="I36" s="22"/>
      <c r="J36" s="22"/>
    </row>
    <row r="37" spans="2:10" ht="30" x14ac:dyDescent="0.2">
      <c r="B37" s="313" t="s">
        <v>172</v>
      </c>
      <c r="C37" s="314" t="s">
        <v>173</v>
      </c>
      <c r="D37" s="318">
        <v>8.8700000000000001E-2</v>
      </c>
      <c r="E37" s="319">
        <v>3.5200000000000002E-2</v>
      </c>
      <c r="F37" s="320">
        <v>0.1883</v>
      </c>
      <c r="G37" s="321">
        <v>7.4700000000000003E-2</v>
      </c>
      <c r="H37" s="22"/>
      <c r="I37" s="22"/>
      <c r="J37" s="22"/>
    </row>
    <row r="38" spans="2:10" ht="30" x14ac:dyDescent="0.2">
      <c r="B38" s="313"/>
      <c r="C38" s="314" t="s">
        <v>302</v>
      </c>
      <c r="D38" s="314"/>
      <c r="E38" s="315"/>
      <c r="F38" s="316"/>
      <c r="G38" s="317"/>
      <c r="H38" s="22"/>
      <c r="I38" s="22"/>
      <c r="J38" s="22"/>
    </row>
    <row r="39" spans="2:10" ht="30" x14ac:dyDescent="0.2">
      <c r="B39" s="313" t="s">
        <v>174</v>
      </c>
      <c r="C39" s="314" t="s">
        <v>303</v>
      </c>
      <c r="D39" s="318">
        <v>4.1000000000000003E-3</v>
      </c>
      <c r="E39" s="319">
        <v>3.0999999999999999E-3</v>
      </c>
      <c r="F39" s="320">
        <v>4.3E-3</v>
      </c>
      <c r="G39" s="321">
        <v>3.2000000000000002E-3</v>
      </c>
      <c r="H39" s="22"/>
      <c r="I39" s="22"/>
      <c r="J39" s="22"/>
    </row>
    <row r="40" spans="2:10" ht="15.75" thickBot="1" x14ac:dyDescent="0.25">
      <c r="B40" s="322"/>
      <c r="C40" s="323" t="s">
        <v>304</v>
      </c>
      <c r="D40" s="323"/>
      <c r="E40" s="336"/>
      <c r="F40" s="337"/>
      <c r="G40" s="338"/>
      <c r="H40" s="22"/>
      <c r="I40" s="22"/>
      <c r="J40" s="22"/>
    </row>
    <row r="41" spans="2:10" ht="15" thickBot="1" x14ac:dyDescent="0.25">
      <c r="B41" s="304" t="s">
        <v>175</v>
      </c>
      <c r="C41" s="305" t="s">
        <v>279</v>
      </c>
      <c r="D41" s="328">
        <v>9.2799999999999994E-2</v>
      </c>
      <c r="E41" s="329">
        <v>3.8300000000000001E-2</v>
      </c>
      <c r="F41" s="330">
        <v>0.19259999999999999</v>
      </c>
      <c r="G41" s="331">
        <v>7.7899999999999997E-2</v>
      </c>
      <c r="H41" s="22"/>
      <c r="I41" s="22"/>
      <c r="J41" s="22"/>
    </row>
    <row r="42" spans="2:10" ht="15" thickBot="1" x14ac:dyDescent="0.25">
      <c r="B42" s="360" t="s">
        <v>305</v>
      </c>
      <c r="C42" s="361"/>
      <c r="D42" s="339">
        <v>0.85489999999999999</v>
      </c>
      <c r="E42" s="340">
        <v>0.47839999999999999</v>
      </c>
      <c r="F42" s="330">
        <v>1.1547000000000001</v>
      </c>
      <c r="G42" s="341">
        <v>0.71799999999999997</v>
      </c>
      <c r="H42" s="22"/>
      <c r="I42" s="22"/>
      <c r="J42" s="22"/>
    </row>
    <row r="43" spans="2:10" x14ac:dyDescent="0.2">
      <c r="C43" s="22"/>
      <c r="D43" s="22"/>
      <c r="E43" s="22"/>
      <c r="F43" s="22"/>
      <c r="G43" s="22"/>
      <c r="H43" s="22"/>
      <c r="I43" s="22"/>
      <c r="J43" s="22"/>
    </row>
    <row r="44" spans="2:10" x14ac:dyDescent="0.2">
      <c r="C44" s="22"/>
      <c r="D44" s="22"/>
      <c r="E44" s="22"/>
      <c r="F44" s="22"/>
      <c r="G44" s="22"/>
      <c r="H44" s="22"/>
      <c r="I44" s="22"/>
      <c r="J44" s="22"/>
    </row>
    <row r="45" spans="2:10" x14ac:dyDescent="0.2">
      <c r="C45" s="22"/>
      <c r="D45" s="22"/>
      <c r="E45" s="22"/>
      <c r="F45" s="22"/>
      <c r="G45" s="22"/>
      <c r="H45" s="22"/>
      <c r="I45" s="22"/>
      <c r="J45" s="22"/>
    </row>
    <row r="46" spans="2:10" x14ac:dyDescent="0.2">
      <c r="C46" s="22"/>
      <c r="D46" s="22"/>
      <c r="E46" s="22"/>
      <c r="F46" s="22"/>
      <c r="G46" s="22"/>
      <c r="H46" s="22"/>
      <c r="I46" s="22"/>
      <c r="J46" s="22"/>
    </row>
    <row r="47" spans="2:10" x14ac:dyDescent="0.2">
      <c r="C47" s="22"/>
      <c r="D47" s="22"/>
      <c r="E47" s="22"/>
      <c r="F47" s="22"/>
      <c r="G47" s="22"/>
      <c r="H47" s="22"/>
      <c r="I47" s="22"/>
      <c r="J47" s="22"/>
    </row>
    <row r="48" spans="2:10" x14ac:dyDescent="0.2">
      <c r="C48" s="22"/>
      <c r="D48" s="22"/>
      <c r="E48" s="22"/>
      <c r="F48" s="22"/>
      <c r="G48" s="22"/>
      <c r="H48" s="22"/>
      <c r="I48" s="22"/>
      <c r="J48" s="22"/>
    </row>
    <row r="49" spans="3:10" x14ac:dyDescent="0.2">
      <c r="C49" s="22"/>
      <c r="D49" s="22"/>
      <c r="E49" s="22"/>
      <c r="F49" s="22"/>
      <c r="G49" s="22"/>
      <c r="H49" s="22"/>
      <c r="I49" s="22"/>
      <c r="J49" s="22"/>
    </row>
    <row r="50" spans="3:10" x14ac:dyDescent="0.2">
      <c r="C50" s="22"/>
      <c r="D50" s="22"/>
      <c r="E50" s="22"/>
      <c r="F50" s="22"/>
      <c r="G50" s="22"/>
      <c r="H50" s="22"/>
      <c r="I50" s="22"/>
      <c r="J50" s="22"/>
    </row>
    <row r="51" spans="3:10" x14ac:dyDescent="0.2">
      <c r="C51" s="22"/>
      <c r="D51" s="22"/>
      <c r="E51" s="22"/>
      <c r="F51" s="22"/>
      <c r="G51" s="22"/>
      <c r="H51" s="22"/>
      <c r="I51" s="22"/>
      <c r="J51" s="22"/>
    </row>
    <row r="52" spans="3:10" x14ac:dyDescent="0.2">
      <c r="C52" s="22"/>
      <c r="D52" s="22"/>
      <c r="E52" s="22"/>
      <c r="F52" s="22"/>
      <c r="G52" s="22"/>
      <c r="H52" s="22"/>
      <c r="I52" s="22"/>
      <c r="J52" s="22"/>
    </row>
    <row r="53" spans="3:10" x14ac:dyDescent="0.2">
      <c r="C53" s="22"/>
      <c r="D53" s="22"/>
      <c r="E53" s="22"/>
      <c r="F53" s="22"/>
      <c r="G53" s="22"/>
      <c r="H53" s="22"/>
      <c r="I53" s="22"/>
      <c r="J53" s="22"/>
    </row>
    <row r="54" spans="3:10" x14ac:dyDescent="0.2">
      <c r="C54" s="22"/>
      <c r="D54" s="22"/>
      <c r="E54" s="22"/>
      <c r="F54" s="22"/>
      <c r="G54" s="22"/>
      <c r="H54" s="22"/>
      <c r="I54" s="22"/>
      <c r="J54" s="22"/>
    </row>
    <row r="55" spans="3:10" x14ac:dyDescent="0.2">
      <c r="C55" s="22"/>
      <c r="D55" s="22"/>
      <c r="E55" s="22"/>
      <c r="F55" s="22"/>
      <c r="G55" s="22"/>
      <c r="H55" s="22"/>
      <c r="I55" s="22"/>
      <c r="J55" s="22"/>
    </row>
    <row r="56" spans="3:10" x14ac:dyDescent="0.2">
      <c r="C56" s="22"/>
      <c r="D56" s="22"/>
      <c r="E56" s="22"/>
      <c r="F56" s="22"/>
      <c r="G56" s="22"/>
      <c r="H56" s="22"/>
      <c r="I56" s="22"/>
      <c r="J56" s="22"/>
    </row>
    <row r="57" spans="3:10" x14ac:dyDescent="0.2">
      <c r="C57" s="22"/>
      <c r="D57" s="22"/>
      <c r="E57" s="22"/>
      <c r="F57" s="22"/>
      <c r="G57" s="22"/>
      <c r="H57" s="22"/>
      <c r="I57" s="22"/>
      <c r="J57" s="22"/>
    </row>
    <row r="58" spans="3:10" x14ac:dyDescent="0.2">
      <c r="C58" s="22"/>
    </row>
    <row r="59" spans="3:10" x14ac:dyDescent="0.2">
      <c r="C59" s="22"/>
    </row>
    <row r="60" spans="3:10" x14ac:dyDescent="0.2">
      <c r="C60" s="22"/>
    </row>
    <row r="61" spans="3:10" x14ac:dyDescent="0.2">
      <c r="C61" s="22"/>
    </row>
    <row r="62" spans="3:10" x14ac:dyDescent="0.2">
      <c r="C62" s="22"/>
    </row>
    <row r="63" spans="3:10" x14ac:dyDescent="0.2">
      <c r="C63" s="22"/>
    </row>
    <row r="64" spans="3:10" x14ac:dyDescent="0.2">
      <c r="C64" s="22"/>
    </row>
    <row r="65" spans="3:3" x14ac:dyDescent="0.2">
      <c r="C65" s="22"/>
    </row>
    <row r="66" spans="3:3" x14ac:dyDescent="0.2">
      <c r="C66" s="22"/>
    </row>
  </sheetData>
  <mergeCells count="6">
    <mergeCell ref="B42:C42"/>
    <mergeCell ref="B2:C3"/>
    <mergeCell ref="D2:E2"/>
    <mergeCell ref="F2:G2"/>
    <mergeCell ref="D3:E3"/>
    <mergeCell ref="F3:G3"/>
  </mergeCells>
  <pageMargins left="0.25" right="0.25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zoomScaleNormal="100" workbookViewId="0">
      <selection activeCell="B13" sqref="B13"/>
    </sheetView>
  </sheetViews>
  <sheetFormatPr defaultColWidth="9.140625" defaultRowHeight="12.75" x14ac:dyDescent="0.2"/>
  <cols>
    <col min="1" max="1" width="8.5703125" style="1" customWidth="1"/>
    <col min="2" max="2" width="67.140625" style="1" customWidth="1"/>
    <col min="3" max="3" width="13.7109375" style="1" customWidth="1"/>
    <col min="4" max="4" width="10.28515625" style="1" customWidth="1"/>
    <col min="5" max="5" width="13.7109375" style="1" customWidth="1"/>
    <col min="6" max="16384" width="9.140625" style="1"/>
  </cols>
  <sheetData>
    <row r="1" spans="1:3" ht="13.5" thickBot="1" x14ac:dyDescent="0.25"/>
    <row r="2" spans="1:3" ht="14.25" x14ac:dyDescent="0.2">
      <c r="B2" s="370" t="s">
        <v>211</v>
      </c>
      <c r="C2" s="371"/>
    </row>
    <row r="3" spans="1:3" ht="15" x14ac:dyDescent="0.25">
      <c r="A3" s="22"/>
      <c r="B3" s="179" t="s">
        <v>189</v>
      </c>
      <c r="C3" s="180"/>
    </row>
    <row r="4" spans="1:3" ht="14.25" x14ac:dyDescent="0.2">
      <c r="A4" s="22"/>
      <c r="B4" s="181" t="s">
        <v>130</v>
      </c>
      <c r="C4" s="182">
        <v>2177</v>
      </c>
    </row>
    <row r="5" spans="1:3" ht="14.25" x14ac:dyDescent="0.2">
      <c r="A5" s="22"/>
      <c r="B5" s="183" t="s">
        <v>131</v>
      </c>
      <c r="C5" s="182">
        <f>SUM(C6:C12)</f>
        <v>2217</v>
      </c>
    </row>
    <row r="6" spans="1:3" ht="15" x14ac:dyDescent="0.25">
      <c r="A6" s="22"/>
      <c r="B6" s="184" t="s">
        <v>132</v>
      </c>
      <c r="C6" s="185">
        <v>39</v>
      </c>
    </row>
    <row r="7" spans="1:3" ht="15" x14ac:dyDescent="0.25">
      <c r="A7" s="22"/>
      <c r="B7" s="184" t="s">
        <v>133</v>
      </c>
      <c r="C7" s="185">
        <v>1369</v>
      </c>
    </row>
    <row r="8" spans="1:3" ht="15" x14ac:dyDescent="0.25">
      <c r="A8" s="22"/>
      <c r="B8" s="184" t="s">
        <v>134</v>
      </c>
      <c r="C8" s="185">
        <v>371</v>
      </c>
    </row>
    <row r="9" spans="1:3" ht="15" x14ac:dyDescent="0.25">
      <c r="A9" s="22"/>
      <c r="B9" s="184" t="s">
        <v>135</v>
      </c>
      <c r="C9" s="185">
        <v>25</v>
      </c>
    </row>
    <row r="10" spans="1:3" ht="15" x14ac:dyDescent="0.25">
      <c r="A10" s="22"/>
      <c r="B10" s="184" t="s">
        <v>136</v>
      </c>
      <c r="C10" s="185">
        <v>390</v>
      </c>
    </row>
    <row r="11" spans="1:3" ht="15" x14ac:dyDescent="0.25">
      <c r="A11" s="22"/>
      <c r="B11" s="184" t="s">
        <v>137</v>
      </c>
      <c r="C11" s="185">
        <v>0</v>
      </c>
    </row>
    <row r="12" spans="1:3" ht="15" x14ac:dyDescent="0.25">
      <c r="A12" s="22"/>
      <c r="B12" s="184" t="s">
        <v>138</v>
      </c>
      <c r="C12" s="185">
        <v>23</v>
      </c>
    </row>
    <row r="13" spans="1:3" ht="15" x14ac:dyDescent="0.25">
      <c r="A13" s="22"/>
      <c r="B13" s="186" t="s">
        <v>139</v>
      </c>
      <c r="C13" s="187">
        <v>0</v>
      </c>
    </row>
    <row r="14" spans="1:3" ht="15" x14ac:dyDescent="0.25">
      <c r="A14" s="22"/>
      <c r="B14" s="188" t="s">
        <v>261</v>
      </c>
      <c r="C14" s="187">
        <v>0</v>
      </c>
    </row>
    <row r="15" spans="1:3" ht="15" x14ac:dyDescent="0.25">
      <c r="A15" s="22" t="s">
        <v>140</v>
      </c>
      <c r="B15" s="179" t="s">
        <v>141</v>
      </c>
      <c r="C15" s="180"/>
    </row>
    <row r="16" spans="1:3" ht="15" x14ac:dyDescent="0.25">
      <c r="A16" s="22"/>
      <c r="B16" s="189" t="s">
        <v>263</v>
      </c>
      <c r="C16" s="190">
        <v>5183</v>
      </c>
    </row>
    <row r="17" spans="1:5" ht="15" x14ac:dyDescent="0.25">
      <c r="A17" s="22"/>
      <c r="B17" s="184" t="s">
        <v>264</v>
      </c>
      <c r="C17" s="185">
        <v>5143</v>
      </c>
    </row>
    <row r="18" spans="1:5" ht="15" x14ac:dyDescent="0.25">
      <c r="B18" s="184" t="s">
        <v>262</v>
      </c>
      <c r="C18" s="191">
        <f>C4-C5</f>
        <v>-40</v>
      </c>
    </row>
    <row r="19" spans="1:5" ht="15" x14ac:dyDescent="0.25">
      <c r="B19" s="192"/>
      <c r="C19" s="193"/>
    </row>
    <row r="20" spans="1:5" s="16" customFormat="1" ht="14.25" x14ac:dyDescent="0.2">
      <c r="B20" s="181" t="s">
        <v>143</v>
      </c>
      <c r="C20" s="194">
        <f>MEDIAN(C16,C17)</f>
        <v>5163</v>
      </c>
    </row>
    <row r="21" spans="1:5" ht="14.25" x14ac:dyDescent="0.2">
      <c r="B21" s="183" t="s">
        <v>259</v>
      </c>
      <c r="C21" s="195">
        <f>C7/C20</f>
        <v>0.26515591710245984</v>
      </c>
    </row>
    <row r="22" spans="1:5" ht="14.25" x14ac:dyDescent="0.2">
      <c r="B22" s="183" t="s">
        <v>260</v>
      </c>
      <c r="C22" s="195">
        <f>MEDIAN(C4,C5)/C20</f>
        <v>0.42552779391826456</v>
      </c>
      <c r="E22" s="23"/>
    </row>
    <row r="23" spans="1:5" s="16" customFormat="1" ht="14.25" x14ac:dyDescent="0.2">
      <c r="B23" s="183" t="s">
        <v>225</v>
      </c>
      <c r="C23" s="196">
        <f>12/C22</f>
        <v>28.200273099681386</v>
      </c>
    </row>
    <row r="24" spans="1:5" ht="14.25" x14ac:dyDescent="0.2">
      <c r="B24" s="183" t="s">
        <v>142</v>
      </c>
      <c r="C24" s="197">
        <v>360</v>
      </c>
    </row>
    <row r="25" spans="1:5" ht="14.25" x14ac:dyDescent="0.2">
      <c r="B25" s="183" t="s">
        <v>221</v>
      </c>
      <c r="C25" s="197">
        <v>10</v>
      </c>
    </row>
    <row r="26" spans="1:5" ht="14.25" x14ac:dyDescent="0.2">
      <c r="B26" s="181" t="s">
        <v>222</v>
      </c>
      <c r="C26" s="198">
        <v>30</v>
      </c>
    </row>
    <row r="27" spans="1:5" ht="14.25" x14ac:dyDescent="0.2">
      <c r="B27" s="181" t="s">
        <v>223</v>
      </c>
      <c r="C27" s="198">
        <v>30</v>
      </c>
    </row>
    <row r="28" spans="1:5" s="16" customFormat="1" ht="14.25" x14ac:dyDescent="0.2">
      <c r="B28" s="181" t="s">
        <v>145</v>
      </c>
      <c r="C28" s="198">
        <f>30+(3*TRUNC(1/C22))</f>
        <v>36</v>
      </c>
    </row>
    <row r="29" spans="1:5" s="16" customFormat="1" ht="14.25" x14ac:dyDescent="0.2">
      <c r="B29" s="183" t="s">
        <v>44</v>
      </c>
      <c r="C29" s="199">
        <v>0.08</v>
      </c>
    </row>
    <row r="30" spans="1:5" s="16" customFormat="1" ht="15" thickBot="1" x14ac:dyDescent="0.25">
      <c r="B30" s="200" t="s">
        <v>144</v>
      </c>
      <c r="C30" s="201">
        <v>0.4</v>
      </c>
    </row>
  </sheetData>
  <mergeCells count="1">
    <mergeCell ref="B2:C2"/>
  </mergeCells>
  <pageMargins left="0.90551181102362199" right="0.51181102362204722" top="0.74803149606299213" bottom="0.74803149606299213" header="0.31496062992125984" footer="0.31496062992125984"/>
  <pageSetup paperSize="9" scale="98" orientation="portrait" verticalDpi="597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18"/>
  <sheetViews>
    <sheetView zoomScaleNormal="100" workbookViewId="0">
      <selection activeCell="A2" sqref="A2:F14"/>
    </sheetView>
  </sheetViews>
  <sheetFormatPr defaultRowHeight="12.75" x14ac:dyDescent="0.2"/>
  <cols>
    <col min="1" max="1" width="41.85546875" bestFit="1" customWidth="1"/>
    <col min="2" max="2" width="5.5703125" bestFit="1" customWidth="1"/>
    <col min="4" max="4" width="9.7109375" bestFit="1" customWidth="1"/>
    <col min="5" max="5" width="8" style="18" bestFit="1" customWidth="1"/>
    <col min="6" max="6" width="9.7109375" bestFit="1" customWidth="1"/>
  </cols>
  <sheetData>
    <row r="1" spans="1:8" s="20" customFormat="1" ht="15" thickBot="1" x14ac:dyDescent="0.25">
      <c r="B1" s="19"/>
      <c r="C1" s="19"/>
      <c r="E1" s="21"/>
    </row>
    <row r="2" spans="1:8" ht="15.75" x14ac:dyDescent="0.2">
      <c r="A2" s="377" t="s">
        <v>212</v>
      </c>
      <c r="B2" s="378"/>
      <c r="C2" s="378"/>
      <c r="D2" s="378"/>
      <c r="E2" s="378"/>
      <c r="F2" s="379"/>
    </row>
    <row r="3" spans="1:8" ht="16.5" thickBot="1" x14ac:dyDescent="0.25">
      <c r="A3" s="202"/>
      <c r="B3" s="203"/>
      <c r="C3" s="203"/>
      <c r="D3" s="203"/>
      <c r="E3" s="203"/>
      <c r="F3" s="204"/>
    </row>
    <row r="4" spans="1:8" ht="15" x14ac:dyDescent="0.2">
      <c r="A4" s="205"/>
      <c r="B4" s="206"/>
      <c r="C4" s="206"/>
      <c r="D4" s="374" t="s">
        <v>224</v>
      </c>
      <c r="E4" s="375"/>
      <c r="F4" s="376"/>
      <c r="G4" s="20"/>
      <c r="H4" s="20"/>
    </row>
    <row r="5" spans="1:8" ht="15.75" thickBot="1" x14ac:dyDescent="0.3">
      <c r="A5" s="192"/>
      <c r="B5" s="207"/>
      <c r="C5" s="207"/>
      <c r="D5" s="208" t="s">
        <v>176</v>
      </c>
      <c r="E5" s="209" t="s">
        <v>177</v>
      </c>
      <c r="F5" s="210" t="s">
        <v>178</v>
      </c>
      <c r="G5" s="20"/>
      <c r="H5" s="20"/>
    </row>
    <row r="6" spans="1:8" ht="15" x14ac:dyDescent="0.25">
      <c r="A6" s="211" t="s">
        <v>79</v>
      </c>
      <c r="B6" s="212" t="s">
        <v>80</v>
      </c>
      <c r="C6" s="213">
        <v>4.7E-2</v>
      </c>
      <c r="D6" s="214">
        <v>2.9700000000000001E-2</v>
      </c>
      <c r="E6" s="215">
        <v>5.0799999999999998E-2</v>
      </c>
      <c r="F6" s="216">
        <v>6.2700000000000006E-2</v>
      </c>
      <c r="G6" s="20"/>
      <c r="H6" s="20"/>
    </row>
    <row r="7" spans="1:8" ht="15" x14ac:dyDescent="0.25">
      <c r="A7" s="217" t="s">
        <v>81</v>
      </c>
      <c r="B7" s="218" t="s">
        <v>82</v>
      </c>
      <c r="C7" s="219">
        <v>1.0800000000000001E-2</v>
      </c>
      <c r="D7" s="214">
        <f>0.3%+0.56%</f>
        <v>8.6E-3</v>
      </c>
      <c r="E7" s="215">
        <f>0.48%+0.85%</f>
        <v>1.3299999999999999E-2</v>
      </c>
      <c r="F7" s="216">
        <f>0.82%+0.89%</f>
        <v>1.7099999999999997E-2</v>
      </c>
      <c r="G7" s="20"/>
      <c r="H7" s="20"/>
    </row>
    <row r="8" spans="1:8" ht="15" x14ac:dyDescent="0.25">
      <c r="A8" s="217" t="s">
        <v>83</v>
      </c>
      <c r="B8" s="218" t="s">
        <v>84</v>
      </c>
      <c r="C8" s="219">
        <v>8.5000000000000006E-2</v>
      </c>
      <c r="D8" s="214">
        <v>7.7799999999999994E-2</v>
      </c>
      <c r="E8" s="215">
        <v>0.1085</v>
      </c>
      <c r="F8" s="216">
        <v>0.13550000000000001</v>
      </c>
      <c r="G8" s="20"/>
      <c r="H8" s="20"/>
    </row>
    <row r="9" spans="1:8" ht="15" x14ac:dyDescent="0.25">
      <c r="A9" s="217" t="s">
        <v>85</v>
      </c>
      <c r="B9" s="218" t="s">
        <v>86</v>
      </c>
      <c r="C9" s="220">
        <f>(1+E9)^(E10/252)-1</f>
        <v>1.4388579962098191E-2</v>
      </c>
      <c r="D9" s="214" t="s">
        <v>255</v>
      </c>
      <c r="E9" s="221">
        <v>0.1275</v>
      </c>
      <c r="F9" s="222"/>
      <c r="G9" s="20"/>
      <c r="H9" s="20"/>
    </row>
    <row r="10" spans="1:8" ht="15" x14ac:dyDescent="0.25">
      <c r="A10" s="217" t="s">
        <v>87</v>
      </c>
      <c r="B10" s="372" t="s">
        <v>88</v>
      </c>
      <c r="C10" s="219">
        <v>0.02</v>
      </c>
      <c r="D10" s="223" t="s">
        <v>179</v>
      </c>
      <c r="E10" s="224">
        <v>30</v>
      </c>
      <c r="F10" s="225"/>
      <c r="G10" s="20"/>
      <c r="H10" s="20"/>
    </row>
    <row r="11" spans="1:8" ht="15.75" thickBot="1" x14ac:dyDescent="0.3">
      <c r="A11" s="226" t="s">
        <v>89</v>
      </c>
      <c r="B11" s="373"/>
      <c r="C11" s="227">
        <v>4.8000000000000001E-2</v>
      </c>
      <c r="D11" s="184"/>
      <c r="E11" s="228"/>
      <c r="F11" s="225"/>
      <c r="G11" s="20"/>
      <c r="H11" s="20"/>
    </row>
    <row r="12" spans="1:8" ht="15" x14ac:dyDescent="0.25">
      <c r="A12" s="229" t="s">
        <v>90</v>
      </c>
      <c r="B12" s="230"/>
      <c r="C12" s="231"/>
      <c r="D12" s="184"/>
      <c r="E12" s="228"/>
      <c r="F12" s="225"/>
      <c r="G12" s="20"/>
      <c r="H12" s="20"/>
    </row>
    <row r="13" spans="1:8" ht="15.75" thickBot="1" x14ac:dyDescent="0.3">
      <c r="A13" s="232" t="s">
        <v>91</v>
      </c>
      <c r="B13" s="233"/>
      <c r="C13" s="234"/>
      <c r="D13" s="184"/>
      <c r="E13" s="228"/>
      <c r="F13" s="225"/>
      <c r="G13" s="20"/>
      <c r="H13" s="20"/>
    </row>
    <row r="14" spans="1:8" ht="15.75" thickBot="1" x14ac:dyDescent="0.3">
      <c r="A14" s="235" t="s">
        <v>92</v>
      </c>
      <c r="B14" s="236"/>
      <c r="C14" s="237">
        <f>ROUND((((1+C6+C7)*(1+C8)*(1+C9))/(1-(C10+C11))-1),4)</f>
        <v>0.2492</v>
      </c>
      <c r="D14" s="238">
        <v>0.21429999999999999</v>
      </c>
      <c r="E14" s="239">
        <v>0.2717</v>
      </c>
      <c r="F14" s="240">
        <v>0.3362</v>
      </c>
      <c r="G14" s="20"/>
      <c r="H14" s="20"/>
    </row>
    <row r="15" spans="1:8" ht="14.25" x14ac:dyDescent="0.2">
      <c r="A15" s="20"/>
      <c r="B15" s="20"/>
      <c r="C15" s="20"/>
      <c r="D15" s="20"/>
      <c r="E15" s="21"/>
      <c r="F15" s="20"/>
      <c r="G15" s="20"/>
      <c r="H15" s="20"/>
    </row>
    <row r="16" spans="1:8" ht="14.25" x14ac:dyDescent="0.2">
      <c r="A16" s="20"/>
      <c r="B16" s="20"/>
      <c r="C16" s="20"/>
      <c r="D16" s="20"/>
      <c r="E16" s="21"/>
      <c r="F16" s="20"/>
      <c r="G16" s="20"/>
      <c r="H16" s="20"/>
    </row>
    <row r="17" spans="1:8" ht="14.25" x14ac:dyDescent="0.2">
      <c r="A17" s="20"/>
      <c r="B17" s="20"/>
      <c r="C17" s="20"/>
      <c r="D17" s="20"/>
      <c r="E17" s="21"/>
      <c r="F17" s="20"/>
      <c r="G17" s="20"/>
      <c r="H17" s="20"/>
    </row>
    <row r="18" spans="1:8" ht="14.25" x14ac:dyDescent="0.2">
      <c r="A18" s="20"/>
      <c r="B18" s="20"/>
      <c r="C18" s="20"/>
      <c r="D18" s="20"/>
      <c r="E18" s="21"/>
      <c r="F18" s="20"/>
      <c r="G18" s="20"/>
      <c r="H18" s="20"/>
    </row>
  </sheetData>
  <mergeCells count="3">
    <mergeCell ref="B10:B11"/>
    <mergeCell ref="D4:F4"/>
    <mergeCell ref="A2:F2"/>
  </mergeCells>
  <pageMargins left="0.7" right="0.7" top="0.75" bottom="0.75" header="0.3" footer="0.3"/>
  <pageSetup paperSize="9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18"/>
  <sheetViews>
    <sheetView topLeftCell="A2" workbookViewId="0">
      <selection activeCell="B2" sqref="B2:C18"/>
    </sheetView>
  </sheetViews>
  <sheetFormatPr defaultColWidth="9.140625" defaultRowHeight="19.5" customHeight="1" x14ac:dyDescent="0.2"/>
  <cols>
    <col min="1" max="1" width="2.5703125" style="1" customWidth="1"/>
    <col min="2" max="2" width="24.5703125" style="1" customWidth="1"/>
    <col min="3" max="3" width="20.85546875" style="1" customWidth="1"/>
    <col min="4" max="16384" width="9.140625" style="1"/>
  </cols>
  <sheetData>
    <row r="1" spans="2:3" ht="8.25" customHeight="1" thickBot="1" x14ac:dyDescent="0.25"/>
    <row r="2" spans="2:3" ht="19.5" customHeight="1" thickBot="1" x14ac:dyDescent="0.25">
      <c r="B2" s="380" t="s">
        <v>213</v>
      </c>
      <c r="C2" s="381"/>
    </row>
    <row r="3" spans="2:3" s="16" customFormat="1" ht="19.5" customHeight="1" x14ac:dyDescent="0.2">
      <c r="B3" s="241" t="s">
        <v>190</v>
      </c>
      <c r="C3" s="242" t="s">
        <v>256</v>
      </c>
    </row>
    <row r="4" spans="2:3" ht="19.5" customHeight="1" x14ac:dyDescent="0.2">
      <c r="B4" s="243">
        <v>1</v>
      </c>
      <c r="C4" s="244">
        <v>33.630000000000003</v>
      </c>
    </row>
    <row r="5" spans="2:3" ht="19.5" customHeight="1" x14ac:dyDescent="0.2">
      <c r="B5" s="243">
        <v>2</v>
      </c>
      <c r="C5" s="244">
        <v>43.13</v>
      </c>
    </row>
    <row r="6" spans="2:3" ht="19.5" customHeight="1" x14ac:dyDescent="0.2">
      <c r="B6" s="243">
        <v>3</v>
      </c>
      <c r="C6" s="244">
        <v>48.68</v>
      </c>
    </row>
    <row r="7" spans="2:3" ht="19.5" customHeight="1" x14ac:dyDescent="0.2">
      <c r="B7" s="243">
        <v>4</v>
      </c>
      <c r="C7" s="244">
        <v>52.62</v>
      </c>
    </row>
    <row r="8" spans="2:3" ht="19.5" customHeight="1" x14ac:dyDescent="0.2">
      <c r="B8" s="243">
        <v>5</v>
      </c>
      <c r="C8" s="244">
        <v>55.679999999999993</v>
      </c>
    </row>
    <row r="9" spans="2:3" ht="19.5" customHeight="1" x14ac:dyDescent="0.2">
      <c r="B9" s="243">
        <v>6</v>
      </c>
      <c r="C9" s="244">
        <v>58.18</v>
      </c>
    </row>
    <row r="10" spans="2:3" ht="19.5" customHeight="1" x14ac:dyDescent="0.2">
      <c r="B10" s="243">
        <v>7</v>
      </c>
      <c r="C10" s="244">
        <v>60.29</v>
      </c>
    </row>
    <row r="11" spans="2:3" ht="19.5" customHeight="1" x14ac:dyDescent="0.2">
      <c r="B11" s="243">
        <v>8</v>
      </c>
      <c r="C11" s="244">
        <v>62.12</v>
      </c>
    </row>
    <row r="12" spans="2:3" ht="19.5" customHeight="1" x14ac:dyDescent="0.2">
      <c r="B12" s="243">
        <v>9</v>
      </c>
      <c r="C12" s="244">
        <v>63.73</v>
      </c>
    </row>
    <row r="13" spans="2:3" ht="19.5" customHeight="1" x14ac:dyDescent="0.2">
      <c r="B13" s="243">
        <v>10</v>
      </c>
      <c r="C13" s="244">
        <v>65.180000000000007</v>
      </c>
    </row>
    <row r="14" spans="2:3" ht="19.5" customHeight="1" x14ac:dyDescent="0.2">
      <c r="B14" s="243">
        <v>11</v>
      </c>
      <c r="C14" s="244">
        <v>66.47999999999999</v>
      </c>
    </row>
    <row r="15" spans="2:3" ht="19.5" customHeight="1" x14ac:dyDescent="0.2">
      <c r="B15" s="243">
        <v>12</v>
      </c>
      <c r="C15" s="244">
        <v>67.67</v>
      </c>
    </row>
    <row r="16" spans="2:3" ht="19.5" customHeight="1" x14ac:dyDescent="0.2">
      <c r="B16" s="243">
        <v>13</v>
      </c>
      <c r="C16" s="244">
        <v>68.77</v>
      </c>
    </row>
    <row r="17" spans="2:3" ht="19.5" customHeight="1" x14ac:dyDescent="0.2">
      <c r="B17" s="243">
        <v>14</v>
      </c>
      <c r="C17" s="244">
        <v>69.789999999999992</v>
      </c>
    </row>
    <row r="18" spans="2:3" ht="19.5" customHeight="1" thickBot="1" x14ac:dyDescent="0.25">
      <c r="B18" s="245">
        <v>15</v>
      </c>
      <c r="C18" s="246">
        <v>70.73</v>
      </c>
    </row>
  </sheetData>
  <mergeCells count="1">
    <mergeCell ref="B2:C2"/>
  </mergeCells>
  <pageMargins left="0.90551181102362199" right="0.51181102362204722" top="0.74803149606299213" bottom="0.74803149606299213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18"/>
  <sheetViews>
    <sheetView workbookViewId="0">
      <selection activeCell="B2" sqref="B2:B18"/>
    </sheetView>
  </sheetViews>
  <sheetFormatPr defaultColWidth="9.140625" defaultRowHeight="12.75" x14ac:dyDescent="0.2"/>
  <cols>
    <col min="1" max="1" width="1.5703125" style="1" customWidth="1"/>
    <col min="2" max="2" width="70.42578125" style="1" customWidth="1"/>
    <col min="3" max="4" width="9.140625" style="1"/>
    <col min="5" max="5" width="12.85546875" style="1" bestFit="1" customWidth="1"/>
    <col min="6" max="16384" width="9.140625" style="1"/>
  </cols>
  <sheetData>
    <row r="1" spans="2:2" ht="8.25" customHeight="1" thickBot="1" x14ac:dyDescent="0.25"/>
    <row r="2" spans="2:2" ht="18.75" x14ac:dyDescent="0.3">
      <c r="B2" s="247" t="s">
        <v>214</v>
      </c>
    </row>
    <row r="3" spans="2:2" x14ac:dyDescent="0.2">
      <c r="B3" s="248"/>
    </row>
    <row r="4" spans="2:2" x14ac:dyDescent="0.2">
      <c r="B4" s="248" t="s">
        <v>226</v>
      </c>
    </row>
    <row r="5" spans="2:2" x14ac:dyDescent="0.2">
      <c r="B5" s="248"/>
    </row>
    <row r="6" spans="2:2" x14ac:dyDescent="0.2">
      <c r="B6" s="248"/>
    </row>
    <row r="7" spans="2:2" x14ac:dyDescent="0.2">
      <c r="B7" s="248"/>
    </row>
    <row r="8" spans="2:2" x14ac:dyDescent="0.2">
      <c r="B8" s="248"/>
    </row>
    <row r="9" spans="2:2" x14ac:dyDescent="0.2">
      <c r="B9" s="248"/>
    </row>
    <row r="10" spans="2:2" x14ac:dyDescent="0.2">
      <c r="B10" s="248"/>
    </row>
    <row r="11" spans="2:2" x14ac:dyDescent="0.2">
      <c r="B11" s="248"/>
    </row>
    <row r="12" spans="2:2" x14ac:dyDescent="0.2">
      <c r="B12" s="248"/>
    </row>
    <row r="13" spans="2:2" ht="18.75" x14ac:dyDescent="0.35">
      <c r="B13" s="249" t="s">
        <v>308</v>
      </c>
    </row>
    <row r="14" spans="2:2" ht="15.75" x14ac:dyDescent="0.25">
      <c r="B14" s="249" t="s">
        <v>115</v>
      </c>
    </row>
    <row r="15" spans="2:2" ht="15.75" x14ac:dyDescent="0.25">
      <c r="B15" s="249" t="s">
        <v>120</v>
      </c>
    </row>
    <row r="16" spans="2:2" ht="18.75" x14ac:dyDescent="0.35">
      <c r="B16" s="249" t="s">
        <v>309</v>
      </c>
    </row>
    <row r="17" spans="2:2" ht="18.75" x14ac:dyDescent="0.35">
      <c r="B17" s="249" t="s">
        <v>310</v>
      </c>
    </row>
    <row r="18" spans="2:2" ht="16.5" thickBot="1" x14ac:dyDescent="0.3">
      <c r="B18" s="250" t="s">
        <v>116</v>
      </c>
    </row>
  </sheetData>
  <pageMargins left="0.90551181102362199" right="0.51181102362204722" top="0.74803149606299213" bottom="0.74803149606299213" header="0.31496062992125984" footer="0.31496062992125984"/>
  <pageSetup paperSize="9" orientation="portrait" verticalDpi="597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22"/>
  <sheetViews>
    <sheetView zoomScaleNormal="100" workbookViewId="0">
      <selection activeCell="C17" sqref="A2:C17"/>
    </sheetView>
  </sheetViews>
  <sheetFormatPr defaultColWidth="9.140625" defaultRowHeight="12.75" x14ac:dyDescent="0.2"/>
  <cols>
    <col min="1" max="1" width="58.28515625" style="23" customWidth="1"/>
    <col min="2" max="2" width="11.140625" style="23" bestFit="1" customWidth="1"/>
    <col min="3" max="3" width="11.28515625" style="23" bestFit="1" customWidth="1"/>
    <col min="4" max="16384" width="9.140625" style="23"/>
  </cols>
  <sheetData>
    <row r="1" spans="1:7" ht="13.5" thickBot="1" x14ac:dyDescent="0.25">
      <c r="A1" s="251"/>
      <c r="B1" s="251"/>
      <c r="C1" s="251"/>
      <c r="D1" s="251"/>
      <c r="E1" s="251"/>
      <c r="F1" s="251"/>
      <c r="G1" s="251"/>
    </row>
    <row r="2" spans="1:7" ht="18.75" x14ac:dyDescent="0.3">
      <c r="A2" s="382" t="s">
        <v>252</v>
      </c>
      <c r="B2" s="383"/>
      <c r="C2" s="384"/>
      <c r="D2" s="251"/>
      <c r="E2" s="251"/>
      <c r="F2" s="251"/>
      <c r="G2" s="251"/>
    </row>
    <row r="3" spans="1:7" s="24" customFormat="1" ht="18.75" x14ac:dyDescent="0.3">
      <c r="A3" s="252"/>
      <c r="B3" s="253"/>
      <c r="C3" s="254"/>
      <c r="D3" s="255"/>
      <c r="E3" s="255"/>
      <c r="F3" s="255"/>
      <c r="G3" s="255"/>
    </row>
    <row r="4" spans="1:7" s="16" customFormat="1" ht="14.25" x14ac:dyDescent="0.2">
      <c r="A4" s="256" t="s">
        <v>253</v>
      </c>
      <c r="B4" s="257" t="s">
        <v>233</v>
      </c>
      <c r="C4" s="258" t="s">
        <v>146</v>
      </c>
      <c r="D4" s="259"/>
      <c r="E4" s="259"/>
      <c r="F4" s="259"/>
      <c r="G4" s="259"/>
    </row>
    <row r="5" spans="1:7" ht="15" x14ac:dyDescent="0.25">
      <c r="A5" s="260" t="s">
        <v>241</v>
      </c>
      <c r="B5" s="261" t="s">
        <v>234</v>
      </c>
      <c r="C5" s="185">
        <v>164981</v>
      </c>
      <c r="D5" s="251"/>
      <c r="E5" s="251"/>
      <c r="F5" s="251"/>
      <c r="G5" s="251"/>
    </row>
    <row r="6" spans="1:7" ht="15" x14ac:dyDescent="0.25">
      <c r="A6" s="184" t="s">
        <v>242</v>
      </c>
      <c r="B6" s="262" t="s">
        <v>239</v>
      </c>
      <c r="C6" s="263">
        <f>0.0362741*C5^0.2336249</f>
        <v>0.60050845490663718</v>
      </c>
      <c r="D6" s="251"/>
      <c r="E6" s="251"/>
      <c r="F6" s="251"/>
      <c r="G6" s="251"/>
    </row>
    <row r="7" spans="1:7" ht="15" x14ac:dyDescent="0.25">
      <c r="A7" s="184" t="s">
        <v>243</v>
      </c>
      <c r="B7" s="262" t="s">
        <v>240</v>
      </c>
      <c r="C7" s="264">
        <f>C5*C6/1000</f>
        <v>99.072485398951898</v>
      </c>
      <c r="D7" s="251"/>
      <c r="E7" s="251"/>
      <c r="F7" s="251"/>
      <c r="G7" s="251"/>
    </row>
    <row r="8" spans="1:7" ht="15" x14ac:dyDescent="0.25">
      <c r="A8" s="184" t="s">
        <v>249</v>
      </c>
      <c r="B8" s="262" t="s">
        <v>235</v>
      </c>
      <c r="C8" s="265">
        <f>(C7*30)</f>
        <v>2972.1745619685571</v>
      </c>
      <c r="D8" s="251"/>
      <c r="E8" s="251"/>
      <c r="F8" s="251"/>
      <c r="G8" s="251"/>
    </row>
    <row r="9" spans="1:7" ht="15" x14ac:dyDescent="0.25">
      <c r="A9" s="184" t="s">
        <v>245</v>
      </c>
      <c r="B9" s="262" t="s">
        <v>97</v>
      </c>
      <c r="C9" s="266">
        <v>3</v>
      </c>
      <c r="D9" s="251"/>
      <c r="E9" s="251"/>
      <c r="F9" s="251"/>
      <c r="G9" s="251"/>
    </row>
    <row r="10" spans="1:7" ht="15" x14ac:dyDescent="0.25">
      <c r="A10" s="184" t="s">
        <v>244</v>
      </c>
      <c r="B10" s="262" t="s">
        <v>240</v>
      </c>
      <c r="C10" s="264">
        <f>IFERROR(C7*7/C9,0)</f>
        <v>231.16913259755441</v>
      </c>
      <c r="D10" s="251"/>
      <c r="E10" s="251"/>
      <c r="F10" s="251"/>
      <c r="G10" s="251"/>
    </row>
    <row r="11" spans="1:7" ht="15" x14ac:dyDescent="0.25">
      <c r="A11" s="260" t="s">
        <v>236</v>
      </c>
      <c r="B11" s="262" t="s">
        <v>237</v>
      </c>
      <c r="C11" s="225">
        <v>500</v>
      </c>
      <c r="D11" s="251"/>
      <c r="E11" s="251"/>
      <c r="F11" s="251"/>
      <c r="G11" s="251"/>
    </row>
    <row r="12" spans="1:7" ht="15" x14ac:dyDescent="0.25">
      <c r="A12" s="184" t="s">
        <v>250</v>
      </c>
      <c r="B12" s="262"/>
      <c r="C12" s="185">
        <v>2</v>
      </c>
      <c r="D12" s="251"/>
      <c r="E12" s="251"/>
      <c r="F12" s="251"/>
      <c r="G12" s="251"/>
    </row>
    <row r="13" spans="1:7" ht="15" x14ac:dyDescent="0.25">
      <c r="A13" s="260" t="s">
        <v>251</v>
      </c>
      <c r="B13" s="262" t="s">
        <v>238</v>
      </c>
      <c r="C13" s="185">
        <v>15</v>
      </c>
      <c r="D13" s="251"/>
      <c r="E13" s="251"/>
      <c r="F13" s="251"/>
      <c r="G13" s="251"/>
    </row>
    <row r="14" spans="1:7" ht="15" x14ac:dyDescent="0.25">
      <c r="A14" s="184" t="s">
        <v>246</v>
      </c>
      <c r="B14" s="262" t="s">
        <v>235</v>
      </c>
      <c r="C14" s="225">
        <f>IF(AND(C13&gt;=15,C12=1),5.8,C13/2)</f>
        <v>7.5</v>
      </c>
      <c r="D14" s="251"/>
      <c r="E14" s="251"/>
      <c r="F14" s="251"/>
      <c r="G14" s="251"/>
    </row>
    <row r="15" spans="1:7" ht="15" x14ac:dyDescent="0.25">
      <c r="A15" s="260" t="s">
        <v>247</v>
      </c>
      <c r="B15" s="262"/>
      <c r="C15" s="264">
        <f>IFERROR(C10/C14,0)</f>
        <v>30.822551013007253</v>
      </c>
      <c r="D15" s="251"/>
      <c r="E15" s="251"/>
      <c r="F15" s="251"/>
      <c r="G15" s="251"/>
    </row>
    <row r="16" spans="1:7" ht="15" x14ac:dyDescent="0.25">
      <c r="A16" s="260" t="s">
        <v>254</v>
      </c>
      <c r="B16" s="262"/>
      <c r="C16" s="267">
        <v>6</v>
      </c>
      <c r="D16" s="251"/>
      <c r="E16" s="251"/>
      <c r="F16" s="251"/>
      <c r="G16" s="251"/>
    </row>
    <row r="17" spans="1:7" ht="15.75" thickBot="1" x14ac:dyDescent="0.3">
      <c r="A17" s="268" t="s">
        <v>248</v>
      </c>
      <c r="B17" s="269"/>
      <c r="C17" s="270">
        <f>IFERROR(C15/C16,0)</f>
        <v>5.1370918355012085</v>
      </c>
      <c r="D17" s="251"/>
      <c r="E17" s="251"/>
      <c r="F17" s="251"/>
      <c r="G17" s="251"/>
    </row>
    <row r="18" spans="1:7" x14ac:dyDescent="0.2">
      <c r="A18" s="251"/>
      <c r="B18" s="251"/>
      <c r="C18" s="251"/>
      <c r="D18" s="251"/>
      <c r="E18" s="251"/>
      <c r="F18" s="251"/>
      <c r="G18" s="251"/>
    </row>
    <row r="19" spans="1:7" x14ac:dyDescent="0.2">
      <c r="A19" s="251"/>
      <c r="B19" s="251"/>
      <c r="C19" s="251"/>
      <c r="D19" s="251"/>
      <c r="E19" s="251"/>
      <c r="F19" s="251"/>
      <c r="G19" s="251"/>
    </row>
    <row r="20" spans="1:7" x14ac:dyDescent="0.2">
      <c r="A20" s="251"/>
      <c r="B20" s="251"/>
      <c r="C20" s="251"/>
      <c r="D20" s="251"/>
      <c r="E20" s="251"/>
      <c r="F20" s="251"/>
      <c r="G20" s="251"/>
    </row>
    <row r="21" spans="1:7" x14ac:dyDescent="0.2">
      <c r="A21" s="251"/>
      <c r="B21" s="251"/>
      <c r="C21" s="251"/>
      <c r="D21" s="251"/>
      <c r="E21" s="251"/>
      <c r="F21" s="251"/>
      <c r="G21" s="251"/>
    </row>
    <row r="22" spans="1:7" x14ac:dyDescent="0.2">
      <c r="A22" s="251"/>
      <c r="B22" s="251"/>
      <c r="C22" s="251"/>
      <c r="D22" s="251"/>
      <c r="E22" s="251"/>
      <c r="F22" s="251"/>
      <c r="G22" s="251"/>
    </row>
  </sheetData>
  <mergeCells count="1">
    <mergeCell ref="A2:C2"/>
  </mergeCells>
  <conditionalFormatting sqref="C14">
    <cfRule type="expression" dxfId="0" priority="1">
      <formula>"SE(E(C20&gt;=15;C19=1))"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8</vt:i4>
      </vt:variant>
      <vt:variant>
        <vt:lpstr>Intervalos nomeados</vt:lpstr>
      </vt:variant>
      <vt:variant>
        <vt:i4>6</vt:i4>
      </vt:variant>
    </vt:vector>
  </HeadingPairs>
  <TitlesOfParts>
    <vt:vector size="14" baseType="lpstr">
      <vt:lpstr>RESUMO</vt:lpstr>
      <vt:lpstr>1. Coleta Domiciliar</vt:lpstr>
      <vt:lpstr>2.Encargos Sociais</vt:lpstr>
      <vt:lpstr>3.CAGED</vt:lpstr>
      <vt:lpstr>4.BDI</vt:lpstr>
      <vt:lpstr>5. Depreciação</vt:lpstr>
      <vt:lpstr>6.Remuneração de capital</vt:lpstr>
      <vt:lpstr>7. Dimensionamento</vt:lpstr>
      <vt:lpstr>AbaDeprec</vt:lpstr>
      <vt:lpstr>AbaRemun</vt:lpstr>
      <vt:lpstr>'1. Coleta Domiciliar'!Area_de_impressao</vt:lpstr>
      <vt:lpstr>RESUMO!Area_de_impressao</vt:lpstr>
      <vt:lpstr>'1. Coleta Domiciliar'!Titulos_de_impressao</vt:lpstr>
      <vt:lpstr>RESUMO!Titulos_de_impressao</vt:lpstr>
    </vt:vector>
  </TitlesOfParts>
  <Company>dmlu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Planilha de Custos Coleta e Transporte RSU</dc:title>
  <dc:creator>Flavia Burmeister Martins</dc:creator>
  <cp:lastModifiedBy>SEMASA65</cp:lastModifiedBy>
  <cp:lastPrinted>2024-01-22T12:30:36Z</cp:lastPrinted>
  <dcterms:created xsi:type="dcterms:W3CDTF">2000-12-13T10:02:50Z</dcterms:created>
  <dcterms:modified xsi:type="dcterms:W3CDTF">2024-01-26T17:21:54Z</dcterms:modified>
</cp:coreProperties>
</file>