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40.5\users$\ricardo.omura\Desktop\Ricardo\Dom Daniel\"/>
    </mc:Choice>
  </mc:AlternateContent>
  <bookViews>
    <workbookView xWindow="0" yWindow="0" windowWidth="28800" windowHeight="12435" tabRatio="596" activeTab="1"/>
  </bookViews>
  <sheets>
    <sheet name="ORÇAMENTO EMEB DOM DANIEL" sheetId="1" r:id="rId1"/>
    <sheet name="COMPOSIÇÃO" sheetId="7" r:id="rId2"/>
    <sheet name="CRONOGRAMA" sheetId="2" r:id="rId3"/>
    <sheet name="CURVA ABC" sheetId="5" r:id="rId4"/>
    <sheet name="BDI" sheetId="3" r:id="rId5"/>
  </sheets>
  <definedNames>
    <definedName name="_xlnm.Print_Area" localSheetId="4">BDI!$A$1:$L$52</definedName>
    <definedName name="matriz">BDI!$Q$17:$V$21</definedName>
    <definedName name="matriz2">BDI!$Q$23:$V$27</definedName>
    <definedName name="TESTE">BDI!XEV:XEV*BDI!XEW:XEW</definedName>
  </definedNames>
  <calcPr calcId="152511"/>
</workbook>
</file>

<file path=xl/calcChain.xml><?xml version="1.0" encoding="utf-8"?>
<calcChain xmlns="http://schemas.openxmlformats.org/spreadsheetml/2006/main">
  <c r="H17" i="7" l="1"/>
  <c r="H16" i="7"/>
  <c r="H15" i="7"/>
  <c r="H14" i="7"/>
  <c r="H13" i="7"/>
  <c r="H12" i="7"/>
  <c r="H11" i="7"/>
  <c r="H10" i="7"/>
  <c r="H18" i="7" l="1"/>
  <c r="G31" i="1" s="1"/>
  <c r="J64" i="1"/>
  <c r="J55" i="1"/>
  <c r="J49" i="1"/>
  <c r="J41" i="1"/>
  <c r="J25" i="1"/>
  <c r="J19" i="1"/>
  <c r="J18" i="1"/>
  <c r="H18" i="1"/>
  <c r="I18" i="1"/>
  <c r="F18" i="1"/>
  <c r="F48" i="1" l="1"/>
  <c r="F47" i="1"/>
  <c r="F92" i="1"/>
  <c r="F93" i="1" s="1"/>
  <c r="F91" i="1"/>
  <c r="I93" i="1"/>
  <c r="I92" i="1" l="1"/>
  <c r="J92" i="1" s="1"/>
  <c r="H93" i="1"/>
  <c r="I91" i="1"/>
  <c r="H91" i="1"/>
  <c r="J93" i="1" l="1"/>
  <c r="J91" i="1"/>
  <c r="H92" i="1"/>
  <c r="F103" i="1"/>
  <c r="H53" i="1" l="1"/>
  <c r="I53" i="1"/>
  <c r="J53" i="1"/>
  <c r="H63" i="1" l="1"/>
  <c r="I63" i="1"/>
  <c r="J63" i="1" s="1"/>
  <c r="B18" i="5" l="1"/>
  <c r="B16" i="5"/>
  <c r="B15" i="5"/>
  <c r="B14" i="5"/>
  <c r="B13" i="5"/>
  <c r="B12" i="5"/>
  <c r="B11" i="5"/>
  <c r="B10" i="5"/>
  <c r="B9" i="5"/>
  <c r="B8" i="5"/>
  <c r="H3" i="5"/>
  <c r="H105" i="1"/>
  <c r="I105" i="1"/>
  <c r="J105" i="1" s="1"/>
  <c r="H48" i="1"/>
  <c r="I48" i="1"/>
  <c r="J48" i="1" s="1"/>
  <c r="H47" i="1"/>
  <c r="I47" i="1"/>
  <c r="J47" i="1" s="1"/>
  <c r="A43" i="3" l="1"/>
  <c r="B18" i="2" l="1"/>
  <c r="H16" i="1"/>
  <c r="I16" i="1"/>
  <c r="J16" i="1" s="1"/>
  <c r="H102" i="1"/>
  <c r="I102" i="1"/>
  <c r="J102" i="1" s="1"/>
  <c r="H15" i="1" l="1"/>
  <c r="I15" i="1"/>
  <c r="J15" i="1" s="1"/>
  <c r="I90" i="1" l="1"/>
  <c r="J90" i="1" s="1"/>
  <c r="H90" i="1"/>
  <c r="F54" i="1"/>
  <c r="I89" i="1" l="1"/>
  <c r="J89" i="1" s="1"/>
  <c r="J94" i="1" s="1"/>
  <c r="H89" i="1"/>
  <c r="H94" i="1" s="1"/>
  <c r="H104" i="1"/>
  <c r="I104" i="1"/>
  <c r="J104" i="1" s="1"/>
  <c r="I103" i="1"/>
  <c r="J103" i="1" s="1"/>
  <c r="H103" i="1"/>
  <c r="H54" i="1"/>
  <c r="I54" i="1"/>
  <c r="J54" i="1" s="1"/>
  <c r="C17" i="2" l="1"/>
  <c r="C17" i="5"/>
  <c r="H85" i="1"/>
  <c r="I85" i="1"/>
  <c r="J85" i="1" s="1"/>
  <c r="G17" i="2" l="1"/>
  <c r="O17" i="2"/>
  <c r="H62" i="1"/>
  <c r="I62" i="1"/>
  <c r="J62" i="1" s="1"/>
  <c r="F22" i="1"/>
  <c r="I9" i="1" l="1"/>
  <c r="J9" i="1" s="1"/>
  <c r="H99" i="1" l="1"/>
  <c r="H100" i="1"/>
  <c r="H101" i="1"/>
  <c r="H98" i="1"/>
  <c r="H68" i="1"/>
  <c r="H69" i="1"/>
  <c r="H70" i="1"/>
  <c r="H71" i="1"/>
  <c r="H72" i="1"/>
  <c r="H73" i="1"/>
  <c r="H74" i="1"/>
  <c r="H75" i="1"/>
  <c r="H76" i="1"/>
  <c r="H67" i="1"/>
  <c r="H81" i="1"/>
  <c r="H82" i="1"/>
  <c r="H83" i="1"/>
  <c r="H84" i="1"/>
  <c r="H80" i="1"/>
  <c r="H61" i="1"/>
  <c r="H59" i="1"/>
  <c r="H60" i="1"/>
  <c r="H58" i="1"/>
  <c r="H52" i="1"/>
  <c r="H55" i="1" s="1"/>
  <c r="H44" i="1"/>
  <c r="H45" i="1"/>
  <c r="H46" i="1"/>
  <c r="H40" i="1"/>
  <c r="H37" i="1"/>
  <c r="H38" i="1"/>
  <c r="H39" i="1"/>
  <c r="H36" i="1"/>
  <c r="H29" i="1"/>
  <c r="H30" i="1"/>
  <c r="H31" i="1"/>
  <c r="H32" i="1"/>
  <c r="H28" i="1"/>
  <c r="H23" i="1"/>
  <c r="H24" i="1"/>
  <c r="H22" i="1"/>
  <c r="H10" i="1"/>
  <c r="H11" i="1"/>
  <c r="H12" i="1"/>
  <c r="H13" i="1"/>
  <c r="H14" i="1"/>
  <c r="H17" i="1"/>
  <c r="H9" i="1"/>
  <c r="H64" i="1" l="1"/>
  <c r="H86" i="1"/>
  <c r="H77" i="1"/>
  <c r="H106" i="1"/>
  <c r="H19" i="1"/>
  <c r="H33" i="1"/>
  <c r="H41" i="1"/>
  <c r="H25" i="1"/>
  <c r="H49" i="1"/>
  <c r="I36" i="1"/>
  <c r="J36" i="1" s="1"/>
  <c r="H107" i="1" l="1"/>
  <c r="H3" i="2"/>
  <c r="G3" i="1" l="1"/>
  <c r="I17" i="1" l="1"/>
  <c r="J17" i="1" s="1"/>
  <c r="I14" i="1" l="1"/>
  <c r="J14" i="1" s="1"/>
  <c r="I68" i="1" l="1"/>
  <c r="J68" i="1" s="1"/>
  <c r="I69" i="1"/>
  <c r="J69" i="1" s="1"/>
  <c r="I70" i="1"/>
  <c r="J70" i="1" s="1"/>
  <c r="I71" i="1"/>
  <c r="J71" i="1" s="1"/>
  <c r="I72" i="1"/>
  <c r="J72" i="1" s="1"/>
  <c r="I73" i="1"/>
  <c r="J73" i="1" s="1"/>
  <c r="I74" i="1"/>
  <c r="J74" i="1" s="1"/>
  <c r="I75" i="1"/>
  <c r="J75" i="1" s="1"/>
  <c r="I76" i="1"/>
  <c r="J76" i="1" s="1"/>
  <c r="I59" i="1"/>
  <c r="J59" i="1" s="1"/>
  <c r="I60" i="1"/>
  <c r="J60" i="1" s="1"/>
  <c r="I61" i="1"/>
  <c r="J61" i="1" s="1"/>
  <c r="I44" i="1"/>
  <c r="J44" i="1" s="1"/>
  <c r="I45" i="1"/>
  <c r="J45" i="1" s="1"/>
  <c r="I46" i="1"/>
  <c r="J46" i="1" s="1"/>
  <c r="I37" i="1"/>
  <c r="J37" i="1" s="1"/>
  <c r="I38" i="1"/>
  <c r="J38" i="1" s="1"/>
  <c r="I39" i="1"/>
  <c r="J39" i="1" s="1"/>
  <c r="I29" i="1"/>
  <c r="J29" i="1" s="1"/>
  <c r="I30" i="1"/>
  <c r="J30" i="1" s="1"/>
  <c r="I31" i="1"/>
  <c r="J31" i="1" s="1"/>
  <c r="J33" i="1" s="1"/>
  <c r="J108" i="1" s="1"/>
  <c r="I32" i="1"/>
  <c r="J32" i="1" s="1"/>
  <c r="I23" i="1"/>
  <c r="J23" i="1" s="1"/>
  <c r="I24" i="1"/>
  <c r="J24" i="1" s="1"/>
  <c r="I10" i="1"/>
  <c r="J10" i="1" s="1"/>
  <c r="I11" i="1"/>
  <c r="J11" i="1" s="1"/>
  <c r="I12" i="1"/>
  <c r="J12" i="1" s="1"/>
  <c r="I13" i="1"/>
  <c r="J13" i="1" s="1"/>
  <c r="C12" i="5" l="1"/>
  <c r="I58" i="1"/>
  <c r="J58" i="1" s="1"/>
  <c r="C14" i="5" s="1"/>
  <c r="C8" i="2" l="1"/>
  <c r="C8" i="5"/>
  <c r="B16" i="2"/>
  <c r="B15" i="2"/>
  <c r="B14" i="2"/>
  <c r="B13" i="2"/>
  <c r="B12" i="2"/>
  <c r="B11" i="2"/>
  <c r="B10" i="2"/>
  <c r="B9" i="2"/>
  <c r="B8" i="2"/>
  <c r="M8" i="2" l="1"/>
  <c r="O8" i="2"/>
  <c r="I99" i="1"/>
  <c r="J99" i="1" s="1"/>
  <c r="I100" i="1"/>
  <c r="J100" i="1" s="1"/>
  <c r="I101" i="1"/>
  <c r="J101" i="1" s="1"/>
  <c r="I81" i="1"/>
  <c r="J81" i="1" s="1"/>
  <c r="I82" i="1"/>
  <c r="J82" i="1" s="1"/>
  <c r="I83" i="1"/>
  <c r="J83" i="1" s="1"/>
  <c r="I84" i="1"/>
  <c r="J84" i="1" s="1"/>
  <c r="I40" i="1" l="1"/>
  <c r="J40" i="1" s="1"/>
  <c r="C11" i="5" l="1"/>
  <c r="C11" i="2"/>
  <c r="O11" i="2" s="1"/>
  <c r="R37" i="3"/>
  <c r="Q37" i="3"/>
  <c r="N34" i="3"/>
  <c r="N31" i="3"/>
  <c r="N30" i="3"/>
  <c r="N32" i="3" s="1"/>
  <c r="N33" i="3" s="1"/>
  <c r="N35" i="3" s="1"/>
  <c r="G42" i="3" s="1"/>
  <c r="H25" i="3"/>
  <c r="N24" i="3"/>
  <c r="I23" i="3" s="1"/>
  <c r="I24" i="3"/>
  <c r="H24" i="3"/>
  <c r="G24" i="3"/>
  <c r="F24" i="3"/>
  <c r="G22" i="3"/>
  <c r="G21" i="3"/>
  <c r="I19" i="3"/>
  <c r="H19" i="3"/>
  <c r="G19" i="3" s="1"/>
  <c r="I18" i="3"/>
  <c r="H18" i="3"/>
  <c r="I17" i="3"/>
  <c r="H17" i="3"/>
  <c r="G17" i="3" s="1"/>
  <c r="I16" i="3"/>
  <c r="H16" i="3"/>
  <c r="I15" i="3"/>
  <c r="H15" i="3"/>
  <c r="P10" i="3"/>
  <c r="C13" i="3" s="1"/>
  <c r="G16" i="3" l="1"/>
  <c r="G18" i="3"/>
  <c r="G15" i="3"/>
  <c r="I20" i="3"/>
  <c r="F23" i="3"/>
  <c r="F20" i="3"/>
  <c r="J21" i="3"/>
  <c r="H23" i="3"/>
  <c r="A8" i="3"/>
  <c r="H20" i="3"/>
  <c r="G20" i="3" s="1"/>
  <c r="B40" i="3"/>
  <c r="B39" i="3"/>
  <c r="G23" i="3" l="1"/>
  <c r="N18" i="3"/>
  <c r="F27" i="3"/>
  <c r="N59" i="3" l="1"/>
  <c r="Q43" i="3"/>
  <c r="R43" i="3"/>
  <c r="R42" i="3"/>
  <c r="Q42" i="3"/>
  <c r="N20" i="3"/>
  <c r="R44" i="3" l="1"/>
  <c r="N28" i="3" s="1"/>
  <c r="Q44" i="3"/>
  <c r="N27" i="3" s="1"/>
  <c r="N22" i="3"/>
  <c r="N19" i="3" s="1"/>
  <c r="Q39" i="3"/>
  <c r="B36" i="3" l="1"/>
  <c r="N57" i="3"/>
  <c r="N58" i="3"/>
  <c r="N54" i="3" l="1"/>
  <c r="G27" i="3" s="1"/>
  <c r="I28" i="1" l="1"/>
  <c r="J28" i="1" s="1"/>
  <c r="C10" i="5" l="1"/>
  <c r="C10" i="2"/>
  <c r="O10" i="2" s="1"/>
  <c r="I10" i="2" l="1"/>
  <c r="K10" i="2"/>
  <c r="M10" i="2"/>
  <c r="I98" i="1"/>
  <c r="J98" i="1" s="1"/>
  <c r="J106" i="1" s="1"/>
  <c r="I80" i="1"/>
  <c r="J80" i="1" s="1"/>
  <c r="I67" i="1"/>
  <c r="J67" i="1" s="1"/>
  <c r="J77" i="1" l="1"/>
  <c r="C15" i="5" s="1"/>
  <c r="J86" i="1"/>
  <c r="C16" i="5" s="1"/>
  <c r="C18" i="5"/>
  <c r="C18" i="2"/>
  <c r="C14" i="2"/>
  <c r="O14" i="2" s="1"/>
  <c r="C16" i="2"/>
  <c r="O16" i="2" s="1"/>
  <c r="K18" i="2" l="1"/>
  <c r="I18" i="2"/>
  <c r="G18" i="2"/>
  <c r="O18" i="2"/>
  <c r="M18" i="2"/>
  <c r="E18" i="2"/>
  <c r="E17" i="2"/>
  <c r="K17" i="2"/>
  <c r="I17" i="2"/>
  <c r="M17" i="2"/>
  <c r="M16" i="2"/>
  <c r="E16" i="2"/>
  <c r="K16" i="2"/>
  <c r="I16" i="2"/>
  <c r="G16" i="2"/>
  <c r="I11" i="2"/>
  <c r="M11" i="2"/>
  <c r="K11" i="2"/>
  <c r="I14" i="2"/>
  <c r="M14" i="2"/>
  <c r="K14" i="2"/>
  <c r="I22" i="1"/>
  <c r="J22" i="1" s="1"/>
  <c r="C9" i="5" l="1"/>
  <c r="C9" i="2"/>
  <c r="O9" i="2" s="1"/>
  <c r="C15" i="2"/>
  <c r="O15" i="2" s="1"/>
  <c r="I52" i="1"/>
  <c r="J52" i="1" s="1"/>
  <c r="C12" i="2"/>
  <c r="O12" i="2" s="1"/>
  <c r="C13" i="5" l="1"/>
  <c r="I12" i="2"/>
  <c r="M12" i="2"/>
  <c r="K12" i="2"/>
  <c r="I15" i="2"/>
  <c r="M15" i="2"/>
  <c r="K15" i="2"/>
  <c r="C19" i="5" l="1"/>
  <c r="D13" i="5" s="1"/>
  <c r="J9" i="5" s="1"/>
  <c r="E9" i="2"/>
  <c r="E10" i="2"/>
  <c r="E12" i="2"/>
  <c r="E14" i="2"/>
  <c r="G12" i="2"/>
  <c r="G10" i="2"/>
  <c r="E11" i="2"/>
  <c r="G14" i="2"/>
  <c r="E15" i="2"/>
  <c r="G11" i="2"/>
  <c r="G15" i="2"/>
  <c r="J3" i="5" l="1"/>
  <c r="D17" i="5"/>
  <c r="J14" i="5" s="1"/>
  <c r="D12" i="5"/>
  <c r="J12" i="5" s="1"/>
  <c r="D14" i="5"/>
  <c r="J17" i="5" s="1"/>
  <c r="D8" i="5"/>
  <c r="J13" i="5" s="1"/>
  <c r="D11" i="5"/>
  <c r="J8" i="5" s="1"/>
  <c r="D10" i="5"/>
  <c r="J11" i="5" s="1"/>
  <c r="D15" i="5"/>
  <c r="J15" i="5" s="1"/>
  <c r="D16" i="5"/>
  <c r="J16" i="5" s="1"/>
  <c r="D18" i="5"/>
  <c r="J10" i="5" s="1"/>
  <c r="D9" i="5"/>
  <c r="J18" i="5" s="1"/>
  <c r="G9" i="2"/>
  <c r="K9" i="2"/>
  <c r="M9" i="2"/>
  <c r="I9" i="2"/>
  <c r="E8" i="2"/>
  <c r="I8" i="2"/>
  <c r="G8" i="2"/>
  <c r="K8" i="2"/>
  <c r="J19" i="5" l="1"/>
  <c r="D19" i="5"/>
  <c r="I3" i="1"/>
  <c r="C13" i="2"/>
  <c r="O13" i="2" s="1"/>
  <c r="O19" i="2" s="1"/>
  <c r="M13" i="2" l="1"/>
  <c r="M19" i="2" s="1"/>
  <c r="C19" i="2"/>
  <c r="K13" i="2"/>
  <c r="K19" i="2" s="1"/>
  <c r="E13" i="2"/>
  <c r="E19" i="2" s="1"/>
  <c r="I13" i="2"/>
  <c r="I19" i="2" s="1"/>
  <c r="G13" i="2"/>
  <c r="G19" i="2" s="1"/>
  <c r="J3" i="2" l="1"/>
  <c r="N19" i="2"/>
  <c r="D19" i="2"/>
  <c r="D20" i="2" s="1"/>
  <c r="F19" i="2"/>
  <c r="L19" i="2"/>
  <c r="E20" i="2"/>
  <c r="G20" i="2" s="1"/>
  <c r="I20" i="2" s="1"/>
  <c r="K20" i="2" s="1"/>
  <c r="M20" i="2" s="1"/>
  <c r="O20" i="2" s="1"/>
  <c r="J19" i="2"/>
  <c r="H19" i="2"/>
  <c r="F20" i="2" l="1"/>
  <c r="H20" i="2" s="1"/>
  <c r="J20" i="2" s="1"/>
  <c r="L20" i="2" l="1"/>
  <c r="N20" i="2" s="1"/>
</calcChain>
</file>

<file path=xl/sharedStrings.xml><?xml version="1.0" encoding="utf-8"?>
<sst xmlns="http://schemas.openxmlformats.org/spreadsheetml/2006/main" count="585" uniqueCount="337">
  <si>
    <t>ITEM</t>
  </si>
  <si>
    <t>1.1</t>
  </si>
  <si>
    <t>2.1</t>
  </si>
  <si>
    <t>3.1</t>
  </si>
  <si>
    <t>CRONOGRAMA FÍSICO/FINANCEIRO</t>
  </si>
  <si>
    <t>Valor Acumulado</t>
  </si>
  <si>
    <t>Mês 01</t>
  </si>
  <si>
    <t>Mês 02</t>
  </si>
  <si>
    <t>Mês 03</t>
  </si>
  <si>
    <t>No mês</t>
  </si>
  <si>
    <t>Valor Medido</t>
  </si>
  <si>
    <t>ACUMULADO</t>
  </si>
  <si>
    <t>4.1</t>
  </si>
  <si>
    <t>4.2</t>
  </si>
  <si>
    <t>7.1</t>
  </si>
  <si>
    <t>BDI</t>
  </si>
  <si>
    <t>DATA</t>
  </si>
  <si>
    <t>VALOR DA OBRA C/ BDI:</t>
  </si>
  <si>
    <t>CÓDIGO</t>
  </si>
  <si>
    <t>FONTE</t>
  </si>
  <si>
    <t>DESCRIÇÃO DOS SERVIÇOS</t>
  </si>
  <si>
    <t>UND</t>
  </si>
  <si>
    <t>QTDADE</t>
  </si>
  <si>
    <t>PR. UNIT. S/ BDI  (R$)</t>
  </si>
  <si>
    <t>PREÇO UNIT. C/ BDI (R$)</t>
  </si>
  <si>
    <t>VALOR (R$)</t>
  </si>
  <si>
    <t>1.</t>
  </si>
  <si>
    <t>SERVIÇOS PRELIMINARES</t>
  </si>
  <si>
    <t>DEINFRA</t>
  </si>
  <si>
    <t>m²</t>
  </si>
  <si>
    <t>2.</t>
  </si>
  <si>
    <t>MOVIMENTAÇÃO DE TERRAS E TRANSPORTE</t>
  </si>
  <si>
    <t>m³</t>
  </si>
  <si>
    <t>Remoção de entulho</t>
  </si>
  <si>
    <t>Subtotal item 2.0</t>
  </si>
  <si>
    <t>3.</t>
  </si>
  <si>
    <t>SINAPI</t>
  </si>
  <si>
    <t>SERVIÇOS EM CONCRETO ARMADO</t>
  </si>
  <si>
    <t>4.</t>
  </si>
  <si>
    <t>Subtotal item 1.0</t>
  </si>
  <si>
    <t>5.</t>
  </si>
  <si>
    <t>Subtotal item 3.0</t>
  </si>
  <si>
    <t>7.</t>
  </si>
  <si>
    <t>8.</t>
  </si>
  <si>
    <t>9.</t>
  </si>
  <si>
    <t>9.1</t>
  </si>
  <si>
    <t>ELÉTRICA</t>
  </si>
  <si>
    <t>SERVIÇOS DIVERSOS</t>
  </si>
  <si>
    <t>PINTURA E ACABAMENTOS</t>
  </si>
  <si>
    <t>Locação de obra</t>
  </si>
  <si>
    <t>PLANILHA ORÇAMENTÁRIA</t>
  </si>
  <si>
    <t>Projeto Executivo Completo - Elétrico e SPDA</t>
  </si>
  <si>
    <t>Regularização e compactação do fundo de valas</t>
  </si>
  <si>
    <t>Movimento manual de terra (escavação e reaterro)</t>
  </si>
  <si>
    <t>SERVIÇOS EM ESTRUTURA METÁLICA</t>
  </si>
  <si>
    <t>m</t>
  </si>
  <si>
    <t>Telha metálica ondulada acabamento natural, espessura 0,5mm (fechamento lateral)</t>
  </si>
  <si>
    <t>Rufo em chapa metálica</t>
  </si>
  <si>
    <t>Pintura esmalte para telhamento metálico com fundo anticorrosivo, 2 demãos</t>
  </si>
  <si>
    <t>Tubo PVC para água pluvial Ø 150mm, fornecimento e instalação</t>
  </si>
  <si>
    <t>DRENAGEM DE ÁGUAS PLUVIAIS E ACESSÓRIOS</t>
  </si>
  <si>
    <t>Dispositivo diferencial residual 25A, fornecimento e instalação</t>
  </si>
  <si>
    <t>Tomada universal 2P+T 20A/250V com suporte e placa, fornecimento e instalação</t>
  </si>
  <si>
    <t>1.2</t>
  </si>
  <si>
    <t>1.3</t>
  </si>
  <si>
    <t>1.4</t>
  </si>
  <si>
    <t>1.5</t>
  </si>
  <si>
    <t>2.2</t>
  </si>
  <si>
    <t>2.3</t>
  </si>
  <si>
    <t>3.2</t>
  </si>
  <si>
    <t>3.3</t>
  </si>
  <si>
    <t>3.4</t>
  </si>
  <si>
    <t>3.5</t>
  </si>
  <si>
    <t>4.4</t>
  </si>
  <si>
    <t>Subtotal item 4.0</t>
  </si>
  <si>
    <t>PISOS</t>
  </si>
  <si>
    <t>Subtotal item 5.0</t>
  </si>
  <si>
    <t>6.</t>
  </si>
  <si>
    <t>6.1</t>
  </si>
  <si>
    <t>6.2</t>
  </si>
  <si>
    <t>6.3</t>
  </si>
  <si>
    <t>Subtotal item 6.0</t>
  </si>
  <si>
    <t>7.2</t>
  </si>
  <si>
    <t>Subtotal item 7.0</t>
  </si>
  <si>
    <t>Cabo de cobre flexível, isolado, seção de 2,5mm²; anti-chama 450/750V</t>
  </si>
  <si>
    <t>Cabo de cobre flexível, isolado, seção de 4mm²; anti-chama 450/750V</t>
  </si>
  <si>
    <t>Quadro de distribuição de energia - Fornecimento e Instalação</t>
  </si>
  <si>
    <t>SISTEMA DE PROTEÇÃO CONTRA DESCARGAS ATMOSFÉRICAS (SPDA)</t>
  </si>
  <si>
    <t>Cordoalha de cobre nu 35mm², fornecimento e instalação</t>
  </si>
  <si>
    <t>Cordoalha de cobre nu 50mm², fornecimento e instalação</t>
  </si>
  <si>
    <t>Eletroduto de PVC rígido Ø 50mm, fornecimento e instalação</t>
  </si>
  <si>
    <t>Limpeza final</t>
  </si>
  <si>
    <t>Subtotal item 8.0</t>
  </si>
  <si>
    <t xml:space="preserve">TOTAL COM BDI </t>
  </si>
  <si>
    <t>und</t>
  </si>
  <si>
    <t>Armação CA-50 e CA-60 p/ 1,0m³ de concreto</t>
  </si>
  <si>
    <t>Lastro com material granular, espessura 5cm</t>
  </si>
  <si>
    <t>Forma de madeira em tábuas</t>
  </si>
  <si>
    <t xml:space="preserve">Pintura de acrílica de piso - quadra poliesportiva, 3 demãos </t>
  </si>
  <si>
    <t>Broca de concreto armado - D: 30cm</t>
  </si>
  <si>
    <t>Agente Promotor</t>
  </si>
  <si>
    <t>Número do Contrato</t>
  </si>
  <si>
    <t>.</t>
  </si>
  <si>
    <t>SECRETARIA DA EDUCAÇÃO DO MUNICÍPIO LAGES</t>
  </si>
  <si>
    <t>Empreendimento</t>
  </si>
  <si>
    <t>Localização</t>
  </si>
  <si>
    <t>Programa</t>
  </si>
  <si>
    <t>VERSÃO 1.18 (Dez/2015)</t>
  </si>
  <si>
    <t>TIPO DE OBRA</t>
  </si>
  <si>
    <t>Construção de Edifícios</t>
  </si>
  <si>
    <t>Construção de Rodovias e Ferrovias</t>
  </si>
  <si>
    <t>Construção de Redes de Abastecimento de Água, Coleta de Esgoto e Construções Correlatas</t>
  </si>
  <si>
    <t>Construção e Manutenção de Estações e Redes de Distribuição de Energia Elétrica</t>
  </si>
  <si>
    <t>DESCRIÇÃO ANALÍTICA</t>
  </si>
  <si>
    <t>SIGLAS</t>
  </si>
  <si>
    <t>PERCENTUAL</t>
  </si>
  <si>
    <t>SITUAÇÃO</t>
  </si>
  <si>
    <t>1º QUARTIL (MÍNIMO)</t>
  </si>
  <si>
    <t>3º QUARTIL (MÁXIMO)</t>
  </si>
  <si>
    <t>Obras Portuárias, Marítimas e Fluviais</t>
  </si>
  <si>
    <t>ADMINISTRAÇÃO CENTRAL</t>
  </si>
  <si>
    <t>AC</t>
  </si>
  <si>
    <t>Fornecimento de Materiais e Equipamentos</t>
  </si>
  <si>
    <t>SEGURO E GARANTIA</t>
  </si>
  <si>
    <t>S + G</t>
  </si>
  <si>
    <t>minimos</t>
  </si>
  <si>
    <t>RISCO</t>
  </si>
  <si>
    <t>R</t>
  </si>
  <si>
    <t>DESPESAS FINANCEIRAS</t>
  </si>
  <si>
    <t>DF</t>
  </si>
  <si>
    <t>LUCRO</t>
  </si>
  <si>
    <t>L</t>
  </si>
  <si>
    <t>TAXA REPRESENTATIVA DE TRIBUTOS</t>
  </si>
  <si>
    <t>I = PIS+COFINS+ISS+CPRB</t>
  </si>
  <si>
    <t>PIS</t>
  </si>
  <si>
    <t>%</t>
  </si>
  <si>
    <t>Alíquota ISS:</t>
  </si>
  <si>
    <t>Base de cálculo:</t>
  </si>
  <si>
    <t>COFINS</t>
  </si>
  <si>
    <t>maximos</t>
  </si>
  <si>
    <t>CONTRIBUIÇÃO PREVIDENCIÁRIA SOBRE A RECEITA BRUTA</t>
  </si>
  <si>
    <t>CPRB</t>
  </si>
  <si>
    <t>6.4</t>
  </si>
  <si>
    <t>ISS</t>
  </si>
  <si>
    <t>LIMITE CONFORME ACÓRDÃO TCU 2.622/2013</t>
  </si>
  <si>
    <t>Composição do BDI para obras com mão-de-obra desonerada (conforme Lei 13.161 de 2015)</t>
  </si>
  <si>
    <t>Fórmula - Acórdão TCU 2.622/2013:</t>
  </si>
  <si>
    <t>Composição do BDI para obras com mão-de-obra onerada</t>
  </si>
  <si>
    <t>de 20,34% a 25,00%</t>
  </si>
  <si>
    <t>Justificativas e Observações:</t>
  </si>
  <si>
    <t>de 19,60% a 24,23%</t>
  </si>
  <si>
    <t>de 20,76% a 26,44%</t>
  </si>
  <si>
    <t>de 24,00% a 27,86%</t>
  </si>
  <si>
    <t>de 22,80% a 30,95%</t>
  </si>
  <si>
    <t>de 11,10% a 16,80%</t>
  </si>
  <si>
    <t>LIMITES DE BDI</t>
  </si>
  <si>
    <t>Obs¹: Para pagamento de material em canteiro, quando possível nos programas do Gestor, o BDI de Materiais deve ser limitado a 12,00%.</t>
  </si>
  <si>
    <t>Calculo real:</t>
  </si>
  <si>
    <t>Declaração do Tomador dos Recursos:</t>
  </si>
  <si>
    <t>1= abaixo</t>
  </si>
  <si>
    <t>2= dentro</t>
  </si>
  <si>
    <t>3= acima</t>
  </si>
  <si>
    <t>real</t>
  </si>
  <si>
    <t>OK</t>
  </si>
  <si>
    <t>final</t>
  </si>
  <si>
    <t>Data</t>
  </si>
  <si>
    <t>Percentual do BDI inferior ao limite estipulado pelo Acórdão TCU 2.622/2013.</t>
  </si>
  <si>
    <t>2= final abaixo</t>
  </si>
  <si>
    <t>Percentual do BDI quando calculado sem desoneração é inferior ao limite estipulado pelo Acórdão TCU 2.622/2013.</t>
  </si>
  <si>
    <t>3= final dentro real abaixo</t>
  </si>
  <si>
    <t>OK!</t>
  </si>
  <si>
    <t>4= final dentro real dentro</t>
  </si>
  <si>
    <t>OK! Percentual do BDI quando calculado sem desoneração atende ao limite estipulado pelo Acórdão TCU 2.622/2013.</t>
  </si>
  <si>
    <t>5= final acima real dentro</t>
  </si>
  <si>
    <t>Responsável Técnico pela Composição do BDI</t>
  </si>
  <si>
    <t>Responsável indicado pelo Tomador</t>
  </si>
  <si>
    <t>Percentual do BDI superior ao limite estipulado pelo Acórdão TCU 2.622/2013.</t>
  </si>
  <si>
    <t>6= final acima real acima</t>
  </si>
  <si>
    <t xml:space="preserve">Nome: </t>
  </si>
  <si>
    <t>Nome:</t>
  </si>
  <si>
    <t>Registro:</t>
  </si>
  <si>
    <t>Cargo:</t>
  </si>
  <si>
    <t>Eu, responsável técnico pelo orçamento, declaro para os devidos fins, que a opção pela desoneração sobre a folha de pagamento é mais adequada para a administração pública.</t>
  </si>
  <si>
    <t>ART/RRT:</t>
  </si>
  <si>
    <t>CPF:</t>
  </si>
  <si>
    <t>Eu, responsável técnico pelo orçamento, declaro para os devidos fins, que a opção pela oneração sobre a folha de pagamento é mais adequada para a administração pública.</t>
  </si>
  <si>
    <t>onerado</t>
  </si>
  <si>
    <t>desonerado</t>
  </si>
  <si>
    <t>Traves de futebol incluso rede - Conjunto de 2 traves - pintadas</t>
  </si>
  <si>
    <t>Balizas para voleibol incluso rede - Conjunto de 2 balizas - pintadas</t>
  </si>
  <si>
    <t>Calha em chapa metálica - desenvolvimento 50cm</t>
  </si>
  <si>
    <t>5.3</t>
  </si>
  <si>
    <t>9.2</t>
  </si>
  <si>
    <t>9.3</t>
  </si>
  <si>
    <t>9.4</t>
  </si>
  <si>
    <t>10.</t>
  </si>
  <si>
    <t>10.1</t>
  </si>
  <si>
    <t>10.2</t>
  </si>
  <si>
    <t>Mês 04</t>
  </si>
  <si>
    <t>Mês 05</t>
  </si>
  <si>
    <t>Tubo PVC para água pluvial Ø 100mm, fornecimento e instalação</t>
  </si>
  <si>
    <t>Joelho PVC 90º para água pluvial Ø 100mm, fornecimento e instalação</t>
  </si>
  <si>
    <t>Entrada trifásica baixa tensão - quadra</t>
  </si>
  <si>
    <t>1.6</t>
  </si>
  <si>
    <t>7.3</t>
  </si>
  <si>
    <t>8.1</t>
  </si>
  <si>
    <t>8.3</t>
  </si>
  <si>
    <t>8.2</t>
  </si>
  <si>
    <t>8.4</t>
  </si>
  <si>
    <t>8.6</t>
  </si>
  <si>
    <t>8.8</t>
  </si>
  <si>
    <t>8.9</t>
  </si>
  <si>
    <t>8.10</t>
  </si>
  <si>
    <t>Subtotal item 9.0</t>
  </si>
  <si>
    <t>1.7</t>
  </si>
  <si>
    <t>Sondagem a percussão</t>
  </si>
  <si>
    <t>1.8</t>
  </si>
  <si>
    <t>Abrigo provisório de pinus</t>
  </si>
  <si>
    <t>RUA GLOROCINDO ALVES PAIN, SN - DOM DANIEL</t>
  </si>
  <si>
    <t>COMP 01</t>
  </si>
  <si>
    <t>Estrutura Metalica Viga/ Pilares /Tirantes/ Chumbadores /ETC - até 25 kg/m²</t>
  </si>
  <si>
    <t>Caixa de inspeção - 60x60x60cm - em alvenaria com tampa</t>
  </si>
  <si>
    <t>Haste de aterramento 3/4 para SPDA</t>
  </si>
  <si>
    <t>Terminal de pressão reforçado para cabo</t>
  </si>
  <si>
    <t>Disjuntor tripolar 10 até 50A, fornecimento e instalação</t>
  </si>
  <si>
    <t>Disjuntor tripolar 60 até 100A, fornecimento e instalação</t>
  </si>
  <si>
    <t>______________________________________________</t>
  </si>
  <si>
    <t>IVANA E. MICHALTCHUK</t>
  </si>
  <si>
    <t>Secretária da Educação</t>
  </si>
  <si>
    <t>Prefeitura Municipal de Lages</t>
  </si>
  <si>
    <t>______________________________________</t>
  </si>
  <si>
    <t>Responsável Técnico</t>
  </si>
  <si>
    <t>OBS 02: Salienta-se que os interessados em participar do certame deverão conferir previamente todo o orçamento, verificando os preços, quantitativos e serviços solicitados na sua integralidade. Deste modo, não poderão alegar o desconhecimento de algum item apresentado caso venham a se tornar vencedores do processo licitatório.</t>
  </si>
  <si>
    <t>Eletroduto de PVC Ø 32mm, inclusive conexões</t>
  </si>
  <si>
    <t>TOTAL C/BDI (27,65%)</t>
  </si>
  <si>
    <t>Projeto Executivo Completo - Estrutural c/ fundações e rampa</t>
  </si>
  <si>
    <t>Concreto  Fck = 25MPa; incluindo preparo, lançamento e adensamento</t>
  </si>
  <si>
    <t xml:space="preserve">Preço base: FEV/2024 - SINAPI - DESONERADO | JAN/21 - DEINFRA </t>
  </si>
  <si>
    <t>RICARDO KAZUITI OMURA JUNIOR</t>
  </si>
  <si>
    <t>Responsável Técnico: RICARDO KAZUITI OMURA JUNIOR</t>
  </si>
  <si>
    <t>ENGº RICARDO KAZUITI OMURA JUNIOR</t>
  </si>
  <si>
    <t>CREA/SC 157160-2</t>
  </si>
  <si>
    <t>Tapume com compensado de madeira</t>
  </si>
  <si>
    <t>Joelho PVC 45º para água pluvial 100mm, fornecimento e instalação</t>
  </si>
  <si>
    <t>Caixa de inspeção para aterramento e para-raios, em polipropileno, Ø30mm</t>
  </si>
  <si>
    <t>Execução de passeio (calçada) ou piso em concreto moldado in loco, espessura 6cm, armado</t>
  </si>
  <si>
    <t>Corrimão simples, diâmetro interno = 1.1/2", em aço galvanizado</t>
  </si>
  <si>
    <t>Cobertura com chapa policarbonato</t>
  </si>
  <si>
    <t>Muro de arrimo - Concreto armado 12cm 20MPa</t>
  </si>
  <si>
    <t>Subtotal item 10</t>
  </si>
  <si>
    <t>Refletor com 1 lampada, Potência 125W - Fornecimento e Instalação</t>
  </si>
  <si>
    <t>11.</t>
  </si>
  <si>
    <t>11.1</t>
  </si>
  <si>
    <t>11.2</t>
  </si>
  <si>
    <t>11.3</t>
  </si>
  <si>
    <t>11.4</t>
  </si>
  <si>
    <t>11.5</t>
  </si>
  <si>
    <t>11.6</t>
  </si>
  <si>
    <t>11.7</t>
  </si>
  <si>
    <t>Subtotal item 11.0</t>
  </si>
  <si>
    <t>Alvenaria de bloco de concreto estrutural 14x19x39 cm</t>
  </si>
  <si>
    <t>OBS 01: Todos os referenciais de preços constantes nesta planilha foram retirados na tabela SINAPI do mês de Fevereiro de 2024, conforme o Decreto nº 7.983, Art. 3o, de 8 de abril de 2013. Quando não constante em tabela SINAPI, a referência de preço foi retirada da tabela DEINFRA e SEINFRA com datas de atualização mais recentes.</t>
  </si>
  <si>
    <t>1.9</t>
  </si>
  <si>
    <t>Remoção de alambrados para quadras poliesportivas, estruturado por tubos de aço galvanizado com tela de arame galvanizado, de forma manual, sem reaproveitamento</t>
  </si>
  <si>
    <t>5.1</t>
  </si>
  <si>
    <t>5.2</t>
  </si>
  <si>
    <t>Rede de nylon para proteção com estrutura</t>
  </si>
  <si>
    <t>11.8</t>
  </si>
  <si>
    <t>9.5</t>
  </si>
  <si>
    <t>9.6</t>
  </si>
  <si>
    <t>8.5</t>
  </si>
  <si>
    <t>8.7</t>
  </si>
  <si>
    <t>7.4</t>
  </si>
  <si>
    <t>7.5</t>
  </si>
  <si>
    <t>4.3</t>
  </si>
  <si>
    <t>4.5</t>
  </si>
  <si>
    <t>1.10</t>
  </si>
  <si>
    <t>Corte, Recorte e Remoção de árvores inclusive raízes Diâm. De 15 a 60cm</t>
  </si>
  <si>
    <t>RICARDO K. OMURA JR.</t>
  </si>
  <si>
    <t>Mês 06</t>
  </si>
  <si>
    <t>5.4</t>
  </si>
  <si>
    <t>Pintura látex acrílica premium, aplicação manual em paredes, duas demãos</t>
  </si>
  <si>
    <t>5.5</t>
  </si>
  <si>
    <t>Fundo selador acrílico, aplicação manual em paredes, uma demão</t>
  </si>
  <si>
    <t>Tela de arame galvanizado fio 12# 8 p/ alambrado</t>
  </si>
  <si>
    <t>SERVIÇOS DE ESTRUTURA METÁLICA</t>
  </si>
  <si>
    <t>PINTURA E ACABAMENTO</t>
  </si>
  <si>
    <t>A</t>
  </si>
  <si>
    <t>B</t>
  </si>
  <si>
    <t>C</t>
  </si>
  <si>
    <t>CURVA ABC - COBERTURA DE QUADRA DOM DANIEL</t>
  </si>
  <si>
    <t>7.6</t>
  </si>
  <si>
    <t>Canaleta meia acana pré moldada de concreto D=20cm</t>
  </si>
  <si>
    <t>CONTENÇÃO E ALVENARIA</t>
  </si>
  <si>
    <t>Cobertura com telha de aço zincado trapezoidal termoacustica 30mm</t>
  </si>
  <si>
    <t>Acabamento polido para piso de concreto armado</t>
  </si>
  <si>
    <t>Contrapiso armado ou com fibras em polipropileno - Espessura média=7cm</t>
  </si>
  <si>
    <t>10.3</t>
  </si>
  <si>
    <t>Alvenaria de vedação de blocos cerâmicos furados na horizaontal de 9x19x19cm e argamssa de assentamento com preparo manual</t>
  </si>
  <si>
    <t>10.4</t>
  </si>
  <si>
    <t>Chapisco aplicado em alvenarias e estruturas de concreto internas, com colher de pedreiro. Argamassa traço 1:3 com preparo manual.</t>
  </si>
  <si>
    <t>10.5</t>
  </si>
  <si>
    <t>Massa única, para recebimento de pintura, em argamassa traço 1:2:8, preparo mecânico com betoneira 400l, aplicada manualmente espessura 20mm</t>
  </si>
  <si>
    <t xml:space="preserve">Obra: REFORMA DE QUADRA DE ESPORTES COM COBERTURA EM ESTRUTURA METÁLICA NA EMEB DOM DANIEL HOSTIN </t>
  </si>
  <si>
    <t xml:space="preserve">REFORMA DE QUADRA DE ESPORTES COM COBERTURA EM ESTRUTURA METÁLICA NA EMEB DOM DANIEL HOSTIN </t>
  </si>
  <si>
    <t>Placa de obra em chapa zincada, estrutura em madeira, instalada - 1,0 x 3,00m</t>
  </si>
  <si>
    <t>Pintura esmalte para estrutura metálica, 2 demãos + fundo</t>
  </si>
  <si>
    <t>Tabela de basquete c/ estrutura de tubo galvanixado completa</t>
  </si>
  <si>
    <t>Demoliçãi de alvenaria para qualquer tipo de bloco, de forma mecanizada, sem reaproveitamento</t>
  </si>
  <si>
    <t>COMPOSIÇÕES DE SERVIÇOS</t>
  </si>
  <si>
    <t>COMP. 01 - ITEM 3.4 ORÇAMENTO - 95957</t>
  </si>
  <si>
    <t>Armação de pilar ou viga de uma estrutura convencional de concreto armado em uma edificação térrea ou sobrado utilizando aço ca-60 de 5,0 mm</t>
  </si>
  <si>
    <t>Kg</t>
  </si>
  <si>
    <t>Armação de pilar ou viga de uma estrutura convencional de concreto armado em uma edificação térrea ou sobrado utilizando aço ca-50 de 6,3 mm</t>
  </si>
  <si>
    <t>Armação de pilar ou viga de uma estrutura convencional de concreto armado em uma edificação térrea ou sobrado utilizando aço ca-50 de 8,0 mm</t>
  </si>
  <si>
    <t>Armação de pilar ou viga de uma estrutura convencional de concreto armado em uma edificação térrea ou sobrado utilizando aço ca-50 de 10,0 mm</t>
  </si>
  <si>
    <t>96543</t>
  </si>
  <si>
    <t>Armação de bloco, viga baldrame e sapata utilizando aço ca-60 de 5 mm</t>
  </si>
  <si>
    <t>96544</t>
  </si>
  <si>
    <t>Armação de bloco, viga baldrame ou sapata utilizando aço ca-50 de 6,3 mm</t>
  </si>
  <si>
    <t>96545</t>
  </si>
  <si>
    <t>Armação de bloco, viga baldrame ou sapata utilizando aço ca-50 de 8 mm</t>
  </si>
  <si>
    <t>96546</t>
  </si>
  <si>
    <t>Armação de bloco, viga baldrame ou sapata utilizando aço ca-50 de 10 mm</t>
  </si>
  <si>
    <t>TOTAL</t>
  </si>
  <si>
    <t>_______________________________________</t>
  </si>
  <si>
    <t>Engenheiro Civil</t>
  </si>
  <si>
    <t>Secretaria Municipal da Educação</t>
  </si>
  <si>
    <t>92759</t>
  </si>
  <si>
    <t>92760</t>
  </si>
  <si>
    <t>92761</t>
  </si>
  <si>
    <t>92762</t>
  </si>
  <si>
    <t>RESPONSÁVEL TÉCNICO: Ricardo Kazuiti Omura Junior</t>
  </si>
  <si>
    <t>Anotação de Responsabilidade Técnica</t>
  </si>
  <si>
    <t>9252435-1</t>
  </si>
  <si>
    <t>RICARDO K. OMURA JR</t>
  </si>
  <si>
    <t>PREÇO BASE: FEV/2024 - SINAPI - Desonerado | Jan/21 - DEINFRA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</si>
</sst>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R$&quot;* #,##0.00_-;\-&quot;R$&quot;* #,##0.00_-;_-&quot;R$&quot;* &quot;-&quot;??_-;_-@_-"/>
    <numFmt numFmtId="164" formatCode="_-&quot;R$&quot;\ * #,##0.00_-;\-&quot;R$&quot;\ * #,##0.00_-;_-&quot;R$&quot;\ * &quot;-&quot;??_-;_-@_-"/>
    <numFmt numFmtId="165" formatCode="_(* #,##0.00_);_(* \(#,##0.00\);_(* &quot;-&quot;??_);_(@_)"/>
    <numFmt numFmtId="166" formatCode="0.0"/>
    <numFmt numFmtId="167" formatCode="0.0000"/>
    <numFmt numFmtId="168" formatCode="&quot;R$&quot;#,##0.00"/>
  </numFmts>
  <fonts count="4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name val="Arial"/>
      <family val="2"/>
    </font>
    <font>
      <b/>
      <sz val="9"/>
      <name val="Arial"/>
      <family val="2"/>
    </font>
    <font>
      <sz val="8"/>
      <name val="Arial"/>
      <family val="2"/>
    </font>
    <font>
      <b/>
      <sz val="8"/>
      <name val="Arial"/>
      <family val="2"/>
    </font>
    <font>
      <sz val="9"/>
      <name val="Arial"/>
      <family val="2"/>
    </font>
    <font>
      <b/>
      <sz val="16"/>
      <color theme="1"/>
      <name val="Arial"/>
      <family val="2"/>
    </font>
    <font>
      <sz val="10"/>
      <name val="Arial"/>
      <family val="2"/>
    </font>
    <font>
      <b/>
      <sz val="11"/>
      <name val="Arial"/>
      <family val="2"/>
    </font>
    <font>
      <sz val="12"/>
      <color theme="1"/>
      <name val="Calibri"/>
      <family val="2"/>
      <scheme val="minor"/>
    </font>
    <font>
      <b/>
      <sz val="12"/>
      <color theme="1"/>
      <name val="Calibri"/>
      <family val="2"/>
      <scheme val="minor"/>
    </font>
    <font>
      <b/>
      <sz val="11"/>
      <color rgb="FFFF0000"/>
      <name val="Arial"/>
      <family val="2"/>
    </font>
    <font>
      <sz val="8"/>
      <color rgb="FF000000"/>
      <name val="Tahoma"/>
      <family val="2"/>
    </font>
    <font>
      <b/>
      <sz val="7"/>
      <name val="Arial"/>
      <family val="2"/>
    </font>
    <font>
      <sz val="7"/>
      <name val="Arial"/>
      <family val="2"/>
    </font>
    <font>
      <sz val="11"/>
      <color indexed="8"/>
      <name val="Arial"/>
      <family val="2"/>
    </font>
    <font>
      <sz val="7"/>
      <color indexed="9"/>
      <name val="Arial"/>
      <family val="2"/>
    </font>
    <font>
      <sz val="7.5"/>
      <name val="Arial"/>
      <family val="2"/>
    </font>
    <font>
      <sz val="7.5"/>
      <color indexed="9"/>
      <name val="Arial"/>
      <family val="2"/>
    </font>
    <font>
      <sz val="10"/>
      <color indexed="41"/>
      <name val="Arial"/>
      <family val="2"/>
    </font>
    <font>
      <b/>
      <sz val="12"/>
      <color indexed="9"/>
      <name val="Arial"/>
      <family val="2"/>
    </font>
    <font>
      <sz val="10"/>
      <color indexed="9"/>
      <name val="Arial"/>
      <family val="2"/>
    </font>
    <font>
      <b/>
      <sz val="12"/>
      <name val="Arial"/>
      <family val="2"/>
    </font>
    <font>
      <sz val="8"/>
      <color indexed="10"/>
      <name val="Arial"/>
      <family val="2"/>
    </font>
    <font>
      <b/>
      <sz val="10"/>
      <name val="Arial"/>
      <family val="2"/>
    </font>
    <font>
      <b/>
      <sz val="11"/>
      <color indexed="8"/>
      <name val="Arial"/>
      <family val="2"/>
    </font>
    <font>
      <b/>
      <sz val="14"/>
      <name val="Arial"/>
      <family val="2"/>
    </font>
    <font>
      <sz val="10"/>
      <color indexed="8"/>
      <name val="Arial"/>
      <family val="2"/>
    </font>
    <font>
      <sz val="8"/>
      <color indexed="8"/>
      <name val="Arial"/>
      <family val="2"/>
    </font>
    <font>
      <b/>
      <sz val="10"/>
      <color indexed="9"/>
      <name val="Arial"/>
      <family val="2"/>
    </font>
    <font>
      <sz val="9"/>
      <color indexed="8"/>
      <name val="Arial"/>
      <family val="2"/>
    </font>
    <font>
      <b/>
      <sz val="9"/>
      <color theme="1"/>
      <name val="Arial"/>
      <family val="2"/>
    </font>
    <font>
      <b/>
      <sz val="20"/>
      <color theme="1"/>
      <name val="Arial"/>
      <family val="2"/>
    </font>
    <font>
      <b/>
      <sz val="12"/>
      <color theme="1"/>
      <name val="Arial"/>
      <family val="2"/>
    </font>
    <font>
      <b/>
      <sz val="14"/>
      <color theme="1"/>
      <name val="Arial"/>
      <family val="2"/>
    </font>
    <font>
      <b/>
      <sz val="24"/>
      <color theme="1"/>
      <name val="Arial"/>
      <family val="2"/>
    </font>
    <font>
      <b/>
      <sz val="11"/>
      <color theme="1"/>
      <name val="Calibri"/>
      <family val="2"/>
      <scheme val="minor"/>
    </font>
    <font>
      <sz val="12"/>
      <color theme="1"/>
      <name val="Arial"/>
      <family val="2"/>
    </font>
    <font>
      <b/>
      <sz val="10"/>
      <color theme="1"/>
      <name val="Calibri"/>
      <family val="2"/>
      <scheme val="minor"/>
    </font>
    <font>
      <sz val="11"/>
      <name val="Calibri"/>
      <family val="2"/>
      <scheme val="minor"/>
    </font>
    <font>
      <b/>
      <sz val="10"/>
      <color theme="1"/>
      <name val="Arial"/>
      <family val="2"/>
    </font>
    <font>
      <b/>
      <sz val="18"/>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17"/>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theme="0" tint="-0.14999847407452621"/>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54"/>
      </left>
      <right style="hair">
        <color indexed="64"/>
      </right>
      <top style="medium">
        <color indexed="54"/>
      </top>
      <bottom style="hair">
        <color indexed="64"/>
      </bottom>
      <diagonal/>
    </border>
    <border>
      <left style="hair">
        <color indexed="64"/>
      </left>
      <right style="medium">
        <color indexed="54"/>
      </right>
      <top style="medium">
        <color indexed="54"/>
      </top>
      <bottom style="hair">
        <color indexed="64"/>
      </bottom>
      <diagonal/>
    </border>
    <border>
      <left style="medium">
        <color indexed="54"/>
      </left>
      <right style="hair">
        <color indexed="64"/>
      </right>
      <top style="hair">
        <color indexed="64"/>
      </top>
      <bottom style="hair">
        <color indexed="64"/>
      </bottom>
      <diagonal/>
    </border>
    <border>
      <left style="hair">
        <color indexed="64"/>
      </left>
      <right style="medium">
        <color indexed="5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style="medium">
        <color indexed="54"/>
      </left>
      <right style="hair">
        <color indexed="64"/>
      </right>
      <top style="hair">
        <color indexed="64"/>
      </top>
      <bottom style="medium">
        <color indexed="54"/>
      </bottom>
      <diagonal/>
    </border>
    <border>
      <left style="hair">
        <color indexed="64"/>
      </left>
      <right/>
      <top style="hair">
        <color indexed="64"/>
      </top>
      <bottom style="medium">
        <color indexed="54"/>
      </bottom>
      <diagonal/>
    </border>
    <border>
      <left/>
      <right/>
      <top style="medium">
        <color indexed="54"/>
      </top>
      <bottom style="medium">
        <color indexed="54"/>
      </bottom>
      <diagonal/>
    </border>
    <border>
      <left/>
      <right style="hair">
        <color indexed="64"/>
      </right>
      <top style="medium">
        <color indexed="54"/>
      </top>
      <bottom style="medium">
        <color indexed="54"/>
      </bottom>
      <diagonal/>
    </border>
    <border>
      <left style="hair">
        <color indexed="64"/>
      </left>
      <right style="medium">
        <color indexed="54"/>
      </right>
      <top style="medium">
        <color indexed="54"/>
      </top>
      <bottom style="medium">
        <color indexed="5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medium">
        <color indexed="64"/>
      </bottom>
      <diagonal/>
    </border>
    <border>
      <left/>
      <right/>
      <top style="medium">
        <color indexed="64"/>
      </top>
      <bottom/>
      <diagonal/>
    </border>
    <border>
      <left/>
      <right/>
      <top style="hair">
        <color indexed="64"/>
      </top>
      <bottom style="hair">
        <color indexed="64"/>
      </bottom>
      <diagonal/>
    </border>
    <border>
      <left style="thick">
        <color indexed="64"/>
      </left>
      <right/>
      <top/>
      <bottom style="thick">
        <color indexed="64"/>
      </bottom>
      <diagonal/>
    </border>
    <border>
      <left/>
      <right/>
      <top style="hair">
        <color indexed="64"/>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8" fillId="0" borderId="0"/>
    <xf numFmtId="0" fontId="8" fillId="0" borderId="0"/>
    <xf numFmtId="0" fontId="10" fillId="0" borderId="0"/>
    <xf numFmtId="0" fontId="10" fillId="0" borderId="0"/>
    <xf numFmtId="9" fontId="18" fillId="0" borderId="0" applyFont="0" applyFill="0" applyBorder="0" applyAlignment="0" applyProtection="0"/>
    <xf numFmtId="165" fontId="10" fillId="0" borderId="0" applyFont="0" applyFill="0" applyBorder="0" applyAlignment="0" applyProtection="0"/>
  </cellStyleXfs>
  <cellXfs count="424">
    <xf numFmtId="0" fontId="0" fillId="0" borderId="0" xfId="0"/>
    <xf numFmtId="0" fontId="4" fillId="0" borderId="1" xfId="0" applyFont="1" applyFill="1" applyBorder="1" applyAlignment="1">
      <alignment horizontal="center" vertical="center"/>
    </xf>
    <xf numFmtId="0" fontId="6" fillId="0" borderId="0" xfId="0" applyFont="1" applyFill="1"/>
    <xf numFmtId="0" fontId="7"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4" fontId="6" fillId="0" borderId="0" xfId="0" applyNumberFormat="1" applyFont="1" applyFill="1"/>
    <xf numFmtId="164" fontId="6" fillId="0" borderId="0" xfId="0" applyNumberFormat="1" applyFont="1" applyFill="1"/>
    <xf numFmtId="0" fontId="6" fillId="0" borderId="0" xfId="0" applyFont="1" applyFill="1" applyAlignment="1">
      <alignment horizontal="center"/>
    </xf>
    <xf numFmtId="0" fontId="6" fillId="0" borderId="0" xfId="0" applyFont="1" applyFill="1" applyAlignment="1">
      <alignment wrapText="1"/>
    </xf>
    <xf numFmtId="0" fontId="6" fillId="0" borderId="0" xfId="0" applyFont="1" applyFill="1" applyAlignment="1"/>
    <xf numFmtId="0" fontId="6" fillId="0" borderId="0" xfId="0" applyFont="1" applyFill="1" applyAlignment="1">
      <alignment horizontal="right"/>
    </xf>
    <xf numFmtId="0" fontId="6" fillId="0" borderId="0" xfId="0" applyFont="1" applyFill="1" applyBorder="1" applyAlignment="1">
      <alignment vertical="center" wrapText="1"/>
    </xf>
    <xf numFmtId="0" fontId="6" fillId="0" borderId="0" xfId="0" applyFont="1" applyProtection="1"/>
    <xf numFmtId="0" fontId="3" fillId="0" borderId="1" xfId="0" applyFont="1" applyFill="1" applyBorder="1" applyAlignment="1">
      <alignment horizontal="center" vertical="center"/>
    </xf>
    <xf numFmtId="164" fontId="8" fillId="0" borderId="1" xfId="1" applyFont="1" applyFill="1" applyBorder="1" applyAlignment="1">
      <alignment horizontal="left" vertical="center"/>
    </xf>
    <xf numFmtId="9" fontId="8" fillId="2" borderId="1" xfId="2" applyFont="1" applyFill="1" applyBorder="1" applyAlignment="1">
      <alignment horizontal="center" vertical="center"/>
    </xf>
    <xf numFmtId="164" fontId="8" fillId="0" borderId="1" xfId="1" applyFont="1" applyFill="1" applyBorder="1" applyAlignment="1">
      <alignment horizontal="center" vertical="center"/>
    </xf>
    <xf numFmtId="0" fontId="5"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1" xfId="3" applyFont="1" applyFill="1" applyBorder="1" applyAlignment="1">
      <alignment horizontal="center" vertical="center"/>
    </xf>
    <xf numFmtId="0" fontId="4" fillId="0" borderId="1" xfId="0" applyFont="1" applyFill="1" applyBorder="1" applyAlignment="1">
      <alignment horizontal="left" vertical="center" wrapText="1"/>
    </xf>
    <xf numFmtId="2" fontId="4" fillId="0" borderId="1" xfId="4" applyNumberFormat="1" applyFont="1" applyFill="1" applyBorder="1" applyAlignment="1">
      <alignment horizontal="center" vertical="center"/>
    </xf>
    <xf numFmtId="164" fontId="4" fillId="0" borderId="1" xfId="4" applyNumberFormat="1" applyFont="1" applyFill="1" applyBorder="1" applyAlignment="1">
      <alignment horizontal="left" vertical="center"/>
    </xf>
    <xf numFmtId="166" fontId="4" fillId="0" borderId="1" xfId="3" applyNumberFormat="1" applyFont="1" applyFill="1" applyBorder="1" applyAlignment="1">
      <alignment horizontal="center" vertical="center"/>
    </xf>
    <xf numFmtId="164" fontId="4" fillId="0" borderId="1" xfId="3" applyNumberFormat="1" applyFont="1" applyFill="1" applyBorder="1" applyAlignment="1">
      <alignment horizontal="left" vertical="center"/>
    </xf>
    <xf numFmtId="164" fontId="2" fillId="5" borderId="1" xfId="0" applyNumberFormat="1" applyFont="1" applyFill="1" applyBorder="1" applyAlignment="1">
      <alignment vertical="center"/>
    </xf>
    <xf numFmtId="0" fontId="2" fillId="0" borderId="0" xfId="0" applyFont="1" applyFill="1" applyBorder="1" applyAlignment="1">
      <alignment horizontal="right" vertical="center"/>
    </xf>
    <xf numFmtId="164" fontId="2" fillId="0" borderId="0" xfId="0" applyNumberFormat="1" applyFont="1" applyFill="1" applyBorder="1" applyAlignment="1">
      <alignment vertical="center"/>
    </xf>
    <xf numFmtId="0" fontId="2" fillId="5"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Fill="1" applyBorder="1" applyAlignment="1">
      <alignment horizontal="left" vertical="center"/>
    </xf>
    <xf numFmtId="2" fontId="3" fillId="0" borderId="0" xfId="1" applyNumberFormat="1" applyFont="1" applyFill="1" applyBorder="1" applyAlignment="1">
      <alignment horizontal="center" vertical="center"/>
    </xf>
    <xf numFmtId="164" fontId="4" fillId="0" borderId="0" xfId="3" applyNumberFormat="1" applyFont="1" applyFill="1" applyBorder="1" applyAlignment="1">
      <alignment horizontal="left" vertical="center"/>
    </xf>
    <xf numFmtId="164" fontId="4" fillId="0" borderId="0" xfId="4" applyNumberFormat="1" applyFont="1" applyFill="1" applyBorder="1" applyAlignment="1">
      <alignment horizontal="left" vertical="center"/>
    </xf>
    <xf numFmtId="44" fontId="4" fillId="0" borderId="1" xfId="0" applyNumberFormat="1"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164" fontId="3" fillId="0" borderId="1" xfId="1" applyNumberFormat="1" applyFont="1" applyFill="1" applyBorder="1" applyAlignment="1" applyProtection="1">
      <alignment vertical="center"/>
      <protection locked="0"/>
    </xf>
    <xf numFmtId="164" fontId="3" fillId="0" borderId="1" xfId="0" applyNumberFormat="1" applyFont="1" applyFill="1" applyBorder="1" applyAlignment="1">
      <alignment horizontal="left" vertical="center"/>
    </xf>
    <xf numFmtId="164" fontId="3" fillId="0"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2" fillId="5" borderId="1" xfId="0" applyFont="1" applyFill="1" applyBorder="1" applyAlignment="1">
      <alignment horizontal="center" vertical="center"/>
    </xf>
    <xf numFmtId="166" fontId="4" fillId="0" borderId="1" xfId="4" applyNumberFormat="1" applyFont="1" applyFill="1" applyBorder="1" applyAlignment="1">
      <alignment horizontal="center" vertical="center"/>
    </xf>
    <xf numFmtId="44" fontId="4" fillId="0" borderId="1" xfId="4" applyNumberFormat="1" applyFont="1" applyFill="1" applyBorder="1" applyAlignment="1">
      <alignment horizontal="left" vertical="center"/>
    </xf>
    <xf numFmtId="164" fontId="2" fillId="5" borderId="1" xfId="0" applyNumberFormat="1" applyFont="1" applyFill="1" applyBorder="1" applyAlignment="1">
      <alignment horizontal="left" vertical="center"/>
    </xf>
    <xf numFmtId="164" fontId="3" fillId="0" borderId="1" xfId="1" applyNumberFormat="1" applyFont="1" applyFill="1" applyBorder="1" applyAlignment="1" applyProtection="1">
      <alignment horizontal="center" vertical="center"/>
      <protection locked="0"/>
    </xf>
    <xf numFmtId="0" fontId="1" fillId="0" borderId="0" xfId="0" applyFont="1"/>
    <xf numFmtId="164" fontId="1" fillId="0" borderId="0" xfId="0" applyNumberFormat="1" applyFont="1"/>
    <xf numFmtId="166" fontId="4" fillId="0" borderId="1" xfId="0" applyNumberFormat="1" applyFont="1" applyFill="1" applyBorder="1" applyAlignment="1">
      <alignment horizontal="center" vertical="center"/>
    </xf>
    <xf numFmtId="2" fontId="4" fillId="0" borderId="1" xfId="4" quotePrefix="1" applyNumberFormat="1" applyFont="1" applyFill="1" applyBorder="1" applyAlignment="1">
      <alignment horizontal="center" vertical="center"/>
    </xf>
    <xf numFmtId="166" fontId="4" fillId="0" borderId="1" xfId="4" quotePrefix="1"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10" fillId="0" borderId="0" xfId="6" applyBorder="1" applyAlignment="1" applyProtection="1"/>
    <xf numFmtId="0" fontId="10" fillId="0" borderId="0" xfId="6" applyNumberFormat="1" applyBorder="1" applyAlignment="1" applyProtection="1"/>
    <xf numFmtId="0" fontId="16" fillId="0" borderId="0" xfId="7" applyNumberFormat="1" applyFont="1" applyBorder="1" applyAlignment="1" applyProtection="1">
      <protection hidden="1"/>
    </xf>
    <xf numFmtId="0" fontId="17" fillId="0" borderId="0" xfId="7" applyNumberFormat="1" applyFont="1" applyBorder="1" applyAlignment="1" applyProtection="1">
      <protection hidden="1"/>
    </xf>
    <xf numFmtId="0" fontId="19" fillId="0" borderId="0" xfId="8" applyFont="1" applyBorder="1" applyAlignment="1" applyProtection="1">
      <alignment horizontal="center"/>
    </xf>
    <xf numFmtId="0" fontId="10" fillId="0" borderId="0" xfId="6" applyAlignment="1" applyProtection="1"/>
    <xf numFmtId="0" fontId="10" fillId="7" borderId="0" xfId="6" applyFill="1" applyAlignment="1" applyProtection="1"/>
    <xf numFmtId="2" fontId="20" fillId="8" borderId="15" xfId="9" applyNumberFormat="1" applyFont="1" applyFill="1" applyBorder="1" applyAlignment="1" applyProtection="1">
      <alignment horizontal="left"/>
      <protection locked="0"/>
    </xf>
    <xf numFmtId="0" fontId="21" fillId="0" borderId="0" xfId="8" applyFont="1" applyBorder="1" applyAlignment="1" applyProtection="1">
      <alignment horizontal="center"/>
    </xf>
    <xf numFmtId="0" fontId="16" fillId="0" borderId="0" xfId="7" applyNumberFormat="1" applyFont="1" applyFill="1" applyAlignment="1" applyProtection="1">
      <protection hidden="1"/>
    </xf>
    <xf numFmtId="0" fontId="17" fillId="0" borderId="0" xfId="7" applyNumberFormat="1" applyFont="1" applyFill="1" applyAlignment="1" applyProtection="1">
      <protection hidden="1"/>
    </xf>
    <xf numFmtId="0" fontId="10" fillId="0" borderId="0" xfId="6" applyFont="1" applyBorder="1" applyAlignment="1" applyProtection="1"/>
    <xf numFmtId="0" fontId="16" fillId="0" borderId="0" xfId="7" applyNumberFormat="1" applyFont="1" applyAlignment="1" applyProtection="1">
      <protection hidden="1"/>
    </xf>
    <xf numFmtId="0" fontId="10" fillId="0" borderId="0" xfId="6" applyFont="1" applyAlignment="1" applyProtection="1">
      <alignment horizontal="left"/>
    </xf>
    <xf numFmtId="0" fontId="22" fillId="0" borderId="0" xfId="6" applyFont="1" applyAlignment="1" applyProtection="1">
      <alignment horizontal="right"/>
    </xf>
    <xf numFmtId="0" fontId="10" fillId="0" borderId="0" xfId="6" applyBorder="1" applyAlignment="1" applyProtection="1">
      <alignment horizontal="left"/>
    </xf>
    <xf numFmtId="0" fontId="10" fillId="0" borderId="0" xfId="6" applyProtection="1"/>
    <xf numFmtId="0" fontId="10" fillId="0" borderId="0" xfId="6" applyNumberFormat="1" applyAlignment="1" applyProtection="1"/>
    <xf numFmtId="0" fontId="10" fillId="0" borderId="0" xfId="6" applyFill="1" applyProtection="1"/>
    <xf numFmtId="0" fontId="10" fillId="7" borderId="0" xfId="6" applyFill="1" applyProtection="1"/>
    <xf numFmtId="0" fontId="24" fillId="0" borderId="0" xfId="6" applyFont="1" applyFill="1" applyProtection="1"/>
    <xf numFmtId="0" fontId="24" fillId="0" borderId="0" xfId="6" applyFont="1" applyFill="1" applyAlignment="1" applyProtection="1">
      <alignment horizontal="left"/>
      <protection locked="0"/>
    </xf>
    <xf numFmtId="0" fontId="24" fillId="7" borderId="0" xfId="6" applyFont="1" applyFill="1" applyProtection="1"/>
    <xf numFmtId="14" fontId="7" fillId="0" borderId="0" xfId="10" applyNumberFormat="1" applyFont="1" applyBorder="1" applyAlignment="1" applyProtection="1">
      <alignment horizontal="center" vertical="center" textRotation="180" wrapText="1"/>
      <protection hidden="1"/>
    </xf>
    <xf numFmtId="0" fontId="7" fillId="0" borderId="0" xfId="10" applyNumberFormat="1" applyFont="1" applyBorder="1" applyAlignment="1" applyProtection="1">
      <alignment horizontal="center" vertical="center" wrapText="1"/>
      <protection hidden="1"/>
    </xf>
    <xf numFmtId="14" fontId="7" fillId="0" borderId="0" xfId="10" applyNumberFormat="1" applyFont="1" applyBorder="1" applyAlignment="1" applyProtection="1">
      <alignment vertical="center" textRotation="180" wrapText="1"/>
      <protection hidden="1"/>
    </xf>
    <xf numFmtId="0" fontId="10" fillId="0" borderId="0" xfId="6" applyBorder="1" applyAlignment="1" applyProtection="1">
      <alignment horizontal="left" wrapText="1"/>
    </xf>
    <xf numFmtId="0" fontId="10" fillId="0" borderId="0" xfId="6" applyBorder="1" applyProtection="1"/>
    <xf numFmtId="14" fontId="7" fillId="0" borderId="0" xfId="10" applyNumberFormat="1" applyFont="1" applyBorder="1" applyAlignment="1" applyProtection="1">
      <alignment vertical="center" wrapText="1"/>
      <protection hidden="1"/>
    </xf>
    <xf numFmtId="14" fontId="7" fillId="0" borderId="0" xfId="10" applyNumberFormat="1" applyFont="1" applyFill="1" applyBorder="1" applyAlignment="1" applyProtection="1">
      <alignment horizontal="center" vertical="center" wrapText="1"/>
      <protection hidden="1"/>
    </xf>
    <xf numFmtId="0" fontId="10" fillId="0" borderId="0" xfId="6" applyFont="1" applyBorder="1" applyProtection="1"/>
    <xf numFmtId="0" fontId="10" fillId="0" borderId="8" xfId="6" applyFill="1" applyBorder="1" applyProtection="1">
      <protection locked="0"/>
    </xf>
    <xf numFmtId="0" fontId="10" fillId="7" borderId="0" xfId="6" applyFill="1" applyBorder="1" applyProtection="1"/>
    <xf numFmtId="10" fontId="10" fillId="0" borderId="0" xfId="6" applyNumberFormat="1" applyFill="1" applyBorder="1" applyAlignment="1" applyProtection="1">
      <alignment horizontal="center" wrapText="1"/>
    </xf>
    <xf numFmtId="0" fontId="7" fillId="0" borderId="5" xfId="10" applyNumberFormat="1" applyFont="1" applyBorder="1" applyAlignment="1" applyProtection="1">
      <alignment horizontal="center" vertical="center" wrapText="1"/>
      <protection hidden="1"/>
    </xf>
    <xf numFmtId="14" fontId="7" fillId="0" borderId="5" xfId="10" applyNumberFormat="1" applyFont="1" applyBorder="1" applyAlignment="1" applyProtection="1">
      <alignment horizontal="center" vertical="center" wrapText="1"/>
      <protection hidden="1"/>
    </xf>
    <xf numFmtId="14" fontId="7" fillId="0" borderId="22" xfId="10" applyNumberFormat="1" applyFont="1" applyBorder="1" applyAlignment="1" applyProtection="1">
      <alignment horizontal="center" vertical="center" wrapText="1"/>
      <protection hidden="1"/>
    </xf>
    <xf numFmtId="0" fontId="6" fillId="0" borderId="23" xfId="10" applyNumberFormat="1" applyFont="1" applyBorder="1" applyAlignment="1" applyProtection="1">
      <alignment horizontal="center" vertical="center" wrapText="1"/>
      <protection hidden="1"/>
    </xf>
    <xf numFmtId="14" fontId="6" fillId="0" borderId="24" xfId="10" applyNumberFormat="1" applyFont="1" applyBorder="1" applyAlignment="1" applyProtection="1">
      <alignment vertical="center" wrapText="1"/>
      <protection hidden="1"/>
    </xf>
    <xf numFmtId="0" fontId="6" fillId="0" borderId="24" xfId="6" applyFont="1" applyBorder="1" applyAlignment="1" applyProtection="1">
      <alignment horizontal="center" wrapText="1"/>
    </xf>
    <xf numFmtId="10" fontId="10" fillId="0" borderId="24" xfId="6" applyNumberFormat="1" applyFill="1" applyBorder="1" applyAlignment="1" applyProtection="1">
      <alignment horizontal="center" wrapText="1"/>
      <protection locked="0"/>
    </xf>
    <xf numFmtId="0" fontId="10" fillId="0" borderId="24" xfId="6" applyBorder="1" applyAlignment="1" applyProtection="1">
      <alignment horizontal="center" wrapText="1"/>
    </xf>
    <xf numFmtId="10" fontId="4" fillId="10" borderId="25" xfId="8" applyNumberFormat="1" applyFont="1" applyFill="1" applyBorder="1" applyAlignment="1" applyProtection="1">
      <alignment horizontal="center" wrapText="1"/>
    </xf>
    <xf numFmtId="0" fontId="6" fillId="0" borderId="26" xfId="10" applyNumberFormat="1" applyFont="1" applyBorder="1" applyAlignment="1" applyProtection="1">
      <alignment horizontal="center" vertical="center" wrapText="1"/>
      <protection hidden="1"/>
    </xf>
    <xf numFmtId="14" fontId="6" fillId="0" borderId="27" xfId="10" applyNumberFormat="1" applyFont="1" applyBorder="1" applyAlignment="1" applyProtection="1">
      <alignment vertical="center" wrapText="1"/>
      <protection hidden="1"/>
    </xf>
    <xf numFmtId="0" fontId="6" fillId="0" borderId="27" xfId="6" applyFont="1" applyBorder="1" applyAlignment="1" applyProtection="1">
      <alignment horizontal="center" wrapText="1"/>
    </xf>
    <xf numFmtId="10" fontId="10" fillId="0" borderId="27" xfId="6" applyNumberFormat="1" applyFill="1" applyBorder="1" applyAlignment="1" applyProtection="1">
      <alignment horizontal="center" wrapText="1"/>
      <protection locked="0"/>
    </xf>
    <xf numFmtId="0" fontId="10" fillId="0" borderId="27" xfId="6" applyBorder="1" applyAlignment="1" applyProtection="1">
      <alignment horizontal="center" wrapText="1"/>
    </xf>
    <xf numFmtId="10" fontId="18" fillId="0" borderId="0" xfId="8" applyNumberFormat="1" applyFill="1" applyBorder="1" applyAlignment="1" applyProtection="1">
      <alignment horizontal="left" wrapText="1"/>
    </xf>
    <xf numFmtId="0" fontId="10" fillId="0" borderId="0" xfId="6" applyFont="1" applyBorder="1" applyAlignment="1" applyProtection="1">
      <alignment horizontal="left"/>
    </xf>
    <xf numFmtId="10" fontId="10" fillId="0" borderId="0" xfId="6" applyNumberFormat="1" applyBorder="1" applyProtection="1"/>
    <xf numFmtId="10" fontId="10" fillId="0" borderId="0" xfId="6" applyNumberFormat="1" applyFont="1" applyBorder="1" applyAlignment="1" applyProtection="1">
      <alignment horizontal="left"/>
    </xf>
    <xf numFmtId="10" fontId="10" fillId="0" borderId="27" xfId="6" applyNumberFormat="1" applyBorder="1" applyAlignment="1" applyProtection="1">
      <alignment horizontal="center" wrapText="1"/>
    </xf>
    <xf numFmtId="2" fontId="10" fillId="0" borderId="0" xfId="6" applyNumberFormat="1" applyFont="1" applyBorder="1" applyAlignment="1" applyProtection="1">
      <alignment horizontal="left"/>
    </xf>
    <xf numFmtId="0" fontId="10" fillId="0" borderId="0" xfId="6" applyAlignment="1" applyProtection="1">
      <alignment horizontal="left"/>
    </xf>
    <xf numFmtId="0" fontId="10" fillId="0" borderId="0" xfId="6" applyFont="1" applyProtection="1"/>
    <xf numFmtId="0" fontId="6" fillId="0" borderId="32" xfId="10" applyNumberFormat="1" applyFont="1" applyBorder="1" applyAlignment="1" applyProtection="1">
      <alignment horizontal="center" vertical="center" wrapText="1"/>
      <protection hidden="1"/>
    </xf>
    <xf numFmtId="14" fontId="6" fillId="0" borderId="33" xfId="10" applyNumberFormat="1" applyFont="1" applyBorder="1" applyAlignment="1" applyProtection="1">
      <alignment vertical="center" wrapText="1"/>
      <protection hidden="1"/>
    </xf>
    <xf numFmtId="0" fontId="6" fillId="0" borderId="33" xfId="6" applyFont="1" applyBorder="1" applyAlignment="1" applyProtection="1">
      <alignment horizontal="center" wrapText="1"/>
    </xf>
    <xf numFmtId="10" fontId="10" fillId="0" borderId="33" xfId="6" applyNumberFormat="1" applyFont="1" applyBorder="1" applyAlignment="1" applyProtection="1">
      <alignment horizontal="center" wrapText="1"/>
    </xf>
    <xf numFmtId="10" fontId="4" fillId="10" borderId="34" xfId="8" applyNumberFormat="1" applyFont="1" applyFill="1" applyBorder="1" applyAlignment="1" applyProtection="1">
      <alignment horizontal="center" wrapText="1"/>
    </xf>
    <xf numFmtId="0" fontId="10" fillId="0" borderId="3" xfId="6" applyBorder="1" applyProtection="1"/>
    <xf numFmtId="10" fontId="10" fillId="0" borderId="35" xfId="6" applyNumberFormat="1" applyFill="1" applyBorder="1" applyAlignment="1" applyProtection="1">
      <alignment horizontal="center" wrapText="1"/>
      <protection locked="0"/>
    </xf>
    <xf numFmtId="10" fontId="10" fillId="0" borderId="36" xfId="6" applyNumberFormat="1" applyFill="1" applyBorder="1" applyAlignment="1" applyProtection="1">
      <alignment horizontal="center" wrapText="1"/>
      <protection locked="0"/>
    </xf>
    <xf numFmtId="0" fontId="6" fillId="0" borderId="37" xfId="10" applyNumberFormat="1" applyFont="1" applyBorder="1" applyAlignment="1" applyProtection="1">
      <alignment horizontal="center" vertical="center" wrapText="1"/>
      <protection hidden="1"/>
    </xf>
    <xf numFmtId="14" fontId="6" fillId="0" borderId="37" xfId="10" applyNumberFormat="1" applyFont="1" applyBorder="1" applyAlignment="1" applyProtection="1">
      <alignment vertical="center" wrapText="1"/>
      <protection hidden="1"/>
    </xf>
    <xf numFmtId="0" fontId="6" fillId="0" borderId="38" xfId="6" applyFont="1" applyBorder="1" applyAlignment="1" applyProtection="1">
      <alignment horizontal="center" wrapText="1"/>
    </xf>
    <xf numFmtId="10" fontId="10" fillId="11" borderId="39" xfId="6" applyNumberFormat="1" applyFill="1" applyBorder="1" applyAlignment="1" applyProtection="1">
      <alignment horizontal="center" wrapText="1"/>
    </xf>
    <xf numFmtId="0" fontId="10" fillId="0" borderId="40" xfId="6" applyBorder="1" applyAlignment="1" applyProtection="1">
      <alignment horizontal="center" wrapText="1"/>
    </xf>
    <xf numFmtId="10" fontId="4" fillId="10" borderId="41" xfId="8" applyNumberFormat="1" applyFont="1" applyFill="1" applyBorder="1" applyAlignment="1" applyProtection="1">
      <alignment horizontal="center" wrapText="1"/>
    </xf>
    <xf numFmtId="0" fontId="26" fillId="0" borderId="13" xfId="6" applyFont="1" applyBorder="1" applyAlignment="1" applyProtection="1">
      <alignment vertical="center" wrapText="1"/>
    </xf>
    <xf numFmtId="0" fontId="10" fillId="0" borderId="1" xfId="6" applyFont="1" applyBorder="1" applyAlignment="1" applyProtection="1">
      <alignment horizontal="left"/>
    </xf>
    <xf numFmtId="0" fontId="26" fillId="0" borderId="0" xfId="6" applyFont="1" applyAlignment="1" applyProtection="1">
      <alignment vertical="center" wrapText="1"/>
    </xf>
    <xf numFmtId="0" fontId="18" fillId="0" borderId="0" xfId="8" applyAlignment="1" applyProtection="1"/>
    <xf numFmtId="0" fontId="18" fillId="0" borderId="0" xfId="8" applyBorder="1" applyAlignment="1" applyProtection="1"/>
    <xf numFmtId="0" fontId="27" fillId="0" borderId="0" xfId="11" applyFont="1" applyBorder="1" applyAlignment="1" applyProtection="1">
      <alignment horizontal="center" vertical="center"/>
    </xf>
    <xf numFmtId="0" fontId="18" fillId="0" borderId="45" xfId="8" applyBorder="1" applyAlignment="1" applyProtection="1">
      <alignment horizontal="center" vertical="center"/>
    </xf>
    <xf numFmtId="0" fontId="18" fillId="0" borderId="0" xfId="8" applyBorder="1" applyAlignment="1" applyProtection="1">
      <alignment horizontal="center" vertical="center"/>
    </xf>
    <xf numFmtId="0" fontId="18" fillId="0" borderId="0" xfId="8" applyAlignment="1" applyProtection="1">
      <alignment horizontal="center" vertical="center"/>
    </xf>
    <xf numFmtId="0" fontId="18" fillId="0" borderId="16" xfId="8" applyBorder="1" applyAlignment="1" applyProtection="1">
      <alignment horizontal="center" vertical="center"/>
    </xf>
    <xf numFmtId="0" fontId="18" fillId="0" borderId="17" xfId="8" applyBorder="1" applyAlignment="1" applyProtection="1">
      <alignment horizontal="center" vertical="center"/>
    </xf>
    <xf numFmtId="14" fontId="7" fillId="0" borderId="18" xfId="10" applyNumberFormat="1" applyFont="1" applyBorder="1" applyAlignment="1" applyProtection="1">
      <alignment vertical="center" wrapText="1"/>
      <protection hidden="1"/>
    </xf>
    <xf numFmtId="10" fontId="10" fillId="0" borderId="0" xfId="6" applyNumberFormat="1" applyProtection="1"/>
    <xf numFmtId="0" fontId="5" fillId="0" borderId="0" xfId="6" applyFont="1" applyProtection="1"/>
    <xf numFmtId="0" fontId="8" fillId="0" borderId="0" xfId="6" applyNumberFormat="1" applyFont="1" applyBorder="1" applyAlignment="1" applyProtection="1"/>
    <xf numFmtId="0" fontId="8" fillId="0" borderId="0" xfId="6" applyFont="1" applyBorder="1" applyProtection="1"/>
    <xf numFmtId="0" fontId="8" fillId="0" borderId="0" xfId="6" applyFont="1" applyProtection="1"/>
    <xf numFmtId="0" fontId="8" fillId="0" borderId="0" xfId="6" applyNumberFormat="1" applyFont="1" applyAlignment="1" applyProtection="1"/>
    <xf numFmtId="0" fontId="8" fillId="0" borderId="0" xfId="6" applyFont="1" applyFill="1" applyProtection="1"/>
    <xf numFmtId="0" fontId="6" fillId="0" borderId="0" xfId="6" applyFont="1" applyFill="1" applyAlignment="1" applyProtection="1"/>
    <xf numFmtId="0" fontId="31" fillId="0" borderId="0" xfId="8" applyFont="1" applyAlignment="1" applyProtection="1"/>
    <xf numFmtId="0" fontId="7" fillId="0" borderId="0" xfId="6" applyNumberFormat="1" applyFont="1" applyFill="1" applyBorder="1" applyAlignment="1" applyProtection="1">
      <alignment horizontal="left" wrapText="1"/>
    </xf>
    <xf numFmtId="0" fontId="10" fillId="0" borderId="0" xfId="6" applyNumberFormat="1" applyFill="1" applyAlignment="1" applyProtection="1"/>
    <xf numFmtId="0" fontId="10" fillId="0" borderId="0" xfId="6" applyFill="1" applyBorder="1" applyAlignment="1" applyProtection="1">
      <alignment horizontal="left"/>
    </xf>
    <xf numFmtId="0" fontId="10" fillId="0" borderId="1" xfId="6" applyBorder="1" applyAlignment="1" applyProtection="1">
      <alignment horizontal="left"/>
    </xf>
    <xf numFmtId="0" fontId="10" fillId="0" borderId="0" xfId="6" applyFill="1" applyBorder="1" applyProtection="1"/>
    <xf numFmtId="0" fontId="8" fillId="0" borderId="1" xfId="6" applyFont="1" applyBorder="1" applyAlignment="1" applyProtection="1">
      <alignment horizontal="left"/>
    </xf>
    <xf numFmtId="0" fontId="5" fillId="0" borderId="0" xfId="7" applyFont="1" applyBorder="1" applyAlignment="1" applyProtection="1">
      <alignment horizontal="left" vertical="center"/>
    </xf>
    <xf numFmtId="0" fontId="8" fillId="0" borderId="0" xfId="6" applyFont="1" applyAlignment="1" applyProtection="1">
      <alignment horizontal="left"/>
    </xf>
    <xf numFmtId="0" fontId="8" fillId="7" borderId="0" xfId="6" applyFont="1" applyFill="1" applyBorder="1" applyProtection="1"/>
    <xf numFmtId="0" fontId="10" fillId="0" borderId="0" xfId="6" applyFont="1" applyFill="1" applyBorder="1" applyAlignment="1" applyProtection="1"/>
    <xf numFmtId="0" fontId="18" fillId="0" borderId="0" xfId="8" applyFill="1" applyBorder="1" applyAlignment="1" applyProtection="1"/>
    <xf numFmtId="0" fontId="10" fillId="0" borderId="54" xfId="6" applyFill="1" applyBorder="1" applyProtection="1"/>
    <xf numFmtId="0" fontId="10" fillId="0" borderId="55" xfId="6" applyFill="1" applyBorder="1" applyProtection="1"/>
    <xf numFmtId="0" fontId="8" fillId="7" borderId="0" xfId="6" applyFont="1" applyFill="1" applyProtection="1"/>
    <xf numFmtId="0" fontId="8" fillId="0" borderId="0" xfId="7" applyNumberFormat="1" applyFont="1" applyFill="1" applyBorder="1" applyAlignment="1" applyProtection="1">
      <alignment vertical="center"/>
    </xf>
    <xf numFmtId="0" fontId="18" fillId="0" borderId="0" xfId="8" applyNumberFormat="1" applyFill="1" applyBorder="1" applyAlignment="1" applyProtection="1"/>
    <xf numFmtId="0" fontId="8" fillId="0" borderId="0" xfId="7" applyFont="1" applyAlignment="1" applyProtection="1">
      <alignment horizontal="right" vertical="center"/>
    </xf>
    <xf numFmtId="0" fontId="10" fillId="0" borderId="56" xfId="6" applyBorder="1" applyProtection="1"/>
    <xf numFmtId="0" fontId="10" fillId="0" borderId="54" xfId="6" applyBorder="1" applyProtection="1"/>
    <xf numFmtId="0" fontId="10" fillId="0" borderId="55" xfId="6" applyBorder="1" applyProtection="1"/>
    <xf numFmtId="0" fontId="5" fillId="0" borderId="0" xfId="7" applyFont="1" applyBorder="1" applyAlignment="1" applyProtection="1">
      <alignment horizontal="center" vertical="center"/>
    </xf>
    <xf numFmtId="0" fontId="10" fillId="8" borderId="17" xfId="6" applyFont="1" applyFill="1" applyBorder="1" applyAlignment="1" applyProtection="1">
      <protection locked="0"/>
    </xf>
    <xf numFmtId="0" fontId="10" fillId="0" borderId="54" xfId="6" applyFont="1" applyBorder="1" applyAlignment="1" applyProtection="1">
      <alignment horizontal="right"/>
    </xf>
    <xf numFmtId="0" fontId="8" fillId="8" borderId="58" xfId="7" applyNumberFormat="1" applyFont="1" applyFill="1" applyBorder="1" applyAlignment="1" applyProtection="1">
      <alignment vertical="center"/>
      <protection locked="0"/>
    </xf>
    <xf numFmtId="0" fontId="33" fillId="0" borderId="54" xfId="8" applyFont="1" applyFill="1" applyBorder="1" applyAlignment="1" applyProtection="1">
      <alignment horizontal="right"/>
    </xf>
    <xf numFmtId="0" fontId="27" fillId="0" borderId="0" xfId="6" applyFont="1" applyFill="1" applyProtection="1"/>
    <xf numFmtId="0" fontId="8" fillId="8" borderId="44" xfId="7" applyNumberFormat="1" applyFont="1" applyFill="1" applyBorder="1" applyAlignment="1" applyProtection="1">
      <alignment vertical="center"/>
      <protection locked="0"/>
    </xf>
    <xf numFmtId="0" fontId="33" fillId="0" borderId="59" xfId="8" applyNumberFormat="1" applyFont="1" applyFill="1" applyBorder="1" applyAlignment="1" applyProtection="1">
      <alignment horizontal="right"/>
    </xf>
    <xf numFmtId="0" fontId="10" fillId="0" borderId="61" xfId="6" applyBorder="1" applyProtection="1"/>
    <xf numFmtId="0" fontId="10" fillId="7" borderId="0" xfId="6" applyNumberFormat="1" applyFill="1" applyAlignment="1" applyProtection="1"/>
    <xf numFmtId="0" fontId="27" fillId="0" borderId="0" xfId="6" applyFont="1" applyProtection="1"/>
    <xf numFmtId="44" fontId="3" fillId="0" borderId="1" xfId="1" applyNumberFormat="1" applyFont="1" applyFill="1" applyBorder="1" applyAlignment="1" applyProtection="1">
      <alignment horizontal="center" vertical="center"/>
      <protection locked="0"/>
    </xf>
    <xf numFmtId="164" fontId="5" fillId="0" borderId="1" xfId="1" applyFont="1" applyFill="1" applyBorder="1" applyAlignment="1">
      <alignment horizontal="center" vertical="center"/>
    </xf>
    <xf numFmtId="9" fontId="5" fillId="2" borderId="1" xfId="2" applyFont="1" applyFill="1" applyBorder="1" applyAlignment="1">
      <alignment horizontal="center" vertical="center"/>
    </xf>
    <xf numFmtId="0" fontId="4" fillId="0" borderId="1" xfId="0" applyFont="1" applyFill="1" applyBorder="1" applyAlignment="1">
      <alignment horizontal="left" vertical="center"/>
    </xf>
    <xf numFmtId="164" fontId="5" fillId="0" borderId="1" xfId="1" applyFont="1" applyFill="1" applyBorder="1" applyAlignment="1">
      <alignment horizontal="left" vertical="center"/>
    </xf>
    <xf numFmtId="0" fontId="5" fillId="0" borderId="1" xfId="0" applyFont="1" applyFill="1" applyBorder="1" applyAlignment="1">
      <alignment vertical="center"/>
    </xf>
    <xf numFmtId="0" fontId="2" fillId="5" borderId="1"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13" xfId="0" applyFont="1" applyFill="1" applyBorder="1" applyAlignment="1">
      <alignment horizontal="right" vertical="center"/>
    </xf>
    <xf numFmtId="164" fontId="14" fillId="0" borderId="13" xfId="0" applyNumberFormat="1" applyFont="1" applyFill="1" applyBorder="1" applyAlignment="1">
      <alignment vertical="center"/>
    </xf>
    <xf numFmtId="0" fontId="2" fillId="5" borderId="3" xfId="0" applyFont="1" applyFill="1" applyBorder="1" applyAlignment="1">
      <alignment horizontal="left" vertical="center"/>
    </xf>
    <xf numFmtId="0" fontId="2" fillId="2" borderId="2" xfId="0" applyFont="1" applyFill="1" applyBorder="1" applyAlignment="1">
      <alignment horizontal="center" vertical="center"/>
    </xf>
    <xf numFmtId="164" fontId="2" fillId="4" borderId="8"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xf>
    <xf numFmtId="0" fontId="2" fillId="2" borderId="9" xfId="0" applyFont="1" applyFill="1" applyBorder="1" applyAlignment="1">
      <alignment horizontal="center" vertical="center"/>
    </xf>
    <xf numFmtId="164" fontId="2" fillId="5" borderId="1" xfId="0" applyNumberFormat="1" applyFont="1" applyFill="1" applyBorder="1" applyAlignment="1">
      <alignment horizontal="right" vertical="center"/>
    </xf>
    <xf numFmtId="44" fontId="2" fillId="5" borderId="1" xfId="0" applyNumberFormat="1" applyFont="1" applyFill="1" applyBorder="1" applyAlignment="1">
      <alignment horizontal="right" vertical="center"/>
    </xf>
    <xf numFmtId="164" fontId="2" fillId="5" borderId="4" xfId="0" applyNumberFormat="1" applyFont="1" applyFill="1" applyBorder="1" applyAlignment="1">
      <alignment horizontal="right" vertical="center"/>
    </xf>
    <xf numFmtId="44" fontId="0" fillId="0" borderId="0" xfId="0" applyNumberFormat="1"/>
    <xf numFmtId="0" fontId="5" fillId="0" borderId="1" xfId="0" applyFont="1" applyFill="1" applyBorder="1" applyAlignment="1">
      <alignment horizontal="center" vertical="center"/>
    </xf>
    <xf numFmtId="0" fontId="7" fillId="0" borderId="0" xfId="0" applyFont="1" applyFill="1" applyAlignment="1">
      <alignment vertical="center"/>
    </xf>
    <xf numFmtId="168" fontId="5" fillId="0" borderId="1" xfId="2"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15" borderId="0" xfId="0" applyFill="1"/>
    <xf numFmtId="9" fontId="8" fillId="0" borderId="1" xfId="2" applyFont="1" applyFill="1" applyBorder="1" applyAlignment="1">
      <alignment horizontal="center" vertical="center"/>
    </xf>
    <xf numFmtId="0" fontId="5" fillId="0" borderId="6" xfId="0" applyFont="1" applyFill="1" applyBorder="1" applyAlignment="1">
      <alignment vertical="center"/>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vertical="center"/>
    </xf>
    <xf numFmtId="0" fontId="5" fillId="0" borderId="10" xfId="0" applyFont="1" applyFill="1" applyBorder="1" applyAlignment="1">
      <alignment vertical="center"/>
    </xf>
    <xf numFmtId="9" fontId="5" fillId="0" borderId="1" xfId="0" applyNumberFormat="1" applyFont="1" applyFill="1" applyBorder="1" applyAlignment="1">
      <alignment vertical="center"/>
    </xf>
    <xf numFmtId="9" fontId="8" fillId="0" borderId="1" xfId="0" applyNumberFormat="1" applyFont="1" applyFill="1" applyBorder="1" applyAlignment="1">
      <alignment vertical="center"/>
    </xf>
    <xf numFmtId="9" fontId="8" fillId="0" borderId="1" xfId="0" applyNumberFormat="1" applyFont="1" applyFill="1" applyBorder="1" applyAlignment="1">
      <alignment horizontal="center" vertical="center"/>
    </xf>
    <xf numFmtId="0" fontId="0" fillId="0" borderId="0" xfId="0" applyFill="1"/>
    <xf numFmtId="0" fontId="42" fillId="0" borderId="0" xfId="0" applyFont="1"/>
    <xf numFmtId="0" fontId="2" fillId="2" borderId="5" xfId="0" applyFont="1" applyFill="1" applyBorder="1" applyAlignment="1">
      <alignment horizontal="center" vertical="center"/>
    </xf>
    <xf numFmtId="0" fontId="35" fillId="2" borderId="10" xfId="0" applyFont="1" applyFill="1" applyBorder="1" applyAlignment="1">
      <alignment horizontal="center" vertical="center"/>
    </xf>
    <xf numFmtId="0" fontId="2" fillId="2" borderId="1" xfId="0" applyFont="1" applyFill="1" applyBorder="1" applyAlignment="1">
      <alignment horizontal="left" vertical="center"/>
    </xf>
    <xf numFmtId="167" fontId="2" fillId="2" borderId="9" xfId="0" applyNumberFormat="1" applyFont="1" applyFill="1" applyBorder="1" applyAlignment="1">
      <alignment horizontal="center" vertical="center"/>
    </xf>
    <xf numFmtId="167" fontId="2" fillId="2" borderId="10" xfId="0" applyNumberFormat="1" applyFont="1" applyFill="1" applyBorder="1" applyAlignment="1">
      <alignment horizontal="center" vertical="center"/>
    </xf>
    <xf numFmtId="0" fontId="0" fillId="0" borderId="0" xfId="0" applyAlignment="1"/>
    <xf numFmtId="0" fontId="42" fillId="0" borderId="0" xfId="0" applyFont="1" applyAlignment="1"/>
    <xf numFmtId="49" fontId="4" fillId="0" borderId="5" xfId="0" applyNumberFormat="1" applyFont="1" applyBorder="1" applyAlignment="1">
      <alignment horizontal="center" vertical="center"/>
    </xf>
    <xf numFmtId="49" fontId="4" fillId="0" borderId="5" xfId="3" applyNumberFormat="1" applyFont="1" applyBorder="1" applyAlignment="1">
      <alignment horizontal="center" vertical="center"/>
    </xf>
    <xf numFmtId="0" fontId="0" fillId="0" borderId="5" xfId="0" applyBorder="1" applyAlignment="1">
      <alignment horizontal="left" vertical="center" wrapText="1"/>
    </xf>
    <xf numFmtId="2" fontId="4" fillId="0" borderId="5" xfId="0" applyNumberFormat="1" applyFont="1" applyBorder="1" applyAlignment="1">
      <alignment horizontal="center" vertical="center"/>
    </xf>
    <xf numFmtId="44" fontId="0" fillId="0" borderId="5" xfId="0" applyNumberFormat="1" applyBorder="1" applyAlignment="1">
      <alignment horizontal="center" vertical="center"/>
    </xf>
    <xf numFmtId="44" fontId="4" fillId="0" borderId="5" xfId="4"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3" applyNumberFormat="1" applyFont="1" applyBorder="1" applyAlignment="1">
      <alignment horizontal="center" vertical="center"/>
    </xf>
    <xf numFmtId="0" fontId="0" fillId="0" borderId="1" xfId="0" applyBorder="1" applyAlignment="1">
      <alignment horizontal="left" vertical="center" wrapText="1"/>
    </xf>
    <xf numFmtId="2" fontId="4" fillId="0" borderId="1" xfId="0" applyNumberFormat="1" applyFont="1" applyBorder="1" applyAlignment="1">
      <alignment horizontal="center" vertical="center"/>
    </xf>
    <xf numFmtId="44" fontId="0" fillId="0" borderId="1" xfId="0" applyNumberFormat="1" applyBorder="1" applyAlignment="1">
      <alignment horizontal="center" vertical="center"/>
    </xf>
    <xf numFmtId="44" fontId="4" fillId="0" borderId="1" xfId="4" applyNumberFormat="1"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8" xfId="3" applyNumberFormat="1" applyFont="1" applyBorder="1" applyAlignment="1">
      <alignment horizontal="center" vertical="center"/>
    </xf>
    <xf numFmtId="0" fontId="0" fillId="0" borderId="8" xfId="0" applyBorder="1" applyAlignment="1">
      <alignment horizontal="left" vertical="center" wrapText="1"/>
    </xf>
    <xf numFmtId="2" fontId="4" fillId="0" borderId="8" xfId="0" applyNumberFormat="1" applyFont="1" applyBorder="1" applyAlignment="1">
      <alignment horizontal="center" vertical="center"/>
    </xf>
    <xf numFmtId="44" fontId="0" fillId="0" borderId="8" xfId="0" applyNumberFormat="1" applyBorder="1" applyAlignment="1">
      <alignment horizontal="center" vertical="center"/>
    </xf>
    <xf numFmtId="44" fontId="4" fillId="0" borderId="8" xfId="4" applyNumberFormat="1" applyFont="1" applyFill="1" applyBorder="1" applyAlignment="1">
      <alignment horizontal="center" vertical="center"/>
    </xf>
    <xf numFmtId="0" fontId="9" fillId="0" borderId="13" xfId="0" applyFont="1" applyFill="1" applyBorder="1" applyAlignment="1">
      <alignment vertical="center"/>
    </xf>
    <xf numFmtId="0" fontId="9" fillId="0" borderId="0"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2" fillId="2" borderId="11" xfId="0" applyFont="1" applyFill="1" applyBorder="1" applyAlignment="1">
      <alignment horizontal="center" vertical="center"/>
    </xf>
    <xf numFmtId="0" fontId="35" fillId="2" borderId="11" xfId="0" applyFont="1" applyFill="1" applyBorder="1" applyAlignment="1">
      <alignment horizontal="center" vertical="center"/>
    </xf>
    <xf numFmtId="0" fontId="2" fillId="2" borderId="1" xfId="0" applyFont="1" applyFill="1" applyBorder="1" applyAlignment="1">
      <alignment horizontal="lef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14" fontId="29" fillId="2" borderId="9" xfId="0" applyNumberFormat="1" applyFont="1" applyFill="1" applyBorder="1" applyAlignment="1">
      <alignment horizontal="center" vertical="center"/>
    </xf>
    <xf numFmtId="14" fontId="29" fillId="2" borderId="10" xfId="0" applyNumberFormat="1" applyFont="1" applyFill="1" applyBorder="1" applyAlignment="1">
      <alignment horizontal="center" vertical="center"/>
    </xf>
    <xf numFmtId="0" fontId="34" fillId="2" borderId="1" xfId="0" applyFont="1" applyFill="1" applyBorder="1" applyAlignment="1">
      <alignment horizontal="left" vertical="center"/>
    </xf>
    <xf numFmtId="0" fontId="2" fillId="2" borderId="1" xfId="0" applyFont="1" applyFill="1" applyBorder="1" applyAlignment="1">
      <alignment horizontal="center" vertical="center"/>
    </xf>
    <xf numFmtId="164" fontId="38" fillId="2" borderId="1" xfId="0" applyNumberFormat="1" applyFont="1" applyFill="1" applyBorder="1" applyAlignment="1">
      <alignment horizontal="center" vertical="center"/>
    </xf>
    <xf numFmtId="14" fontId="37" fillId="2" borderId="1" xfId="0" applyNumberFormat="1" applyFont="1" applyFill="1" applyBorder="1" applyAlignment="1">
      <alignment horizontal="center" vertical="center"/>
    </xf>
    <xf numFmtId="164" fontId="38" fillId="2" borderId="2" xfId="0" applyNumberFormat="1" applyFont="1" applyFill="1" applyBorder="1" applyAlignment="1">
      <alignment horizontal="center" vertical="center"/>
    </xf>
    <xf numFmtId="164" fontId="38" fillId="2" borderId="4" xfId="0" applyNumberFormat="1" applyFont="1" applyFill="1" applyBorder="1" applyAlignment="1">
      <alignment horizontal="center" vertical="center"/>
    </xf>
    <xf numFmtId="0" fontId="34" fillId="2" borderId="8" xfId="0" applyFont="1" applyFill="1" applyBorder="1" applyAlignment="1">
      <alignment horizontal="left" vertical="center"/>
    </xf>
    <xf numFmtId="0" fontId="34" fillId="2" borderId="6" xfId="0" applyFont="1" applyFill="1" applyBorder="1" applyAlignment="1">
      <alignment horizontal="left" vertical="center"/>
    </xf>
    <xf numFmtId="0" fontId="2" fillId="2" borderId="13" xfId="0" applyFont="1" applyFill="1" applyBorder="1" applyAlignment="1">
      <alignment horizontal="center" vertical="center"/>
    </xf>
    <xf numFmtId="14" fontId="37" fillId="2" borderId="13" xfId="0" applyNumberFormat="1" applyFont="1" applyFill="1" applyBorder="1" applyAlignment="1">
      <alignment horizontal="center" vertical="center"/>
    </xf>
    <xf numFmtId="164" fontId="38" fillId="2" borderId="13"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39" fillId="0" borderId="0" xfId="0" applyFont="1" applyAlignment="1">
      <alignment horizontal="center"/>
    </xf>
    <xf numFmtId="0" fontId="11" fillId="14" borderId="62" xfId="0" applyFont="1" applyFill="1" applyBorder="1" applyAlignment="1">
      <alignment horizontal="center" vertical="center" wrapText="1"/>
    </xf>
    <xf numFmtId="0" fontId="11" fillId="14" borderId="57" xfId="0" applyFont="1" applyFill="1" applyBorder="1" applyAlignment="1">
      <alignment horizontal="center" vertical="center" wrapText="1"/>
    </xf>
    <xf numFmtId="0" fontId="11" fillId="14" borderId="63" xfId="0" applyFont="1" applyFill="1" applyBorder="1" applyAlignment="1">
      <alignment horizontal="center" vertical="center" wrapText="1"/>
    </xf>
    <xf numFmtId="0" fontId="11" fillId="14" borderId="64" xfId="0" applyFont="1" applyFill="1" applyBorder="1" applyAlignment="1">
      <alignment horizontal="center" vertical="center" wrapText="1"/>
    </xf>
    <xf numFmtId="0" fontId="11" fillId="14" borderId="0" xfId="0" applyFont="1" applyFill="1" applyBorder="1" applyAlignment="1">
      <alignment horizontal="center" vertical="center" wrapText="1"/>
    </xf>
    <xf numFmtId="0" fontId="11" fillId="14" borderId="65" xfId="0" applyFont="1" applyFill="1" applyBorder="1" applyAlignment="1">
      <alignment horizontal="center" vertical="center" wrapText="1"/>
    </xf>
    <xf numFmtId="0" fontId="11" fillId="14" borderId="66" xfId="0" applyFont="1" applyFill="1" applyBorder="1" applyAlignment="1">
      <alignment horizontal="center" vertical="center" wrapText="1"/>
    </xf>
    <xf numFmtId="0" fontId="11" fillId="14" borderId="56" xfId="0" applyFont="1" applyFill="1" applyBorder="1" applyAlignment="1">
      <alignment horizontal="center" vertical="center" wrapText="1"/>
    </xf>
    <xf numFmtId="0" fontId="11" fillId="14" borderId="67" xfId="0" applyFont="1" applyFill="1" applyBorder="1" applyAlignment="1">
      <alignment horizontal="center" vertical="center" wrapText="1"/>
    </xf>
    <xf numFmtId="0" fontId="2" fillId="5" borderId="1" xfId="0" applyFont="1" applyFill="1" applyBorder="1" applyAlignment="1">
      <alignment horizontal="right" vertical="center"/>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2" fillId="5" borderId="1" xfId="0" applyFont="1" applyFill="1" applyBorder="1" applyAlignment="1">
      <alignment horizontal="left" vertical="center"/>
    </xf>
    <xf numFmtId="0" fontId="41" fillId="0" borderId="0" xfId="0" applyFont="1" applyAlignment="1">
      <alignment horizontal="center"/>
    </xf>
    <xf numFmtId="0" fontId="40" fillId="0" borderId="0" xfId="0" applyFont="1" applyAlignment="1">
      <alignment horizontal="center"/>
    </xf>
    <xf numFmtId="0" fontId="9" fillId="3" borderId="1" xfId="0" applyFont="1" applyFill="1" applyBorder="1" applyAlignment="1">
      <alignment horizontal="center" vertical="center"/>
    </xf>
    <xf numFmtId="0" fontId="43" fillId="2" borderId="2" xfId="0" applyFont="1" applyFill="1" applyBorder="1" applyAlignment="1">
      <alignment horizontal="left" vertical="center"/>
    </xf>
    <xf numFmtId="0" fontId="43" fillId="2" borderId="3" xfId="0" applyFont="1" applyFill="1" applyBorder="1" applyAlignment="1">
      <alignment horizontal="left" vertical="center"/>
    </xf>
    <xf numFmtId="0" fontId="43"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10" fontId="2" fillId="2" borderId="6" xfId="0" applyNumberFormat="1" applyFont="1" applyFill="1" applyBorder="1" applyAlignment="1">
      <alignment horizontal="center" vertical="center"/>
    </xf>
    <xf numFmtId="10" fontId="2" fillId="2" borderId="7"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xf>
    <xf numFmtId="0" fontId="2" fillId="2" borderId="5" xfId="0" applyFont="1" applyFill="1" applyBorder="1" applyAlignment="1">
      <alignment horizontal="center" vertical="center"/>
    </xf>
    <xf numFmtId="164" fontId="35" fillId="2" borderId="11" xfId="0" applyNumberFormat="1" applyFont="1" applyFill="1" applyBorder="1" applyAlignment="1">
      <alignment horizontal="center" vertical="center"/>
    </xf>
    <xf numFmtId="0" fontId="35" fillId="2" borderId="12"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0" xfId="0" applyFont="1" applyFill="1" applyBorder="1" applyAlignment="1">
      <alignment horizontal="center" vertical="center"/>
    </xf>
    <xf numFmtId="0" fontId="2" fillId="2" borderId="1" xfId="0" applyFont="1" applyFill="1" applyBorder="1" applyAlignment="1">
      <alignment horizontal="left" vertical="center"/>
    </xf>
    <xf numFmtId="167" fontId="2" fillId="2" borderId="9" xfId="0" applyNumberFormat="1" applyFont="1" applyFill="1" applyBorder="1" applyAlignment="1">
      <alignment horizontal="center" vertical="center"/>
    </xf>
    <xf numFmtId="167" fontId="2" fillId="2" borderId="10"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164" fontId="2" fillId="4" borderId="8"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wrapText="1"/>
    </xf>
    <xf numFmtId="2" fontId="2" fillId="4" borderId="1" xfId="1"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10" fontId="11" fillId="2" borderId="6"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0" borderId="0" xfId="0" applyFont="1" applyAlignment="1">
      <alignment horizontal="center" vertical="center"/>
    </xf>
    <xf numFmtId="0" fontId="44" fillId="3" borderId="1" xfId="0" applyFont="1" applyFill="1" applyBorder="1" applyAlignment="1">
      <alignment horizontal="center" vertical="center"/>
    </xf>
    <xf numFmtId="14" fontId="29" fillId="2" borderId="6"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xf>
    <xf numFmtId="14" fontId="29" fillId="2" borderId="9" xfId="0" applyNumberFormat="1" applyFont="1" applyFill="1" applyBorder="1" applyAlignment="1">
      <alignment horizontal="center" vertical="center"/>
    </xf>
    <xf numFmtId="14" fontId="29" fillId="2" borderId="10" xfId="0" applyNumberFormat="1" applyFont="1" applyFill="1" applyBorder="1" applyAlignment="1">
      <alignment horizontal="center" vertical="center"/>
    </xf>
    <xf numFmtId="0" fontId="2" fillId="0" borderId="13" xfId="0" applyFont="1" applyBorder="1" applyAlignment="1">
      <alignment horizontal="center" vertical="center"/>
    </xf>
    <xf numFmtId="0" fontId="13" fillId="0" borderId="0" xfId="0" applyFont="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4" fillId="2" borderId="1" xfId="0" applyFont="1" applyFill="1" applyBorder="1" applyAlignment="1">
      <alignment horizontal="left" vertical="center"/>
    </xf>
    <xf numFmtId="0" fontId="36" fillId="2" borderId="1" xfId="0" applyFont="1" applyFill="1" applyBorder="1" applyAlignment="1">
      <alignment horizontal="center" vertical="center"/>
    </xf>
    <xf numFmtId="10" fontId="36"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5" fillId="0" borderId="1" xfId="0" applyFont="1" applyFill="1" applyBorder="1" applyAlignment="1">
      <alignment horizontal="center" vertical="center" wrapText="1"/>
    </xf>
    <xf numFmtId="164" fontId="38" fillId="2" borderId="1" xfId="0" applyNumberFormat="1" applyFont="1" applyFill="1" applyBorder="1" applyAlignment="1">
      <alignment horizontal="center" vertical="center"/>
    </xf>
    <xf numFmtId="14" fontId="37" fillId="2" borderId="1"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64" fontId="5" fillId="0" borderId="2" xfId="1" applyFont="1" applyFill="1" applyBorder="1" applyAlignment="1">
      <alignment horizontal="center" vertical="center"/>
    </xf>
    <xf numFmtId="164" fontId="5" fillId="0" borderId="4" xfId="1" applyFont="1" applyFill="1" applyBorder="1" applyAlignment="1">
      <alignment horizontal="center" vertical="center"/>
    </xf>
    <xf numFmtId="0" fontId="5" fillId="0" borderId="1" xfId="0" applyFont="1" applyFill="1" applyBorder="1" applyAlignment="1">
      <alignment horizontal="left"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1" fillId="0" borderId="19" xfId="10" applyNumberFormat="1" applyFont="1" applyBorder="1" applyAlignment="1" applyProtection="1">
      <alignment horizontal="center" vertical="center" wrapText="1"/>
      <protection hidden="1"/>
    </xf>
    <xf numFmtId="0" fontId="11" fillId="0" borderId="20" xfId="10" applyNumberFormat="1" applyFont="1" applyBorder="1" applyAlignment="1" applyProtection="1">
      <alignment horizontal="center" vertical="center" wrapText="1"/>
      <protection hidden="1"/>
    </xf>
    <xf numFmtId="0" fontId="11" fillId="0" borderId="21" xfId="10" applyNumberFormat="1" applyFont="1" applyBorder="1" applyAlignment="1" applyProtection="1">
      <alignment horizontal="center" vertical="center" wrapText="1"/>
      <protection hidden="1"/>
    </xf>
    <xf numFmtId="2" fontId="20" fillId="8" borderId="16" xfId="9" applyNumberFormat="1" applyFont="1" applyFill="1" applyBorder="1" applyAlignment="1" applyProtection="1">
      <alignment horizontal="left"/>
      <protection locked="0"/>
    </xf>
    <xf numFmtId="0" fontId="18" fillId="0" borderId="17" xfId="8" applyBorder="1" applyAlignment="1" applyProtection="1">
      <protection locked="0"/>
    </xf>
    <xf numFmtId="0" fontId="18" fillId="0" borderId="18" xfId="8" applyBorder="1" applyAlignment="1" applyProtection="1">
      <protection locked="0"/>
    </xf>
    <xf numFmtId="0" fontId="18" fillId="8" borderId="17" xfId="8" applyFill="1" applyBorder="1" applyAlignment="1" applyProtection="1">
      <protection locked="0"/>
    </xf>
    <xf numFmtId="0" fontId="18" fillId="8" borderId="18" xfId="8" applyFill="1" applyBorder="1" applyAlignment="1" applyProtection="1">
      <protection locked="0"/>
    </xf>
    <xf numFmtId="0" fontId="23" fillId="9" borderId="19" xfId="8" applyFont="1" applyFill="1" applyBorder="1" applyAlignment="1" applyProtection="1">
      <alignment horizontal="center" vertical="center" wrapText="1"/>
    </xf>
    <xf numFmtId="0" fontId="23" fillId="9" borderId="20" xfId="8" applyFont="1" applyFill="1" applyBorder="1" applyAlignment="1" applyProtection="1">
      <alignment horizontal="center" vertical="center" wrapText="1"/>
    </xf>
    <xf numFmtId="0" fontId="23" fillId="9" borderId="21" xfId="8" applyFont="1" applyFill="1" applyBorder="1" applyAlignment="1" applyProtection="1">
      <alignment horizontal="center" vertical="center" wrapText="1"/>
    </xf>
    <xf numFmtId="14" fontId="25" fillId="0" borderId="0" xfId="10" applyNumberFormat="1" applyFont="1" applyFill="1" applyBorder="1" applyAlignment="1" applyProtection="1">
      <alignment horizontal="center" vertical="center" wrapText="1"/>
      <protection hidden="1"/>
    </xf>
    <xf numFmtId="0" fontId="11" fillId="0" borderId="0" xfId="6" applyFont="1" applyFill="1" applyAlignment="1" applyProtection="1">
      <alignment horizontal="left" vertical="center" wrapText="1"/>
    </xf>
    <xf numFmtId="0" fontId="28" fillId="0" borderId="0" xfId="8" applyFont="1" applyAlignment="1">
      <alignment horizontal="left" vertical="center" wrapText="1"/>
    </xf>
    <xf numFmtId="14" fontId="7" fillId="0" borderId="0" xfId="10" applyNumberFormat="1" applyFont="1" applyBorder="1" applyAlignment="1" applyProtection="1">
      <alignment horizontal="center" vertical="center" textRotation="180" wrapText="1"/>
      <protection hidden="1"/>
    </xf>
    <xf numFmtId="0" fontId="26" fillId="0" borderId="0" xfId="6" applyFont="1" applyAlignment="1" applyProtection="1">
      <alignment horizontal="center" vertical="center" wrapText="1"/>
    </xf>
    <xf numFmtId="14" fontId="7" fillId="0" borderId="28" xfId="10" applyNumberFormat="1" applyFont="1" applyBorder="1" applyAlignment="1" applyProtection="1">
      <alignment horizontal="center" vertical="center" wrapText="1"/>
      <protection hidden="1"/>
    </xf>
    <xf numFmtId="14" fontId="7" fillId="0" borderId="30" xfId="10" applyNumberFormat="1" applyFont="1" applyBorder="1" applyAlignment="1" applyProtection="1">
      <alignment horizontal="center" vertical="center" wrapText="1"/>
      <protection hidden="1"/>
    </xf>
    <xf numFmtId="14" fontId="7" fillId="0" borderId="29" xfId="10" applyNumberFormat="1" applyFont="1" applyBorder="1" applyAlignment="1" applyProtection="1">
      <alignment horizontal="center" vertical="center" wrapText="1"/>
      <protection hidden="1"/>
    </xf>
    <xf numFmtId="14" fontId="7" fillId="0" borderId="31" xfId="10" applyNumberFormat="1" applyFont="1" applyBorder="1" applyAlignment="1" applyProtection="1">
      <alignment horizontal="center" vertical="center" wrapText="1"/>
      <protection hidden="1"/>
    </xf>
    <xf numFmtId="0" fontId="27" fillId="0" borderId="16" xfId="6" applyFont="1" applyBorder="1" applyAlignment="1" applyProtection="1">
      <alignment horizontal="center" wrapText="1"/>
    </xf>
    <xf numFmtId="0" fontId="28" fillId="0" borderId="17" xfId="8" applyFont="1" applyBorder="1" applyAlignment="1" applyProtection="1">
      <alignment horizontal="center" wrapText="1"/>
    </xf>
    <xf numFmtId="0" fontId="28" fillId="0" borderId="42" xfId="8" applyFont="1" applyBorder="1" applyAlignment="1" applyProtection="1">
      <alignment horizontal="center" wrapText="1"/>
    </xf>
    <xf numFmtId="0" fontId="27" fillId="12" borderId="9" xfId="6" applyNumberFormat="1" applyFont="1" applyFill="1" applyBorder="1" applyAlignment="1" applyProtection="1">
      <alignment horizontal="center"/>
    </xf>
    <xf numFmtId="0" fontId="27" fillId="12" borderId="10" xfId="6" applyNumberFormat="1" applyFont="1" applyFill="1" applyBorder="1" applyAlignment="1" applyProtection="1">
      <alignment horizontal="center"/>
    </xf>
    <xf numFmtId="0" fontId="27" fillId="0" borderId="43" xfId="11" applyFont="1" applyBorder="1" applyAlignment="1" applyProtection="1">
      <alignment horizontal="left" vertical="center" wrapText="1"/>
    </xf>
    <xf numFmtId="0" fontId="27" fillId="0" borderId="44" xfId="11" applyFont="1" applyBorder="1" applyAlignment="1" applyProtection="1">
      <alignment horizontal="left" vertical="center" wrapText="1"/>
    </xf>
    <xf numFmtId="0" fontId="27" fillId="0" borderId="32" xfId="11" applyFont="1" applyBorder="1" applyAlignment="1" applyProtection="1">
      <alignment horizontal="left" vertical="center" wrapText="1"/>
    </xf>
    <xf numFmtId="2" fontId="29" fillId="0" borderId="46" xfId="11" applyNumberFormat="1" applyFont="1" applyFill="1" applyBorder="1" applyAlignment="1" applyProtection="1">
      <alignment horizontal="center" vertical="center"/>
    </xf>
    <xf numFmtId="0" fontId="18" fillId="0" borderId="47" xfId="8" applyBorder="1" applyAlignment="1" applyProtection="1">
      <alignment horizontal="center" vertical="center"/>
    </xf>
    <xf numFmtId="10" fontId="29" fillId="0" borderId="46" xfId="12" applyNumberFormat="1" applyFont="1" applyFill="1" applyBorder="1" applyAlignment="1" applyProtection="1">
      <alignment horizontal="center" vertical="center"/>
    </xf>
    <xf numFmtId="2" fontId="10" fillId="0" borderId="13" xfId="11" applyNumberFormat="1" applyFont="1" applyFill="1" applyBorder="1" applyAlignment="1" applyProtection="1">
      <alignment horizontal="center" vertical="center" wrapText="1"/>
    </xf>
    <xf numFmtId="0" fontId="30" fillId="0" borderId="13" xfId="8" applyFont="1" applyBorder="1" applyAlignment="1" applyProtection="1">
      <alignment wrapText="1"/>
    </xf>
    <xf numFmtId="0" fontId="30" fillId="0" borderId="7" xfId="8" applyFont="1" applyBorder="1" applyAlignment="1" applyProtection="1">
      <alignment wrapText="1"/>
    </xf>
    <xf numFmtId="0" fontId="30" fillId="0" borderId="0" xfId="8" applyFont="1" applyBorder="1" applyAlignment="1" applyProtection="1">
      <alignment wrapText="1"/>
    </xf>
    <xf numFmtId="0" fontId="30" fillId="0" borderId="12" xfId="8" applyFont="1" applyBorder="1" applyAlignment="1" applyProtection="1">
      <alignment wrapText="1"/>
    </xf>
    <xf numFmtId="0" fontId="30" fillId="0" borderId="9" xfId="8" applyFont="1" applyBorder="1" applyAlignment="1" applyProtection="1">
      <alignment wrapText="1"/>
    </xf>
    <xf numFmtId="0" fontId="30" fillId="0" borderId="14" xfId="8" applyFont="1" applyBorder="1" applyAlignment="1" applyProtection="1">
      <alignment wrapText="1"/>
    </xf>
    <xf numFmtId="0" fontId="30" fillId="0" borderId="10" xfId="8" applyFont="1" applyBorder="1" applyAlignment="1" applyProtection="1">
      <alignment wrapText="1"/>
    </xf>
    <xf numFmtId="0" fontId="7" fillId="10" borderId="6" xfId="6" applyNumberFormat="1" applyFont="1" applyFill="1" applyBorder="1" applyAlignment="1" applyProtection="1">
      <alignment horizontal="left" wrapText="1"/>
    </xf>
    <xf numFmtId="0" fontId="7" fillId="10" borderId="13" xfId="6" applyNumberFormat="1" applyFont="1" applyFill="1" applyBorder="1" applyAlignment="1" applyProtection="1">
      <alignment horizontal="left" wrapText="1"/>
    </xf>
    <xf numFmtId="0" fontId="7" fillId="10" borderId="7" xfId="6" applyNumberFormat="1" applyFont="1" applyFill="1" applyBorder="1" applyAlignment="1" applyProtection="1">
      <alignment horizontal="left" wrapText="1"/>
    </xf>
    <xf numFmtId="0" fontId="7" fillId="10" borderId="9" xfId="6" applyNumberFormat="1" applyFont="1" applyFill="1" applyBorder="1" applyAlignment="1" applyProtection="1">
      <alignment horizontal="left" wrapText="1"/>
    </xf>
    <xf numFmtId="0" fontId="7" fillId="10" borderId="14" xfId="6" applyNumberFormat="1" applyFont="1" applyFill="1" applyBorder="1" applyAlignment="1" applyProtection="1">
      <alignment horizontal="left" wrapText="1"/>
    </xf>
    <xf numFmtId="0" fontId="7" fillId="10" borderId="10" xfId="6" applyNumberFormat="1" applyFont="1" applyFill="1" applyBorder="1" applyAlignment="1" applyProtection="1">
      <alignment horizontal="left" wrapText="1"/>
    </xf>
    <xf numFmtId="0" fontId="10" fillId="0" borderId="58" xfId="6" applyFill="1" applyBorder="1" applyAlignment="1" applyProtection="1">
      <alignment horizontal="center"/>
      <protection locked="0"/>
    </xf>
    <xf numFmtId="0" fontId="10" fillId="0" borderId="60" xfId="6" applyFill="1" applyBorder="1" applyAlignment="1" applyProtection="1">
      <alignment horizontal="center"/>
      <protection locked="0"/>
    </xf>
    <xf numFmtId="0" fontId="32" fillId="13" borderId="48" xfId="6" applyFont="1" applyFill="1" applyBorder="1" applyAlignment="1" applyProtection="1">
      <alignment horizontal="center"/>
    </xf>
    <xf numFmtId="0" fontId="32" fillId="13" borderId="49" xfId="6" applyFont="1" applyFill="1" applyBorder="1" applyAlignment="1" applyProtection="1">
      <alignment horizontal="center"/>
    </xf>
    <xf numFmtId="0" fontId="32" fillId="13" borderId="50" xfId="6" applyFont="1" applyFill="1" applyBorder="1" applyAlignment="1" applyProtection="1">
      <alignment horizontal="center"/>
    </xf>
    <xf numFmtId="0" fontId="8" fillId="0" borderId="51" xfId="6" applyNumberFormat="1" applyFont="1" applyFill="1" applyBorder="1" applyAlignment="1" applyProtection="1">
      <alignment horizontal="left" vertical="center" wrapText="1"/>
    </xf>
    <xf numFmtId="0" fontId="8" fillId="0" borderId="52" xfId="6" applyNumberFormat="1" applyFont="1" applyFill="1" applyBorder="1" applyAlignment="1" applyProtection="1">
      <alignment horizontal="left" vertical="center" wrapText="1"/>
    </xf>
    <xf numFmtId="0" fontId="8" fillId="0" borderId="53" xfId="6" applyNumberFormat="1" applyFont="1" applyFill="1" applyBorder="1" applyAlignment="1" applyProtection="1">
      <alignment horizontal="left" vertical="center" wrapText="1"/>
    </xf>
    <xf numFmtId="0" fontId="8" fillId="0" borderId="54" xfId="6" applyNumberFormat="1" applyFont="1" applyFill="1" applyBorder="1" applyAlignment="1" applyProtection="1">
      <alignment horizontal="left" vertical="center" wrapText="1"/>
    </xf>
    <xf numFmtId="0" fontId="8" fillId="0" borderId="0" xfId="6" applyNumberFormat="1" applyFont="1" applyFill="1" applyBorder="1" applyAlignment="1" applyProtection="1">
      <alignment horizontal="left" vertical="center" wrapText="1"/>
    </xf>
    <xf numFmtId="0" fontId="8" fillId="0" borderId="55" xfId="6" applyNumberFormat="1" applyFont="1" applyFill="1" applyBorder="1" applyAlignment="1" applyProtection="1">
      <alignment horizontal="left" vertical="center" wrapText="1"/>
    </xf>
    <xf numFmtId="14" fontId="10" fillId="8" borderId="14" xfId="13" applyNumberFormat="1" applyFont="1" applyFill="1" applyBorder="1" applyAlignment="1" applyProtection="1">
      <alignment horizontal="center"/>
      <protection locked="0"/>
    </xf>
    <xf numFmtId="0" fontId="10" fillId="0" borderId="13" xfId="10" applyFont="1" applyBorder="1" applyAlignment="1" applyProtection="1">
      <alignment horizontal="center"/>
    </xf>
    <xf numFmtId="0" fontId="5" fillId="0" borderId="57" xfId="6" applyFont="1" applyBorder="1" applyAlignment="1" applyProtection="1">
      <alignment horizontal="center"/>
    </xf>
    <xf numFmtId="0" fontId="10" fillId="0" borderId="17" xfId="6" applyFill="1" applyBorder="1" applyAlignment="1" applyProtection="1">
      <alignment horizont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cellXfs>
  <cellStyles count="14">
    <cellStyle name="Moeda" xfId="1" builtinId="4"/>
    <cellStyle name="Normal" xfId="0" builtinId="0"/>
    <cellStyle name="Normal 2" xfId="3"/>
    <cellStyle name="Normal 2 2 2" xfId="5"/>
    <cellStyle name="Normal 2_SIGEO Ver_2013A" xfId="10"/>
    <cellStyle name="Normal 4" xfId="8"/>
    <cellStyle name="Normal 4 2_SIGEO Ver_2013A" xfId="7"/>
    <cellStyle name="Normal_Cálculo BDI conforme TCU" xfId="11"/>
    <cellStyle name="Normal_Cálculo BDI conforme TCU_SIGEO Ver_2013A" xfId="6"/>
    <cellStyle name="Normal_Plan1" xfId="9"/>
    <cellStyle name="Porcentagem" xfId="2" builtinId="5"/>
    <cellStyle name="Porcentagem 5" xfId="12"/>
    <cellStyle name="Vírgula 2 2" xfId="13"/>
    <cellStyle name="Vírgula 5 2" xfId="4"/>
  </cellStyles>
  <dxfs count="7">
    <dxf>
      <font>
        <b/>
        <i val="0"/>
        <condense val="0"/>
        <extend val="0"/>
        <color indexed="9"/>
      </font>
      <fill>
        <patternFill patternType="solid">
          <bgColor indexed="10"/>
        </patternFill>
      </fill>
    </dxf>
    <dxf>
      <font>
        <b/>
        <i val="0"/>
        <condense val="0"/>
        <extend val="0"/>
        <color indexed="17"/>
      </font>
      <fill>
        <patternFill>
          <bgColor indexed="9"/>
        </patternFill>
      </fill>
    </dxf>
    <dxf>
      <font>
        <b/>
        <i val="0"/>
        <condense val="0"/>
        <extend val="0"/>
        <color indexed="17"/>
      </font>
      <fill>
        <patternFill patternType="none">
          <bgColor indexed="65"/>
        </patternFill>
      </fill>
    </dxf>
    <dxf>
      <fill>
        <patternFill>
          <bgColor indexed="43"/>
        </patternFill>
      </fill>
    </dxf>
    <dxf>
      <font>
        <condense val="0"/>
        <extend val="0"/>
        <color indexed="17"/>
      </font>
    </dxf>
    <dxf>
      <font>
        <condense val="0"/>
        <extend val="0"/>
        <color indexed="10"/>
      </font>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6" dropStyle="combo" dx="16" fmlaLink="$O$10:$O$15" fmlaRange="$N$10:$N$15" noThreeD="1" sel="1" val="0"/>
</file>

<file path=xl/ctrlProps/ctrlProp2.xml><?xml version="1.0" encoding="utf-8"?>
<formControlPr xmlns="http://schemas.microsoft.com/office/spreadsheetml/2009/9/main" objectType="CheckBox" checked="Checked" fmlaLink="$N$8"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30</xdr:row>
      <xdr:rowOff>0</xdr:rowOff>
    </xdr:from>
    <xdr:to>
      <xdr:col>11</xdr:col>
      <xdr:colOff>0</xdr:colOff>
      <xdr:row>33</xdr:row>
      <xdr:rowOff>76200</xdr:rowOff>
    </xdr:to>
    <xdr:sp macro="" textlink="">
      <xdr:nvSpPr>
        <xdr:cNvPr id="2" name="CaixaDeTexto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628650" y="5267325"/>
          <a:ext cx="10410825" cy="5619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5</xdr:col>
          <xdr:colOff>485775</xdr:colOff>
          <xdr:row>11</xdr:row>
          <xdr:rowOff>47625</xdr:rowOff>
        </xdr:to>
        <xdr:sp macro="" textlink="">
          <xdr:nvSpPr>
            <xdr:cNvPr id="3073" name="Drop Down 1" descr="teste"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114300</xdr:colOff>
      <xdr:row>26</xdr:row>
      <xdr:rowOff>133350</xdr:rowOff>
    </xdr:from>
    <xdr:to>
      <xdr:col>3</xdr:col>
      <xdr:colOff>2638425</xdr:colOff>
      <xdr:row>28</xdr:row>
      <xdr:rowOff>85725</xdr:rowOff>
    </xdr:to>
    <xdr:pic>
      <xdr:nvPicPr>
        <xdr:cNvPr id="4" name="Picture 38">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4552950"/>
          <a:ext cx="29527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19050</xdr:colOff>
          <xdr:row>21</xdr:row>
          <xdr:rowOff>142875</xdr:rowOff>
        </xdr:from>
        <xdr:to>
          <xdr:col>11</xdr:col>
          <xdr:colOff>819150</xdr:colOff>
          <xdr:row>23</xdr:row>
          <xdr:rowOff>28575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BCBCBC"/>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Mão-de-obra desonerada</a:t>
              </a:r>
            </a:p>
          </xdr:txBody>
        </xdr:sp>
        <xdr:clientData fLocksWithSheet="0"/>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0"/>
  <sheetViews>
    <sheetView view="pageLayout" topLeftCell="A77" zoomScaleNormal="100" workbookViewId="0">
      <selection activeCell="E3" sqref="E3:F3"/>
    </sheetView>
  </sheetViews>
  <sheetFormatPr defaultRowHeight="15" x14ac:dyDescent="0.25"/>
  <cols>
    <col min="1" max="1" width="6.140625" customWidth="1"/>
    <col min="2" max="2" width="17.7109375" customWidth="1"/>
    <col min="3" max="3" width="18.85546875" customWidth="1"/>
    <col min="4" max="4" width="70.7109375" customWidth="1"/>
    <col min="5" max="5" width="5.42578125" customWidth="1"/>
    <col min="7" max="8" width="15.7109375" customWidth="1"/>
    <col min="9" max="9" width="16.140625" customWidth="1"/>
    <col min="10" max="10" width="16" customWidth="1"/>
  </cols>
  <sheetData>
    <row r="1" spans="1:10" ht="20.25" x14ac:dyDescent="0.25">
      <c r="A1" s="295" t="s">
        <v>50</v>
      </c>
      <c r="B1" s="295"/>
      <c r="C1" s="295"/>
      <c r="D1" s="295"/>
      <c r="E1" s="295"/>
      <c r="F1" s="295"/>
      <c r="G1" s="295"/>
      <c r="H1" s="295"/>
      <c r="I1" s="295"/>
      <c r="J1" s="295"/>
    </row>
    <row r="2" spans="1:10" x14ac:dyDescent="0.25">
      <c r="A2" s="296" t="s">
        <v>303</v>
      </c>
      <c r="B2" s="297"/>
      <c r="C2" s="297"/>
      <c r="D2" s="298"/>
      <c r="E2" s="270" t="s">
        <v>15</v>
      </c>
      <c r="F2" s="272"/>
      <c r="G2" s="19" t="s">
        <v>16</v>
      </c>
      <c r="H2" s="193"/>
      <c r="I2" s="270" t="s">
        <v>17</v>
      </c>
      <c r="J2" s="272"/>
    </row>
    <row r="3" spans="1:10" x14ac:dyDescent="0.25">
      <c r="A3" s="299" t="s">
        <v>237</v>
      </c>
      <c r="B3" s="300"/>
      <c r="C3" s="300"/>
      <c r="D3" s="301"/>
      <c r="E3" s="302">
        <v>0.27650000000000002</v>
      </c>
      <c r="F3" s="303"/>
      <c r="G3" s="304">
        <f ca="1">TODAY()</f>
        <v>45404</v>
      </c>
      <c r="H3" s="196"/>
      <c r="I3" s="306">
        <f>J108</f>
        <v>597134.16042989993</v>
      </c>
      <c r="J3" s="307"/>
    </row>
    <row r="4" spans="1:10" x14ac:dyDescent="0.25">
      <c r="A4" s="310" t="s">
        <v>239</v>
      </c>
      <c r="B4" s="310"/>
      <c r="C4" s="310"/>
      <c r="D4" s="310"/>
      <c r="E4" s="311">
        <v>1.2765</v>
      </c>
      <c r="F4" s="312"/>
      <c r="G4" s="305"/>
      <c r="H4" s="197"/>
      <c r="I4" s="308"/>
      <c r="J4" s="309"/>
    </row>
    <row r="5" spans="1:10" ht="15.75" customHeight="1" x14ac:dyDescent="0.25">
      <c r="A5" s="270" t="s">
        <v>333</v>
      </c>
      <c r="B5" s="271"/>
      <c r="C5" s="272"/>
      <c r="D5" s="224" t="s">
        <v>334</v>
      </c>
      <c r="E5" s="225"/>
      <c r="F5" s="226"/>
      <c r="G5" s="222"/>
      <c r="H5" s="251"/>
      <c r="I5" s="252"/>
      <c r="J5" s="223"/>
    </row>
    <row r="6" spans="1:10" x14ac:dyDescent="0.25">
      <c r="A6" s="313" t="s">
        <v>0</v>
      </c>
      <c r="B6" s="317" t="s">
        <v>18</v>
      </c>
      <c r="C6" s="313" t="s">
        <v>19</v>
      </c>
      <c r="D6" s="319" t="s">
        <v>20</v>
      </c>
      <c r="E6" s="313" t="s">
        <v>21</v>
      </c>
      <c r="F6" s="320" t="s">
        <v>22</v>
      </c>
      <c r="G6" s="321" t="s">
        <v>23</v>
      </c>
      <c r="H6" s="194"/>
      <c r="I6" s="315" t="s">
        <v>24</v>
      </c>
      <c r="J6" s="313" t="s">
        <v>25</v>
      </c>
    </row>
    <row r="7" spans="1:10" x14ac:dyDescent="0.25">
      <c r="A7" s="313"/>
      <c r="B7" s="318"/>
      <c r="C7" s="313"/>
      <c r="D7" s="319"/>
      <c r="E7" s="313"/>
      <c r="F7" s="320"/>
      <c r="G7" s="321"/>
      <c r="H7" s="195"/>
      <c r="I7" s="316"/>
      <c r="J7" s="313"/>
    </row>
    <row r="8" spans="1:10" x14ac:dyDescent="0.25">
      <c r="A8" s="20" t="s">
        <v>26</v>
      </c>
      <c r="B8" s="314"/>
      <c r="C8" s="314"/>
      <c r="D8" s="292" t="s">
        <v>27</v>
      </c>
      <c r="E8" s="292"/>
      <c r="F8" s="292"/>
      <c r="G8" s="292"/>
      <c r="H8" s="292"/>
      <c r="I8" s="292"/>
      <c r="J8" s="292"/>
    </row>
    <row r="9" spans="1:10" ht="28.5" x14ac:dyDescent="0.25">
      <c r="A9" s="1" t="s">
        <v>1</v>
      </c>
      <c r="B9" s="1">
        <v>103689</v>
      </c>
      <c r="C9" s="21" t="s">
        <v>36</v>
      </c>
      <c r="D9" s="22" t="s">
        <v>305</v>
      </c>
      <c r="E9" s="1" t="s">
        <v>29</v>
      </c>
      <c r="F9" s="23">
        <v>3</v>
      </c>
      <c r="G9" s="24">
        <v>309.77</v>
      </c>
      <c r="H9" s="24">
        <f>G9*F9</f>
        <v>929.31</v>
      </c>
      <c r="I9" s="24">
        <f>G9*$E$4</f>
        <v>395.42140499999999</v>
      </c>
      <c r="J9" s="24">
        <f t="shared" ref="J9:J18" si="0">I9*F9</f>
        <v>1186.2642149999999</v>
      </c>
    </row>
    <row r="10" spans="1:10" s="221" customFormat="1" x14ac:dyDescent="0.25">
      <c r="A10" s="1" t="s">
        <v>63</v>
      </c>
      <c r="B10" s="1">
        <v>42591</v>
      </c>
      <c r="C10" s="21" t="s">
        <v>28</v>
      </c>
      <c r="D10" s="22" t="s">
        <v>49</v>
      </c>
      <c r="E10" s="1" t="s">
        <v>55</v>
      </c>
      <c r="F10" s="48">
        <v>90</v>
      </c>
      <c r="G10" s="24">
        <v>4.99</v>
      </c>
      <c r="H10" s="24">
        <f t="shared" ref="H10:H18" si="1">G10*F10</f>
        <v>449.1</v>
      </c>
      <c r="I10" s="24">
        <f t="shared" ref="I10:I18" si="2">G10*$E$4</f>
        <v>6.3697350000000004</v>
      </c>
      <c r="J10" s="24">
        <f t="shared" si="0"/>
        <v>573.27615000000003</v>
      </c>
    </row>
    <row r="11" spans="1:10" x14ac:dyDescent="0.25">
      <c r="A11" s="1" t="s">
        <v>64</v>
      </c>
      <c r="B11" s="1">
        <v>42512</v>
      </c>
      <c r="C11" s="21" t="s">
        <v>28</v>
      </c>
      <c r="D11" s="22" t="s">
        <v>51</v>
      </c>
      <c r="E11" s="1" t="s">
        <v>29</v>
      </c>
      <c r="F11" s="48">
        <v>460</v>
      </c>
      <c r="G11" s="24">
        <v>5.75</v>
      </c>
      <c r="H11" s="24">
        <f t="shared" si="1"/>
        <v>2645</v>
      </c>
      <c r="I11" s="24">
        <f t="shared" si="2"/>
        <v>7.3398750000000001</v>
      </c>
      <c r="J11" s="24">
        <f t="shared" si="0"/>
        <v>3376.3425000000002</v>
      </c>
    </row>
    <row r="12" spans="1:10" x14ac:dyDescent="0.25">
      <c r="A12" s="1" t="s">
        <v>65</v>
      </c>
      <c r="B12" s="1">
        <v>42513</v>
      </c>
      <c r="C12" s="21" t="s">
        <v>28</v>
      </c>
      <c r="D12" s="22" t="s">
        <v>235</v>
      </c>
      <c r="E12" s="1" t="s">
        <v>29</v>
      </c>
      <c r="F12" s="48">
        <v>460</v>
      </c>
      <c r="G12" s="24">
        <v>11.6</v>
      </c>
      <c r="H12" s="24">
        <f t="shared" si="1"/>
        <v>5336</v>
      </c>
      <c r="I12" s="24">
        <f t="shared" si="2"/>
        <v>14.807399999999999</v>
      </c>
      <c r="J12" s="24">
        <f t="shared" si="0"/>
        <v>6811.4039999999995</v>
      </c>
    </row>
    <row r="13" spans="1:10" x14ac:dyDescent="0.25">
      <c r="A13" s="1" t="s">
        <v>66</v>
      </c>
      <c r="B13" s="1">
        <v>98458</v>
      </c>
      <c r="C13" s="21" t="s">
        <v>36</v>
      </c>
      <c r="D13" s="22" t="s">
        <v>242</v>
      </c>
      <c r="E13" s="1" t="s">
        <v>29</v>
      </c>
      <c r="F13" s="56">
        <v>23</v>
      </c>
      <c r="G13" s="24">
        <v>247.5</v>
      </c>
      <c r="H13" s="24">
        <f t="shared" si="1"/>
        <v>5692.5</v>
      </c>
      <c r="I13" s="24">
        <f t="shared" si="2"/>
        <v>315.93374999999997</v>
      </c>
      <c r="J13" s="24">
        <f t="shared" si="0"/>
        <v>7266.4762499999997</v>
      </c>
    </row>
    <row r="14" spans="1:10" x14ac:dyDescent="0.25">
      <c r="A14" s="1" t="s">
        <v>203</v>
      </c>
      <c r="B14" s="1">
        <v>42522</v>
      </c>
      <c r="C14" s="21" t="s">
        <v>28</v>
      </c>
      <c r="D14" s="22" t="s">
        <v>215</v>
      </c>
      <c r="E14" s="1" t="s">
        <v>55</v>
      </c>
      <c r="F14" s="56">
        <v>15</v>
      </c>
      <c r="G14" s="24">
        <v>63.9</v>
      </c>
      <c r="H14" s="24">
        <f t="shared" si="1"/>
        <v>958.5</v>
      </c>
      <c r="I14" s="24">
        <f t="shared" si="2"/>
        <v>81.568349999999995</v>
      </c>
      <c r="J14" s="24">
        <f t="shared" si="0"/>
        <v>1223.5252499999999</v>
      </c>
    </row>
    <row r="15" spans="1:10" ht="42.75" x14ac:dyDescent="0.25">
      <c r="A15" s="1" t="s">
        <v>214</v>
      </c>
      <c r="B15" s="1">
        <v>104802</v>
      </c>
      <c r="C15" s="21" t="s">
        <v>36</v>
      </c>
      <c r="D15" s="22" t="s">
        <v>263</v>
      </c>
      <c r="E15" s="1" t="s">
        <v>29</v>
      </c>
      <c r="F15" s="56">
        <v>200</v>
      </c>
      <c r="G15" s="24">
        <v>9.1999999999999993</v>
      </c>
      <c r="H15" s="24">
        <f t="shared" si="1"/>
        <v>1839.9999999999998</v>
      </c>
      <c r="I15" s="24">
        <f t="shared" si="2"/>
        <v>11.743799999999998</v>
      </c>
      <c r="J15" s="24">
        <f t="shared" si="0"/>
        <v>2348.7599999999998</v>
      </c>
    </row>
    <row r="16" spans="1:10" ht="28.5" x14ac:dyDescent="0.25">
      <c r="A16" s="1" t="s">
        <v>216</v>
      </c>
      <c r="B16" s="1">
        <v>40097</v>
      </c>
      <c r="C16" s="21" t="s">
        <v>28</v>
      </c>
      <c r="D16" s="22" t="s">
        <v>277</v>
      </c>
      <c r="E16" s="1" t="s">
        <v>94</v>
      </c>
      <c r="F16" s="56">
        <v>1</v>
      </c>
      <c r="G16" s="24">
        <v>345.82</v>
      </c>
      <c r="H16" s="24">
        <f t="shared" si="1"/>
        <v>345.82</v>
      </c>
      <c r="I16" s="24">
        <f t="shared" si="2"/>
        <v>441.43922999999995</v>
      </c>
      <c r="J16" s="24">
        <f t="shared" si="0"/>
        <v>441.43922999999995</v>
      </c>
    </row>
    <row r="17" spans="1:10" x14ac:dyDescent="0.25">
      <c r="A17" s="1" t="s">
        <v>262</v>
      </c>
      <c r="B17" s="1">
        <v>42566</v>
      </c>
      <c r="C17" s="21" t="s">
        <v>28</v>
      </c>
      <c r="D17" s="22" t="s">
        <v>217</v>
      </c>
      <c r="E17" s="1" t="s">
        <v>29</v>
      </c>
      <c r="F17" s="55">
        <v>5</v>
      </c>
      <c r="G17" s="24">
        <v>361.06</v>
      </c>
      <c r="H17" s="24">
        <f t="shared" si="1"/>
        <v>1805.3</v>
      </c>
      <c r="I17" s="24">
        <f t="shared" si="2"/>
        <v>460.89308999999997</v>
      </c>
      <c r="J17" s="24">
        <f t="shared" si="0"/>
        <v>2304.4654499999997</v>
      </c>
    </row>
    <row r="18" spans="1:10" ht="28.5" x14ac:dyDescent="0.25">
      <c r="A18" s="1" t="s">
        <v>276</v>
      </c>
      <c r="B18" s="1">
        <v>97625</v>
      </c>
      <c r="C18" s="21" t="s">
        <v>36</v>
      </c>
      <c r="D18" s="22" t="s">
        <v>308</v>
      </c>
      <c r="E18" s="1" t="s">
        <v>32</v>
      </c>
      <c r="F18" s="55">
        <f>2.5*3.5*0.3</f>
        <v>2.625</v>
      </c>
      <c r="G18" s="24">
        <v>63.96</v>
      </c>
      <c r="H18" s="24">
        <f t="shared" si="1"/>
        <v>167.89500000000001</v>
      </c>
      <c r="I18" s="24">
        <f t="shared" si="2"/>
        <v>81.644940000000005</v>
      </c>
      <c r="J18" s="24">
        <f t="shared" si="0"/>
        <v>214.31796750000001</v>
      </c>
    </row>
    <row r="19" spans="1:10" x14ac:dyDescent="0.25">
      <c r="A19" s="288" t="s">
        <v>39</v>
      </c>
      <c r="B19" s="288"/>
      <c r="C19" s="288"/>
      <c r="D19" s="288"/>
      <c r="E19" s="288"/>
      <c r="F19" s="288"/>
      <c r="G19" s="288"/>
      <c r="H19" s="198">
        <f>SUM(H9:H17)</f>
        <v>20001.53</v>
      </c>
      <c r="I19" s="27"/>
      <c r="J19" s="27">
        <f>SUM(J9:J18)</f>
        <v>25746.271012499994</v>
      </c>
    </row>
    <row r="21" spans="1:10" x14ac:dyDescent="0.25">
      <c r="A21" s="20" t="s">
        <v>30</v>
      </c>
      <c r="B21" s="314"/>
      <c r="C21" s="314"/>
      <c r="D21" s="292" t="s">
        <v>31</v>
      </c>
      <c r="E21" s="292"/>
      <c r="F21" s="292"/>
      <c r="G21" s="292"/>
      <c r="H21" s="292"/>
      <c r="I21" s="292"/>
      <c r="J21" s="292"/>
    </row>
    <row r="22" spans="1:10" x14ac:dyDescent="0.25">
      <c r="A22" s="1" t="s">
        <v>2</v>
      </c>
      <c r="B22" s="1">
        <v>42590</v>
      </c>
      <c r="C22" s="1" t="s">
        <v>28</v>
      </c>
      <c r="D22" s="22" t="s">
        <v>53</v>
      </c>
      <c r="E22" s="1" t="s">
        <v>32</v>
      </c>
      <c r="F22" s="48">
        <f>25+7.8+6.5</f>
        <v>39.299999999999997</v>
      </c>
      <c r="G22" s="24">
        <v>52.85</v>
      </c>
      <c r="H22" s="24">
        <f>G22*F22</f>
        <v>2077.0050000000001</v>
      </c>
      <c r="I22" s="24">
        <f>G22*$E$4</f>
        <v>67.463025000000002</v>
      </c>
      <c r="J22" s="24">
        <f>I22*F22</f>
        <v>2651.2968824999998</v>
      </c>
    </row>
    <row r="23" spans="1:10" x14ac:dyDescent="0.25">
      <c r="A23" s="1" t="s">
        <v>67</v>
      </c>
      <c r="B23" s="1">
        <v>101616</v>
      </c>
      <c r="C23" s="1" t="s">
        <v>36</v>
      </c>
      <c r="D23" s="22" t="s">
        <v>52</v>
      </c>
      <c r="E23" s="1" t="s">
        <v>29</v>
      </c>
      <c r="F23" s="56">
        <v>15</v>
      </c>
      <c r="G23" s="24">
        <v>6.1</v>
      </c>
      <c r="H23" s="24">
        <f t="shared" ref="H23:H24" si="3">G23*F23</f>
        <v>91.5</v>
      </c>
      <c r="I23" s="24">
        <f t="shared" ref="I23:I24" si="4">G23*$E$4</f>
        <v>7.786649999999999</v>
      </c>
      <c r="J23" s="24">
        <f>I23*F23</f>
        <v>116.79974999999999</v>
      </c>
    </row>
    <row r="24" spans="1:10" x14ac:dyDescent="0.25">
      <c r="A24" s="1" t="s">
        <v>68</v>
      </c>
      <c r="B24" s="21">
        <v>42581</v>
      </c>
      <c r="C24" s="21" t="s">
        <v>28</v>
      </c>
      <c r="D24" s="22" t="s">
        <v>33</v>
      </c>
      <c r="E24" s="21" t="s">
        <v>32</v>
      </c>
      <c r="F24" s="25">
        <v>10</v>
      </c>
      <c r="G24" s="26">
        <v>49.6</v>
      </c>
      <c r="H24" s="24">
        <f t="shared" si="3"/>
        <v>496</v>
      </c>
      <c r="I24" s="24">
        <f t="shared" si="4"/>
        <v>63.314399999999999</v>
      </c>
      <c r="J24" s="24">
        <f>I24*F24</f>
        <v>633.14400000000001</v>
      </c>
    </row>
    <row r="25" spans="1:10" x14ac:dyDescent="0.25">
      <c r="A25" s="288" t="s">
        <v>34</v>
      </c>
      <c r="B25" s="288"/>
      <c r="C25" s="288"/>
      <c r="D25" s="288"/>
      <c r="E25" s="288"/>
      <c r="F25" s="288"/>
      <c r="G25" s="288"/>
      <c r="H25" s="198">
        <f>SUM(H22:H24)</f>
        <v>2664.5050000000001</v>
      </c>
      <c r="I25" s="27"/>
      <c r="J25" s="27">
        <f>SUM(J22:J24)</f>
        <v>3401.2406325000002</v>
      </c>
    </row>
    <row r="27" spans="1:10" x14ac:dyDescent="0.25">
      <c r="A27" s="47" t="s">
        <v>35</v>
      </c>
      <c r="B27" s="314"/>
      <c r="C27" s="314"/>
      <c r="D27" s="292" t="s">
        <v>37</v>
      </c>
      <c r="E27" s="292"/>
      <c r="F27" s="292"/>
      <c r="G27" s="292"/>
      <c r="H27" s="292"/>
      <c r="I27" s="292"/>
      <c r="J27" s="292"/>
    </row>
    <row r="28" spans="1:10" x14ac:dyDescent="0.25">
      <c r="A28" s="14" t="s">
        <v>3</v>
      </c>
      <c r="B28" s="1">
        <v>40065</v>
      </c>
      <c r="C28" s="1" t="s">
        <v>28</v>
      </c>
      <c r="D28" s="22" t="s">
        <v>99</v>
      </c>
      <c r="E28" s="1" t="s">
        <v>55</v>
      </c>
      <c r="F28" s="56">
        <v>65</v>
      </c>
      <c r="G28" s="49">
        <v>54.51</v>
      </c>
      <c r="H28" s="49">
        <f>G28*F28</f>
        <v>3543.15</v>
      </c>
      <c r="I28" s="24">
        <f>G28*$E$4</f>
        <v>69.582014999999998</v>
      </c>
      <c r="J28" s="24">
        <f>I28*F28</f>
        <v>4522.8309749999999</v>
      </c>
    </row>
    <row r="29" spans="1:10" x14ac:dyDescent="0.25">
      <c r="A29" s="1" t="s">
        <v>69</v>
      </c>
      <c r="B29" s="1">
        <v>96622</v>
      </c>
      <c r="C29" s="1" t="s">
        <v>36</v>
      </c>
      <c r="D29" s="22" t="s">
        <v>96</v>
      </c>
      <c r="E29" s="1" t="s">
        <v>32</v>
      </c>
      <c r="F29" s="55">
        <v>24</v>
      </c>
      <c r="G29" s="49">
        <v>224.16</v>
      </c>
      <c r="H29" s="49">
        <f t="shared" ref="H29:H32" si="5">G29*F29</f>
        <v>5379.84</v>
      </c>
      <c r="I29" s="24">
        <f t="shared" ref="I29:I32" si="6">G29*$E$4</f>
        <v>286.14024000000001</v>
      </c>
      <c r="J29" s="24">
        <f>I29*F29</f>
        <v>6867.3657600000006</v>
      </c>
    </row>
    <row r="30" spans="1:10" x14ac:dyDescent="0.25">
      <c r="A30" s="14" t="s">
        <v>70</v>
      </c>
      <c r="B30" s="1">
        <v>96536</v>
      </c>
      <c r="C30" s="1" t="s">
        <v>36</v>
      </c>
      <c r="D30" s="22" t="s">
        <v>97</v>
      </c>
      <c r="E30" s="1" t="s">
        <v>29</v>
      </c>
      <c r="F30" s="56">
        <v>70</v>
      </c>
      <c r="G30" s="49">
        <v>66.180000000000007</v>
      </c>
      <c r="H30" s="49">
        <f t="shared" si="5"/>
        <v>4632.6000000000004</v>
      </c>
      <c r="I30" s="24">
        <f t="shared" si="6"/>
        <v>84.478770000000011</v>
      </c>
      <c r="J30" s="24">
        <f>I30*F30</f>
        <v>5913.5139000000008</v>
      </c>
    </row>
    <row r="31" spans="1:10" s="221" customFormat="1" ht="25.5" customHeight="1" x14ac:dyDescent="0.25">
      <c r="A31" s="1" t="s">
        <v>71</v>
      </c>
      <c r="B31" s="1" t="s">
        <v>219</v>
      </c>
      <c r="C31" s="1" t="s">
        <v>36</v>
      </c>
      <c r="D31" s="22" t="s">
        <v>95</v>
      </c>
      <c r="E31" s="1" t="s">
        <v>32</v>
      </c>
      <c r="F31" s="48">
        <v>18</v>
      </c>
      <c r="G31" s="49">
        <f>COMPOSIÇÃO!H18</f>
        <v>403.32040000000001</v>
      </c>
      <c r="H31" s="49">
        <f t="shared" si="5"/>
        <v>7259.7672000000002</v>
      </c>
      <c r="I31" s="24">
        <f t="shared" si="6"/>
        <v>514.8384906</v>
      </c>
      <c r="J31" s="24">
        <f>I31*F31</f>
        <v>9267.0928308000002</v>
      </c>
    </row>
    <row r="32" spans="1:10" x14ac:dyDescent="0.25">
      <c r="A32" s="14" t="s">
        <v>72</v>
      </c>
      <c r="B32" s="1">
        <v>94965</v>
      </c>
      <c r="C32" s="1" t="s">
        <v>36</v>
      </c>
      <c r="D32" s="22" t="s">
        <v>236</v>
      </c>
      <c r="E32" s="1" t="s">
        <v>32</v>
      </c>
      <c r="F32" s="56">
        <v>18</v>
      </c>
      <c r="G32" s="49">
        <v>532.20000000000005</v>
      </c>
      <c r="H32" s="49">
        <f t="shared" si="5"/>
        <v>9579.6</v>
      </c>
      <c r="I32" s="24">
        <f t="shared" si="6"/>
        <v>679.35329999999999</v>
      </c>
      <c r="J32" s="24">
        <f>I32*F32</f>
        <v>12228.359399999999</v>
      </c>
    </row>
    <row r="33" spans="1:10" x14ac:dyDescent="0.25">
      <c r="A33" s="288" t="s">
        <v>41</v>
      </c>
      <c r="B33" s="288"/>
      <c r="C33" s="288"/>
      <c r="D33" s="288"/>
      <c r="E33" s="288"/>
      <c r="F33" s="288"/>
      <c r="G33" s="288"/>
      <c r="H33" s="199">
        <f>SUM(H28:H32)</f>
        <v>30394.957199999997</v>
      </c>
      <c r="I33" s="27"/>
      <c r="J33" s="27">
        <f>SUM(J28:J32)</f>
        <v>38799.162865800005</v>
      </c>
    </row>
    <row r="35" spans="1:10" x14ac:dyDescent="0.25">
      <c r="A35" s="20" t="s">
        <v>38</v>
      </c>
      <c r="B35" s="314"/>
      <c r="C35" s="314"/>
      <c r="D35" s="292" t="s">
        <v>54</v>
      </c>
      <c r="E35" s="292"/>
      <c r="F35" s="292"/>
      <c r="G35" s="292"/>
      <c r="H35" s="292"/>
      <c r="I35" s="292"/>
      <c r="J35" s="292"/>
    </row>
    <row r="36" spans="1:10" x14ac:dyDescent="0.25">
      <c r="A36" s="1" t="s">
        <v>12</v>
      </c>
      <c r="B36" s="1">
        <v>42657</v>
      </c>
      <c r="C36" s="1" t="s">
        <v>28</v>
      </c>
      <c r="D36" s="183" t="s">
        <v>220</v>
      </c>
      <c r="E36" s="1" t="s">
        <v>29</v>
      </c>
      <c r="F36" s="48">
        <v>460</v>
      </c>
      <c r="G36" s="24">
        <v>264.64999999999998</v>
      </c>
      <c r="H36" s="24">
        <f>G36*F36</f>
        <v>121738.99999999999</v>
      </c>
      <c r="I36" s="24">
        <f>G36*$E$4</f>
        <v>337.82572499999998</v>
      </c>
      <c r="J36" s="24">
        <f>I36*F36</f>
        <v>155399.83349999998</v>
      </c>
    </row>
    <row r="37" spans="1:10" x14ac:dyDescent="0.25">
      <c r="A37" s="1" t="s">
        <v>13</v>
      </c>
      <c r="B37" s="1">
        <v>94216</v>
      </c>
      <c r="C37" s="1" t="s">
        <v>36</v>
      </c>
      <c r="D37" s="22" t="s">
        <v>294</v>
      </c>
      <c r="E37" s="1" t="s">
        <v>29</v>
      </c>
      <c r="F37" s="48">
        <v>460</v>
      </c>
      <c r="G37" s="24">
        <v>200.66</v>
      </c>
      <c r="H37" s="24">
        <f t="shared" ref="H37:H39" si="7">G37*F37</f>
        <v>92303.599999999991</v>
      </c>
      <c r="I37" s="24">
        <f t="shared" ref="I37:I40" si="8">G37*$E$4</f>
        <v>256.14249000000001</v>
      </c>
      <c r="J37" s="24">
        <f>I37*F37</f>
        <v>117825.5454</v>
      </c>
    </row>
    <row r="38" spans="1:10" ht="28.5" x14ac:dyDescent="0.25">
      <c r="A38" s="1" t="s">
        <v>274</v>
      </c>
      <c r="B38" s="1">
        <v>94213</v>
      </c>
      <c r="C38" s="1" t="s">
        <v>36</v>
      </c>
      <c r="D38" s="22" t="s">
        <v>56</v>
      </c>
      <c r="E38" s="1" t="s">
        <v>29</v>
      </c>
      <c r="F38" s="48">
        <v>342</v>
      </c>
      <c r="G38" s="24">
        <v>70.17</v>
      </c>
      <c r="H38" s="24">
        <f t="shared" si="7"/>
        <v>23998.14</v>
      </c>
      <c r="I38" s="24">
        <f t="shared" si="8"/>
        <v>89.572005000000004</v>
      </c>
      <c r="J38" s="24">
        <f>I38*F38</f>
        <v>30633.62571</v>
      </c>
    </row>
    <row r="39" spans="1:10" x14ac:dyDescent="0.25">
      <c r="A39" s="1" t="s">
        <v>73</v>
      </c>
      <c r="B39" s="1">
        <v>94228</v>
      </c>
      <c r="C39" s="1" t="s">
        <v>36</v>
      </c>
      <c r="D39" s="22" t="s">
        <v>190</v>
      </c>
      <c r="E39" s="1" t="s">
        <v>55</v>
      </c>
      <c r="F39" s="48">
        <v>50</v>
      </c>
      <c r="G39" s="24">
        <v>84.06</v>
      </c>
      <c r="H39" s="24">
        <f t="shared" si="7"/>
        <v>4203</v>
      </c>
      <c r="I39" s="24">
        <f t="shared" si="8"/>
        <v>107.30259</v>
      </c>
      <c r="J39" s="24">
        <f>I39*F39</f>
        <v>5365.1295</v>
      </c>
    </row>
    <row r="40" spans="1:10" x14ac:dyDescent="0.25">
      <c r="A40" s="1" t="s">
        <v>275</v>
      </c>
      <c r="B40" s="1">
        <v>94231</v>
      </c>
      <c r="C40" s="1" t="s">
        <v>36</v>
      </c>
      <c r="D40" s="22" t="s">
        <v>57</v>
      </c>
      <c r="E40" s="1" t="s">
        <v>55</v>
      </c>
      <c r="F40" s="48">
        <v>75</v>
      </c>
      <c r="G40" s="24">
        <v>50.37</v>
      </c>
      <c r="H40" s="24">
        <f>G40*F40</f>
        <v>3777.75</v>
      </c>
      <c r="I40" s="24">
        <f t="shared" si="8"/>
        <v>64.297304999999994</v>
      </c>
      <c r="J40" s="24">
        <f>I40*F40</f>
        <v>4822.2978749999993</v>
      </c>
    </row>
    <row r="41" spans="1:10" x14ac:dyDescent="0.25">
      <c r="A41" s="289" t="s">
        <v>74</v>
      </c>
      <c r="B41" s="290"/>
      <c r="C41" s="290"/>
      <c r="D41" s="290"/>
      <c r="E41" s="290"/>
      <c r="F41" s="290"/>
      <c r="G41" s="291"/>
      <c r="H41" s="200">
        <f>SUM(H36:H40)</f>
        <v>246021.49</v>
      </c>
      <c r="I41" s="27"/>
      <c r="J41" s="27">
        <f>SUM(J36:J40)</f>
        <v>314046.43198499997</v>
      </c>
    </row>
    <row r="42" spans="1:10" x14ac:dyDescent="0.25">
      <c r="A42" s="190"/>
      <c r="B42" s="190"/>
      <c r="C42" s="190"/>
      <c r="D42" s="190"/>
      <c r="E42" s="190"/>
      <c r="F42" s="190"/>
      <c r="G42" s="190"/>
      <c r="H42" s="190"/>
      <c r="I42" s="191"/>
      <c r="J42" s="191"/>
    </row>
    <row r="43" spans="1:10" x14ac:dyDescent="0.25">
      <c r="A43" s="20" t="s">
        <v>40</v>
      </c>
      <c r="B43" s="314"/>
      <c r="C43" s="314"/>
      <c r="D43" s="292" t="s">
        <v>48</v>
      </c>
      <c r="E43" s="292"/>
      <c r="F43" s="292"/>
      <c r="G43" s="292"/>
      <c r="H43" s="292"/>
      <c r="I43" s="292"/>
      <c r="J43" s="292"/>
    </row>
    <row r="44" spans="1:10" x14ac:dyDescent="0.25">
      <c r="A44" s="1" t="s">
        <v>264</v>
      </c>
      <c r="B44" s="1">
        <v>42783</v>
      </c>
      <c r="C44" s="1" t="s">
        <v>28</v>
      </c>
      <c r="D44" s="22" t="s">
        <v>306</v>
      </c>
      <c r="E44" s="1" t="s">
        <v>29</v>
      </c>
      <c r="F44" s="54">
        <v>125</v>
      </c>
      <c r="G44" s="37">
        <v>45.55</v>
      </c>
      <c r="H44" s="49">
        <f t="shared" ref="H44:H46" si="9">G44*F44</f>
        <v>5693.75</v>
      </c>
      <c r="I44" s="49">
        <f t="shared" ref="I44:I46" si="10">G44*$E$4</f>
        <v>58.144574999999996</v>
      </c>
      <c r="J44" s="49">
        <f>I44*F44</f>
        <v>7268.0718749999996</v>
      </c>
    </row>
    <row r="45" spans="1:10" ht="28.5" x14ac:dyDescent="0.25">
      <c r="A45" s="1" t="s">
        <v>265</v>
      </c>
      <c r="B45" s="1">
        <v>100742</v>
      </c>
      <c r="C45" s="1" t="s">
        <v>36</v>
      </c>
      <c r="D45" s="22" t="s">
        <v>58</v>
      </c>
      <c r="E45" s="1" t="s">
        <v>29</v>
      </c>
      <c r="F45" s="54">
        <v>620</v>
      </c>
      <c r="G45" s="37">
        <v>24.87</v>
      </c>
      <c r="H45" s="49">
        <f t="shared" si="9"/>
        <v>15419.400000000001</v>
      </c>
      <c r="I45" s="49">
        <f t="shared" si="10"/>
        <v>31.746555000000001</v>
      </c>
      <c r="J45" s="49">
        <f>I45*F45</f>
        <v>19682.864099999999</v>
      </c>
    </row>
    <row r="46" spans="1:10" x14ac:dyDescent="0.25">
      <c r="A46" s="1" t="s">
        <v>191</v>
      </c>
      <c r="B46" s="1">
        <v>102492</v>
      </c>
      <c r="C46" s="1" t="s">
        <v>36</v>
      </c>
      <c r="D46" s="22" t="s">
        <v>98</v>
      </c>
      <c r="E46" s="1" t="s">
        <v>29</v>
      </c>
      <c r="F46" s="54">
        <v>250</v>
      </c>
      <c r="G46" s="37">
        <v>24.95</v>
      </c>
      <c r="H46" s="49">
        <f t="shared" si="9"/>
        <v>6237.5</v>
      </c>
      <c r="I46" s="49">
        <f t="shared" si="10"/>
        <v>31.848675</v>
      </c>
      <c r="J46" s="49">
        <f>I46*F46</f>
        <v>7962.1687499999998</v>
      </c>
    </row>
    <row r="47" spans="1:10" ht="28.5" x14ac:dyDescent="0.25">
      <c r="A47" s="1" t="s">
        <v>280</v>
      </c>
      <c r="B47" s="1">
        <v>88489</v>
      </c>
      <c r="C47" s="1" t="s">
        <v>36</v>
      </c>
      <c r="D47" s="22" t="s">
        <v>281</v>
      </c>
      <c r="E47" s="1" t="s">
        <v>29</v>
      </c>
      <c r="F47" s="54">
        <f>215+75.43</f>
        <v>290.43</v>
      </c>
      <c r="G47" s="37">
        <v>12.24</v>
      </c>
      <c r="H47" s="49">
        <f t="shared" ref="H47:H48" si="11">G47*F47</f>
        <v>3554.8632000000002</v>
      </c>
      <c r="I47" s="49">
        <f t="shared" ref="I47:I48" si="12">G47*$E$4</f>
        <v>15.624359999999999</v>
      </c>
      <c r="J47" s="49">
        <f>I47*F47</f>
        <v>4537.7828748000002</v>
      </c>
    </row>
    <row r="48" spans="1:10" x14ac:dyDescent="0.25">
      <c r="A48" s="1" t="s">
        <v>282</v>
      </c>
      <c r="B48" s="1">
        <v>88485</v>
      </c>
      <c r="C48" s="1" t="s">
        <v>36</v>
      </c>
      <c r="D48" s="22" t="s">
        <v>283</v>
      </c>
      <c r="E48" s="1" t="s">
        <v>29</v>
      </c>
      <c r="F48" s="54">
        <f>215+75.43</f>
        <v>290.43</v>
      </c>
      <c r="G48" s="37">
        <v>3.54</v>
      </c>
      <c r="H48" s="49">
        <f t="shared" si="11"/>
        <v>1028.1222</v>
      </c>
      <c r="I48" s="49">
        <f t="shared" si="12"/>
        <v>4.5188100000000002</v>
      </c>
      <c r="J48" s="49">
        <f>I48*F48</f>
        <v>1312.3979883000002</v>
      </c>
    </row>
    <row r="49" spans="1:11" x14ac:dyDescent="0.25">
      <c r="A49" s="288" t="s">
        <v>76</v>
      </c>
      <c r="B49" s="288"/>
      <c r="C49" s="288"/>
      <c r="D49" s="288"/>
      <c r="E49" s="288"/>
      <c r="F49" s="288"/>
      <c r="G49" s="288"/>
      <c r="H49" s="199">
        <f>SUM(H44:H46)</f>
        <v>27350.65</v>
      </c>
      <c r="I49" s="50"/>
      <c r="J49" s="50">
        <f>SUM(J44:J48)</f>
        <v>40763.2855881</v>
      </c>
    </row>
    <row r="50" spans="1:11" x14ac:dyDescent="0.25">
      <c r="A50" s="31"/>
      <c r="B50" s="32"/>
      <c r="C50" s="32"/>
      <c r="D50" s="33"/>
      <c r="E50" s="32"/>
      <c r="F50" s="34"/>
      <c r="G50" s="35"/>
      <c r="H50" s="35"/>
      <c r="I50" s="36"/>
      <c r="J50" s="36"/>
    </row>
    <row r="51" spans="1:11" x14ac:dyDescent="0.25">
      <c r="A51" s="30" t="s">
        <v>77</v>
      </c>
      <c r="B51" s="273"/>
      <c r="C51" s="274"/>
      <c r="D51" s="275" t="s">
        <v>75</v>
      </c>
      <c r="E51" s="276"/>
      <c r="F51" s="276"/>
      <c r="G51" s="276"/>
      <c r="H51" s="276"/>
      <c r="I51" s="276"/>
      <c r="J51" s="277"/>
    </row>
    <row r="52" spans="1:11" s="206" customFormat="1" ht="42" customHeight="1" x14ac:dyDescent="0.25">
      <c r="A52" s="14" t="s">
        <v>78</v>
      </c>
      <c r="B52" s="14">
        <v>43940</v>
      </c>
      <c r="C52" s="14" t="s">
        <v>28</v>
      </c>
      <c r="D52" s="22" t="s">
        <v>296</v>
      </c>
      <c r="E52" s="1" t="s">
        <v>32</v>
      </c>
      <c r="F52" s="54">
        <v>25.9</v>
      </c>
      <c r="G52" s="37">
        <v>690.08</v>
      </c>
      <c r="H52" s="37">
        <f>G52*F52</f>
        <v>17873.072</v>
      </c>
      <c r="I52" s="24">
        <f t="shared" ref="I52" si="13">G52*$E$4</f>
        <v>880.88711999999998</v>
      </c>
      <c r="J52" s="37">
        <f>I52*F52</f>
        <v>22814.976407999999</v>
      </c>
      <c r="K52" s="220"/>
    </row>
    <row r="53" spans="1:11" s="206" customFormat="1" ht="42" customHeight="1" x14ac:dyDescent="0.25">
      <c r="A53" s="14" t="s">
        <v>79</v>
      </c>
      <c r="B53" s="14">
        <v>97097</v>
      </c>
      <c r="C53" s="14" t="s">
        <v>36</v>
      </c>
      <c r="D53" s="22" t="s">
        <v>295</v>
      </c>
      <c r="E53" s="1" t="s">
        <v>29</v>
      </c>
      <c r="F53" s="54">
        <v>370</v>
      </c>
      <c r="G53" s="37">
        <v>38.46</v>
      </c>
      <c r="H53" s="37">
        <f>G53*F53</f>
        <v>14230.2</v>
      </c>
      <c r="I53" s="24">
        <f t="shared" ref="I53" si="14">G53*$E$4</f>
        <v>49.094189999999998</v>
      </c>
      <c r="J53" s="37">
        <f>I53*F53</f>
        <v>18164.850299999998</v>
      </c>
      <c r="K53" s="220"/>
    </row>
    <row r="54" spans="1:11" ht="28.5" x14ac:dyDescent="0.25">
      <c r="A54" s="14" t="s">
        <v>80</v>
      </c>
      <c r="B54" s="14">
        <v>94992</v>
      </c>
      <c r="C54" s="14" t="s">
        <v>36</v>
      </c>
      <c r="D54" s="22" t="s">
        <v>245</v>
      </c>
      <c r="E54" s="1" t="s">
        <v>29</v>
      </c>
      <c r="F54" s="54">
        <f>60+37.17</f>
        <v>97.17</v>
      </c>
      <c r="G54" s="37">
        <v>78.239999999999995</v>
      </c>
      <c r="H54" s="37">
        <f>G54*F54</f>
        <v>7602.5807999999997</v>
      </c>
      <c r="I54" s="24">
        <f t="shared" ref="I54" si="15">G54*$E$4</f>
        <v>99.873359999999991</v>
      </c>
      <c r="J54" s="37">
        <f>I54*F54</f>
        <v>9704.6943911999988</v>
      </c>
    </row>
    <row r="55" spans="1:11" x14ac:dyDescent="0.25">
      <c r="A55" s="288" t="s">
        <v>81</v>
      </c>
      <c r="B55" s="288"/>
      <c r="C55" s="288"/>
      <c r="D55" s="288"/>
      <c r="E55" s="288"/>
      <c r="F55" s="288"/>
      <c r="G55" s="288"/>
      <c r="H55" s="199">
        <f>SUM(H52:H52)</f>
        <v>17873.072</v>
      </c>
      <c r="I55" s="27"/>
      <c r="J55" s="27">
        <f>SUM(J52:J54)</f>
        <v>50684.521099199992</v>
      </c>
    </row>
    <row r="56" spans="1:11" x14ac:dyDescent="0.25">
      <c r="A56" s="28"/>
      <c r="B56" s="28"/>
      <c r="C56" s="28"/>
      <c r="D56" s="28"/>
      <c r="E56" s="28"/>
      <c r="F56" s="28"/>
      <c r="G56" s="28"/>
      <c r="H56" s="28"/>
      <c r="I56" s="29"/>
      <c r="J56" s="29"/>
    </row>
    <row r="57" spans="1:11" x14ac:dyDescent="0.25">
      <c r="A57" s="30" t="s">
        <v>42</v>
      </c>
      <c r="B57" s="273"/>
      <c r="C57" s="274"/>
      <c r="D57" s="292" t="s">
        <v>60</v>
      </c>
      <c r="E57" s="292"/>
      <c r="F57" s="292"/>
      <c r="G57" s="292"/>
      <c r="H57" s="292"/>
      <c r="I57" s="292"/>
      <c r="J57" s="292"/>
    </row>
    <row r="58" spans="1:11" x14ac:dyDescent="0.25">
      <c r="A58" s="14" t="s">
        <v>14</v>
      </c>
      <c r="B58" s="1">
        <v>89578</v>
      </c>
      <c r="C58" s="1" t="s">
        <v>36</v>
      </c>
      <c r="D58" s="22" t="s">
        <v>200</v>
      </c>
      <c r="E58" s="1" t="s">
        <v>55</v>
      </c>
      <c r="F58" s="57">
        <v>94</v>
      </c>
      <c r="G58" s="37">
        <v>29.78</v>
      </c>
      <c r="H58" s="37">
        <f>G58*F58</f>
        <v>2799.32</v>
      </c>
      <c r="I58" s="24">
        <f t="shared" ref="I58:I63" si="16">G58*$E$4</f>
        <v>38.01417</v>
      </c>
      <c r="J58" s="37">
        <f t="shared" ref="J58:J63" si="17">I58*F58</f>
        <v>3573.3319799999999</v>
      </c>
    </row>
    <row r="59" spans="1:11" x14ac:dyDescent="0.25">
      <c r="A59" s="14" t="s">
        <v>82</v>
      </c>
      <c r="B59" s="1">
        <v>89744</v>
      </c>
      <c r="C59" s="1" t="s">
        <v>36</v>
      </c>
      <c r="D59" s="22" t="s">
        <v>201</v>
      </c>
      <c r="E59" s="1" t="s">
        <v>94</v>
      </c>
      <c r="F59" s="57">
        <v>12</v>
      </c>
      <c r="G59" s="37">
        <v>25.83</v>
      </c>
      <c r="H59" s="37">
        <f t="shared" ref="H59:H63" si="18">G59*F59</f>
        <v>309.95999999999998</v>
      </c>
      <c r="I59" s="24">
        <f t="shared" si="16"/>
        <v>32.971995</v>
      </c>
      <c r="J59" s="37">
        <f t="shared" si="17"/>
        <v>395.66394000000003</v>
      </c>
    </row>
    <row r="60" spans="1:11" x14ac:dyDescent="0.25">
      <c r="A60" s="14" t="s">
        <v>204</v>
      </c>
      <c r="B60" s="1">
        <v>89580</v>
      </c>
      <c r="C60" s="1" t="s">
        <v>36</v>
      </c>
      <c r="D60" s="22" t="s">
        <v>59</v>
      </c>
      <c r="E60" s="1" t="s">
        <v>55</v>
      </c>
      <c r="F60" s="54">
        <v>9</v>
      </c>
      <c r="G60" s="37">
        <v>61.45</v>
      </c>
      <c r="H60" s="37">
        <f t="shared" si="18"/>
        <v>553.05000000000007</v>
      </c>
      <c r="I60" s="24">
        <f t="shared" si="16"/>
        <v>78.440925000000007</v>
      </c>
      <c r="J60" s="37">
        <f t="shared" si="17"/>
        <v>705.96832500000005</v>
      </c>
    </row>
    <row r="61" spans="1:11" x14ac:dyDescent="0.25">
      <c r="A61" s="14" t="s">
        <v>272</v>
      </c>
      <c r="B61" s="1">
        <v>43030</v>
      </c>
      <c r="C61" s="1" t="s">
        <v>28</v>
      </c>
      <c r="D61" s="22" t="s">
        <v>221</v>
      </c>
      <c r="E61" s="1" t="s">
        <v>94</v>
      </c>
      <c r="F61" s="57">
        <v>7</v>
      </c>
      <c r="G61" s="37">
        <v>375.15</v>
      </c>
      <c r="H61" s="37">
        <f t="shared" si="18"/>
        <v>2626.0499999999997</v>
      </c>
      <c r="I61" s="24">
        <f t="shared" si="16"/>
        <v>478.87897499999997</v>
      </c>
      <c r="J61" s="37">
        <f t="shared" si="17"/>
        <v>3352.1528249999997</v>
      </c>
    </row>
    <row r="62" spans="1:11" x14ac:dyDescent="0.25">
      <c r="A62" s="14" t="s">
        <v>273</v>
      </c>
      <c r="B62" s="1">
        <v>89531</v>
      </c>
      <c r="C62" s="1" t="s">
        <v>36</v>
      </c>
      <c r="D62" s="22" t="s">
        <v>243</v>
      </c>
      <c r="E62" s="1" t="s">
        <v>94</v>
      </c>
      <c r="F62" s="57">
        <v>6</v>
      </c>
      <c r="G62" s="37">
        <v>34.54</v>
      </c>
      <c r="H62" s="37">
        <f t="shared" si="18"/>
        <v>207.24</v>
      </c>
      <c r="I62" s="24">
        <f t="shared" si="16"/>
        <v>44.090309999999995</v>
      </c>
      <c r="J62" s="37">
        <f t="shared" si="17"/>
        <v>264.54185999999999</v>
      </c>
    </row>
    <row r="63" spans="1:11" x14ac:dyDescent="0.25">
      <c r="A63" s="14" t="s">
        <v>291</v>
      </c>
      <c r="B63" s="1">
        <v>43834</v>
      </c>
      <c r="C63" s="1" t="s">
        <v>28</v>
      </c>
      <c r="D63" s="22" t="s">
        <v>292</v>
      </c>
      <c r="E63" s="1" t="s">
        <v>55</v>
      </c>
      <c r="F63" s="57">
        <v>60</v>
      </c>
      <c r="G63" s="37">
        <v>145.18</v>
      </c>
      <c r="H63" s="37">
        <f t="shared" si="18"/>
        <v>8710.8000000000011</v>
      </c>
      <c r="I63" s="24">
        <f t="shared" si="16"/>
        <v>185.32227</v>
      </c>
      <c r="J63" s="37">
        <f t="shared" si="17"/>
        <v>11119.3362</v>
      </c>
    </row>
    <row r="64" spans="1:11" x14ac:dyDescent="0.25">
      <c r="A64" s="288" t="s">
        <v>83</v>
      </c>
      <c r="B64" s="288"/>
      <c r="C64" s="288"/>
      <c r="D64" s="288"/>
      <c r="E64" s="288"/>
      <c r="F64" s="288"/>
      <c r="G64" s="288"/>
      <c r="H64" s="199">
        <f>SUM(H58:H63)</f>
        <v>15206.420000000002</v>
      </c>
      <c r="I64" s="27"/>
      <c r="J64" s="27">
        <f>SUM(J58:J63)</f>
        <v>19410.995129999999</v>
      </c>
    </row>
    <row r="66" spans="1:10" x14ac:dyDescent="0.25">
      <c r="A66" s="186" t="s">
        <v>43</v>
      </c>
      <c r="B66" s="314"/>
      <c r="C66" s="314"/>
      <c r="D66" s="292" t="s">
        <v>46</v>
      </c>
      <c r="E66" s="292"/>
      <c r="F66" s="292"/>
      <c r="G66" s="292"/>
      <c r="H66" s="292"/>
      <c r="I66" s="292"/>
      <c r="J66" s="292"/>
    </row>
    <row r="67" spans="1:10" x14ac:dyDescent="0.25">
      <c r="A67" s="14" t="s">
        <v>205</v>
      </c>
      <c r="B67" s="1">
        <v>43526</v>
      </c>
      <c r="C67" s="1" t="s">
        <v>28</v>
      </c>
      <c r="D67" s="22" t="s">
        <v>202</v>
      </c>
      <c r="E67" s="1" t="s">
        <v>94</v>
      </c>
      <c r="F67" s="57">
        <v>1</v>
      </c>
      <c r="G67" s="43">
        <v>469.5</v>
      </c>
      <c r="H67" s="43">
        <f>G67*F67</f>
        <v>469.5</v>
      </c>
      <c r="I67" s="43">
        <f>G67*$E$4</f>
        <v>599.31674999999996</v>
      </c>
      <c r="J67" s="44">
        <f t="shared" ref="J67:J76" si="19">I67*F67</f>
        <v>599.31674999999996</v>
      </c>
    </row>
    <row r="68" spans="1:10" x14ac:dyDescent="0.25">
      <c r="A68" s="14" t="s">
        <v>207</v>
      </c>
      <c r="B68" s="1">
        <v>101875</v>
      </c>
      <c r="C68" s="1" t="s">
        <v>36</v>
      </c>
      <c r="D68" s="22" t="s">
        <v>86</v>
      </c>
      <c r="E68" s="1" t="s">
        <v>94</v>
      </c>
      <c r="F68" s="57">
        <v>1</v>
      </c>
      <c r="G68" s="43">
        <v>376.47</v>
      </c>
      <c r="H68" s="43">
        <f t="shared" ref="H68:H76" si="20">G68*F68</f>
        <v>376.47</v>
      </c>
      <c r="I68" s="43">
        <f t="shared" ref="I68:I76" si="21">G68*$E$4</f>
        <v>480.56395500000002</v>
      </c>
      <c r="J68" s="44">
        <f t="shared" si="19"/>
        <v>480.56395500000002</v>
      </c>
    </row>
    <row r="69" spans="1:10" x14ac:dyDescent="0.25">
      <c r="A69" s="14" t="s">
        <v>206</v>
      </c>
      <c r="B69" s="1">
        <v>101892</v>
      </c>
      <c r="C69" s="1" t="s">
        <v>36</v>
      </c>
      <c r="D69" s="22" t="s">
        <v>224</v>
      </c>
      <c r="E69" s="1" t="s">
        <v>94</v>
      </c>
      <c r="F69" s="57">
        <v>5</v>
      </c>
      <c r="G69" s="43">
        <v>67.45</v>
      </c>
      <c r="H69" s="43">
        <f t="shared" si="20"/>
        <v>337.25</v>
      </c>
      <c r="I69" s="43">
        <f t="shared" si="21"/>
        <v>86.099924999999999</v>
      </c>
      <c r="J69" s="44">
        <f t="shared" si="19"/>
        <v>430.49962499999998</v>
      </c>
    </row>
    <row r="70" spans="1:10" x14ac:dyDescent="0.25">
      <c r="A70" s="14" t="s">
        <v>208</v>
      </c>
      <c r="B70" s="1">
        <v>101894</v>
      </c>
      <c r="C70" s="1" t="s">
        <v>36</v>
      </c>
      <c r="D70" s="22" t="s">
        <v>225</v>
      </c>
      <c r="E70" s="1" t="s">
        <v>94</v>
      </c>
      <c r="F70" s="57">
        <v>5</v>
      </c>
      <c r="G70" s="43">
        <v>152.33000000000001</v>
      </c>
      <c r="H70" s="43">
        <f t="shared" si="20"/>
        <v>761.65000000000009</v>
      </c>
      <c r="I70" s="43">
        <f t="shared" si="21"/>
        <v>194.44924500000002</v>
      </c>
      <c r="J70" s="44">
        <f t="shared" si="19"/>
        <v>972.24622500000009</v>
      </c>
    </row>
    <row r="71" spans="1:10" x14ac:dyDescent="0.25">
      <c r="A71" s="14" t="s">
        <v>270</v>
      </c>
      <c r="B71" s="1">
        <v>40031</v>
      </c>
      <c r="C71" s="1" t="s">
        <v>28</v>
      </c>
      <c r="D71" s="22" t="s">
        <v>61</v>
      </c>
      <c r="E71" s="1" t="s">
        <v>94</v>
      </c>
      <c r="F71" s="57">
        <v>1</v>
      </c>
      <c r="G71" s="43">
        <v>261.93</v>
      </c>
      <c r="H71" s="43">
        <f t="shared" si="20"/>
        <v>261.93</v>
      </c>
      <c r="I71" s="43">
        <f t="shared" si="21"/>
        <v>334.35364500000003</v>
      </c>
      <c r="J71" s="44">
        <f t="shared" si="19"/>
        <v>334.35364500000003</v>
      </c>
    </row>
    <row r="72" spans="1:10" x14ac:dyDescent="0.25">
      <c r="A72" s="14" t="s">
        <v>209</v>
      </c>
      <c r="B72" s="1">
        <v>91926</v>
      </c>
      <c r="C72" s="1" t="s">
        <v>36</v>
      </c>
      <c r="D72" s="22" t="s">
        <v>84</v>
      </c>
      <c r="E72" s="1" t="s">
        <v>55</v>
      </c>
      <c r="F72" s="57">
        <v>270</v>
      </c>
      <c r="G72" s="43">
        <v>4.03</v>
      </c>
      <c r="H72" s="43">
        <f t="shared" si="20"/>
        <v>1088.1000000000001</v>
      </c>
      <c r="I72" s="43">
        <f t="shared" si="21"/>
        <v>5.1442950000000005</v>
      </c>
      <c r="J72" s="44">
        <f t="shared" si="19"/>
        <v>1388.9596500000002</v>
      </c>
    </row>
    <row r="73" spans="1:10" x14ac:dyDescent="0.25">
      <c r="A73" s="14" t="s">
        <v>271</v>
      </c>
      <c r="B73" s="1">
        <v>91928</v>
      </c>
      <c r="C73" s="1" t="s">
        <v>36</v>
      </c>
      <c r="D73" s="22" t="s">
        <v>85</v>
      </c>
      <c r="E73" s="1" t="s">
        <v>55</v>
      </c>
      <c r="F73" s="54">
        <v>230</v>
      </c>
      <c r="G73" s="43">
        <v>6.19</v>
      </c>
      <c r="H73" s="43">
        <f t="shared" si="20"/>
        <v>1423.7</v>
      </c>
      <c r="I73" s="43">
        <f t="shared" si="21"/>
        <v>7.901535</v>
      </c>
      <c r="J73" s="44">
        <f t="shared" si="19"/>
        <v>1817.3530499999999</v>
      </c>
    </row>
    <row r="74" spans="1:10" x14ac:dyDescent="0.25">
      <c r="A74" s="14" t="s">
        <v>210</v>
      </c>
      <c r="B74" s="1">
        <v>91872</v>
      </c>
      <c r="C74" s="1" t="s">
        <v>36</v>
      </c>
      <c r="D74" s="22" t="s">
        <v>233</v>
      </c>
      <c r="E74" s="1" t="s">
        <v>55</v>
      </c>
      <c r="F74" s="54">
        <v>160</v>
      </c>
      <c r="G74" s="43">
        <v>18.13</v>
      </c>
      <c r="H74" s="43">
        <f t="shared" si="20"/>
        <v>2900.7999999999997</v>
      </c>
      <c r="I74" s="43">
        <f t="shared" si="21"/>
        <v>23.142944999999997</v>
      </c>
      <c r="J74" s="44">
        <f t="shared" si="19"/>
        <v>3702.8711999999996</v>
      </c>
    </row>
    <row r="75" spans="1:10" ht="28.5" x14ac:dyDescent="0.25">
      <c r="A75" s="14" t="s">
        <v>211</v>
      </c>
      <c r="B75" s="1">
        <v>92001</v>
      </c>
      <c r="C75" s="1" t="s">
        <v>36</v>
      </c>
      <c r="D75" s="22" t="s">
        <v>62</v>
      </c>
      <c r="E75" s="1" t="s">
        <v>94</v>
      </c>
      <c r="F75" s="57">
        <v>8</v>
      </c>
      <c r="G75" s="43">
        <v>33.229999999999997</v>
      </c>
      <c r="H75" s="43">
        <f t="shared" si="20"/>
        <v>265.83999999999997</v>
      </c>
      <c r="I75" s="43">
        <f t="shared" si="21"/>
        <v>42.418094999999994</v>
      </c>
      <c r="J75" s="44">
        <f t="shared" si="19"/>
        <v>339.34475999999995</v>
      </c>
    </row>
    <row r="76" spans="1:10" x14ac:dyDescent="0.25">
      <c r="A76" s="14" t="s">
        <v>212</v>
      </c>
      <c r="B76" s="1">
        <v>97600</v>
      </c>
      <c r="C76" s="1" t="s">
        <v>36</v>
      </c>
      <c r="D76" s="22" t="s">
        <v>250</v>
      </c>
      <c r="E76" s="1" t="s">
        <v>94</v>
      </c>
      <c r="F76" s="54">
        <v>16</v>
      </c>
      <c r="G76" s="43">
        <v>365.71</v>
      </c>
      <c r="H76" s="43">
        <f t="shared" si="20"/>
        <v>5851.36</v>
      </c>
      <c r="I76" s="43">
        <f t="shared" si="21"/>
        <v>466.82881499999996</v>
      </c>
      <c r="J76" s="44">
        <f t="shared" si="19"/>
        <v>7469.2610399999994</v>
      </c>
    </row>
    <row r="77" spans="1:10" x14ac:dyDescent="0.25">
      <c r="A77" s="288" t="s">
        <v>92</v>
      </c>
      <c r="B77" s="288"/>
      <c r="C77" s="288"/>
      <c r="D77" s="288"/>
      <c r="E77" s="288"/>
      <c r="F77" s="288"/>
      <c r="G77" s="288"/>
      <c r="H77" s="198">
        <f>SUM(H67:H76)</f>
        <v>13736.599999999999</v>
      </c>
      <c r="I77" s="27"/>
      <c r="J77" s="27">
        <f>SUM(J67:J76)</f>
        <v>17534.769899999999</v>
      </c>
    </row>
    <row r="78" spans="1:10" x14ac:dyDescent="0.25">
      <c r="A78" s="187"/>
      <c r="B78" s="187"/>
      <c r="C78" s="187"/>
      <c r="D78" s="187"/>
      <c r="E78" s="187"/>
      <c r="F78" s="187"/>
      <c r="G78" s="187"/>
      <c r="H78" s="187"/>
      <c r="I78" s="187"/>
      <c r="J78" s="187"/>
    </row>
    <row r="79" spans="1:10" x14ac:dyDescent="0.25">
      <c r="A79" s="30" t="s">
        <v>44</v>
      </c>
      <c r="B79" s="38"/>
      <c r="C79" s="39"/>
      <c r="D79" s="40" t="s">
        <v>87</v>
      </c>
      <c r="E79" s="41"/>
      <c r="F79" s="41"/>
      <c r="G79" s="41"/>
      <c r="H79" s="192"/>
      <c r="I79" s="41"/>
      <c r="J79" s="42"/>
    </row>
    <row r="80" spans="1:10" x14ac:dyDescent="0.25">
      <c r="A80" s="14" t="s">
        <v>45</v>
      </c>
      <c r="B80" s="1">
        <v>96986</v>
      </c>
      <c r="C80" s="1" t="s">
        <v>36</v>
      </c>
      <c r="D80" s="22" t="s">
        <v>222</v>
      </c>
      <c r="E80" s="1" t="s">
        <v>94</v>
      </c>
      <c r="F80" s="57">
        <v>4</v>
      </c>
      <c r="G80" s="43">
        <v>109.71</v>
      </c>
      <c r="H80" s="43">
        <f>G80*F80</f>
        <v>438.84</v>
      </c>
      <c r="I80" s="43">
        <f t="shared" ref="I80:I85" si="22">G80*$E$4</f>
        <v>140.044815</v>
      </c>
      <c r="J80" s="44">
        <f t="shared" ref="J80:J85" si="23">I80*F80</f>
        <v>560.17926</v>
      </c>
    </row>
    <row r="81" spans="1:10" x14ac:dyDescent="0.25">
      <c r="A81" s="14" t="s">
        <v>192</v>
      </c>
      <c r="B81" s="1">
        <v>96973</v>
      </c>
      <c r="C81" s="1" t="s">
        <v>36</v>
      </c>
      <c r="D81" s="22" t="s">
        <v>88</v>
      </c>
      <c r="E81" s="1" t="s">
        <v>55</v>
      </c>
      <c r="F81" s="54">
        <v>40</v>
      </c>
      <c r="G81" s="51">
        <v>65.23</v>
      </c>
      <c r="H81" s="43">
        <f t="shared" ref="H81:H85" si="24">G81*F81</f>
        <v>2609.2000000000003</v>
      </c>
      <c r="I81" s="43">
        <f t="shared" si="22"/>
        <v>83.266095000000007</v>
      </c>
      <c r="J81" s="44">
        <f t="shared" si="23"/>
        <v>3330.6438000000003</v>
      </c>
    </row>
    <row r="82" spans="1:10" x14ac:dyDescent="0.25">
      <c r="A82" s="14" t="s">
        <v>193</v>
      </c>
      <c r="B82" s="1">
        <v>96974</v>
      </c>
      <c r="C82" s="1" t="s">
        <v>36</v>
      </c>
      <c r="D82" s="22" t="s">
        <v>89</v>
      </c>
      <c r="E82" s="1" t="s">
        <v>55</v>
      </c>
      <c r="F82" s="54">
        <v>100</v>
      </c>
      <c r="G82" s="51">
        <v>83.57</v>
      </c>
      <c r="H82" s="43">
        <f t="shared" si="24"/>
        <v>8357</v>
      </c>
      <c r="I82" s="43">
        <f t="shared" si="22"/>
        <v>106.67710499999998</v>
      </c>
      <c r="J82" s="44">
        <f t="shared" si="23"/>
        <v>10667.710499999997</v>
      </c>
    </row>
    <row r="83" spans="1:10" x14ac:dyDescent="0.25">
      <c r="A83" s="14" t="s">
        <v>194</v>
      </c>
      <c r="B83" s="1">
        <v>93008</v>
      </c>
      <c r="C83" s="1" t="s">
        <v>36</v>
      </c>
      <c r="D83" s="22" t="s">
        <v>90</v>
      </c>
      <c r="E83" s="1" t="s">
        <v>55</v>
      </c>
      <c r="F83" s="54">
        <v>8</v>
      </c>
      <c r="G83" s="51">
        <v>17.82</v>
      </c>
      <c r="H83" s="43">
        <f t="shared" si="24"/>
        <v>142.56</v>
      </c>
      <c r="I83" s="43">
        <f t="shared" si="22"/>
        <v>22.747229999999998</v>
      </c>
      <c r="J83" s="44">
        <f t="shared" si="23"/>
        <v>181.97783999999999</v>
      </c>
    </row>
    <row r="84" spans="1:10" x14ac:dyDescent="0.25">
      <c r="A84" s="14" t="s">
        <v>268</v>
      </c>
      <c r="B84" s="1">
        <v>43597</v>
      </c>
      <c r="C84" s="1" t="s">
        <v>28</v>
      </c>
      <c r="D84" s="22" t="s">
        <v>223</v>
      </c>
      <c r="E84" s="1" t="s">
        <v>94</v>
      </c>
      <c r="F84" s="57">
        <v>4</v>
      </c>
      <c r="G84" s="51">
        <v>13.66</v>
      </c>
      <c r="H84" s="43">
        <f t="shared" si="24"/>
        <v>54.64</v>
      </c>
      <c r="I84" s="43">
        <f t="shared" si="22"/>
        <v>17.436989999999998</v>
      </c>
      <c r="J84" s="44">
        <f t="shared" si="23"/>
        <v>69.747959999999992</v>
      </c>
    </row>
    <row r="85" spans="1:10" ht="28.5" x14ac:dyDescent="0.25">
      <c r="A85" s="14" t="s">
        <v>269</v>
      </c>
      <c r="B85" s="1">
        <v>98111</v>
      </c>
      <c r="C85" s="1" t="s">
        <v>36</v>
      </c>
      <c r="D85" s="22" t="s">
        <v>244</v>
      </c>
      <c r="E85" s="1" t="s">
        <v>94</v>
      </c>
      <c r="F85" s="57">
        <v>4</v>
      </c>
      <c r="G85" s="51">
        <v>53.52</v>
      </c>
      <c r="H85" s="43">
        <f t="shared" si="24"/>
        <v>214.08</v>
      </c>
      <c r="I85" s="43">
        <f t="shared" si="22"/>
        <v>68.318280000000001</v>
      </c>
      <c r="J85" s="44">
        <f t="shared" si="23"/>
        <v>273.27312000000001</v>
      </c>
    </row>
    <row r="86" spans="1:10" x14ac:dyDescent="0.25">
      <c r="A86" s="288" t="s">
        <v>213</v>
      </c>
      <c r="B86" s="288"/>
      <c r="C86" s="288"/>
      <c r="D86" s="288"/>
      <c r="E86" s="288"/>
      <c r="F86" s="288"/>
      <c r="G86" s="288"/>
      <c r="H86" s="198">
        <f>SUM(H80:H85)</f>
        <v>11816.32</v>
      </c>
      <c r="I86" s="27"/>
      <c r="J86" s="27">
        <f>SUM(J80:J85)</f>
        <v>15083.532479999998</v>
      </c>
    </row>
    <row r="88" spans="1:10" x14ac:dyDescent="0.25">
      <c r="A88" s="30" t="s">
        <v>195</v>
      </c>
      <c r="B88" s="273"/>
      <c r="C88" s="274"/>
      <c r="D88" s="275" t="s">
        <v>293</v>
      </c>
      <c r="E88" s="276"/>
      <c r="F88" s="276"/>
      <c r="G88" s="276"/>
      <c r="H88" s="276"/>
      <c r="I88" s="276"/>
      <c r="J88" s="277"/>
    </row>
    <row r="89" spans="1:10" x14ac:dyDescent="0.25">
      <c r="A89" s="14" t="s">
        <v>196</v>
      </c>
      <c r="B89" s="1">
        <v>42617</v>
      </c>
      <c r="C89" s="1" t="s">
        <v>28</v>
      </c>
      <c r="D89" s="22" t="s">
        <v>248</v>
      </c>
      <c r="E89" s="1" t="s">
        <v>29</v>
      </c>
      <c r="F89" s="57">
        <v>31</v>
      </c>
      <c r="G89" s="43">
        <v>278.98</v>
      </c>
      <c r="H89" s="43">
        <f>G89*F89</f>
        <v>8648.380000000001</v>
      </c>
      <c r="I89" s="43">
        <f t="shared" ref="I89:I90" si="25">G89*$E$4</f>
        <v>356.11797000000001</v>
      </c>
      <c r="J89" s="44">
        <f>I89*F89</f>
        <v>11039.657070000001</v>
      </c>
    </row>
    <row r="90" spans="1:10" x14ac:dyDescent="0.25">
      <c r="A90" s="14" t="s">
        <v>197</v>
      </c>
      <c r="B90" s="1">
        <v>89453</v>
      </c>
      <c r="C90" s="1" t="s">
        <v>36</v>
      </c>
      <c r="D90" s="22" t="s">
        <v>260</v>
      </c>
      <c r="E90" s="1" t="s">
        <v>29</v>
      </c>
      <c r="F90" s="57">
        <v>43</v>
      </c>
      <c r="G90" s="43">
        <v>91.07</v>
      </c>
      <c r="H90" s="43">
        <f>G90*F90</f>
        <v>3916.0099999999998</v>
      </c>
      <c r="I90" s="43">
        <f t="shared" si="25"/>
        <v>116.25085499999999</v>
      </c>
      <c r="J90" s="44">
        <f>I90*F90</f>
        <v>4998.7867649999998</v>
      </c>
    </row>
    <row r="91" spans="1:10" ht="28.5" x14ac:dyDescent="0.25">
      <c r="A91" s="14" t="s">
        <v>297</v>
      </c>
      <c r="B91" s="1">
        <v>103328</v>
      </c>
      <c r="C91" s="1" t="s">
        <v>36</v>
      </c>
      <c r="D91" s="22" t="s">
        <v>298</v>
      </c>
      <c r="E91" s="1" t="s">
        <v>29</v>
      </c>
      <c r="F91" s="57">
        <f>31.43*1.2</f>
        <v>37.716000000000001</v>
      </c>
      <c r="G91" s="43">
        <v>97.52</v>
      </c>
      <c r="H91" s="43">
        <f>G91*F91</f>
        <v>3678.06432</v>
      </c>
      <c r="I91" s="43">
        <f>G91*$E$4</f>
        <v>124.48428</v>
      </c>
      <c r="J91" s="44">
        <f>I91*F91</f>
        <v>4695.0491044800001</v>
      </c>
    </row>
    <row r="92" spans="1:10" ht="28.5" x14ac:dyDescent="0.25">
      <c r="A92" s="14" t="s">
        <v>299</v>
      </c>
      <c r="B92" s="1">
        <v>87878</v>
      </c>
      <c r="C92" s="1" t="s">
        <v>36</v>
      </c>
      <c r="D92" s="22" t="s">
        <v>300</v>
      </c>
      <c r="E92" s="1" t="s">
        <v>29</v>
      </c>
      <c r="F92" s="57">
        <f>F91*2</f>
        <v>75.432000000000002</v>
      </c>
      <c r="G92" s="43">
        <v>4.9000000000000004</v>
      </c>
      <c r="H92" s="43">
        <f>G92*F92</f>
        <v>369.61680000000001</v>
      </c>
      <c r="I92" s="43">
        <f>G92*$E$4</f>
        <v>6.2548500000000002</v>
      </c>
      <c r="J92" s="44">
        <f>I92*F92</f>
        <v>471.81584520000001</v>
      </c>
    </row>
    <row r="93" spans="1:10" ht="42.75" x14ac:dyDescent="0.25">
      <c r="A93" s="14" t="s">
        <v>301</v>
      </c>
      <c r="B93" s="1">
        <v>87529</v>
      </c>
      <c r="C93" s="1" t="s">
        <v>36</v>
      </c>
      <c r="D93" s="22" t="s">
        <v>302</v>
      </c>
      <c r="E93" s="1" t="s">
        <v>29</v>
      </c>
      <c r="F93" s="57">
        <f>F92</f>
        <v>75.432000000000002</v>
      </c>
      <c r="G93" s="43">
        <v>39.19</v>
      </c>
      <c r="H93" s="43">
        <f>G93*F93</f>
        <v>2956.1800800000001</v>
      </c>
      <c r="I93" s="43">
        <f>G93*$E$4</f>
        <v>50.026034999999993</v>
      </c>
      <c r="J93" s="44">
        <f>I93*F93</f>
        <v>3773.5638721199998</v>
      </c>
    </row>
    <row r="94" spans="1:10" x14ac:dyDescent="0.25">
      <c r="A94" s="288" t="s">
        <v>249</v>
      </c>
      <c r="B94" s="288"/>
      <c r="C94" s="288"/>
      <c r="D94" s="288"/>
      <c r="E94" s="288"/>
      <c r="F94" s="288"/>
      <c r="G94" s="288"/>
      <c r="H94" s="198">
        <f>SUM(H89)</f>
        <v>8648.380000000001</v>
      </c>
      <c r="I94" s="27"/>
      <c r="J94" s="27">
        <f>SUM(J89:J93)</f>
        <v>24978.872656800002</v>
      </c>
    </row>
    <row r="97" spans="1:11" x14ac:dyDescent="0.25">
      <c r="A97" s="30" t="s">
        <v>251</v>
      </c>
      <c r="B97" s="273"/>
      <c r="C97" s="274"/>
      <c r="D97" s="275" t="s">
        <v>47</v>
      </c>
      <c r="E97" s="276"/>
      <c r="F97" s="276"/>
      <c r="G97" s="276"/>
      <c r="H97" s="276"/>
      <c r="I97" s="276"/>
      <c r="J97" s="277"/>
    </row>
    <row r="98" spans="1:11" x14ac:dyDescent="0.25">
      <c r="A98" s="46" t="s">
        <v>252</v>
      </c>
      <c r="B98" s="1">
        <v>42846</v>
      </c>
      <c r="C98" s="1" t="s">
        <v>28</v>
      </c>
      <c r="D98" s="22" t="s">
        <v>91</v>
      </c>
      <c r="E98" s="1" t="s">
        <v>29</v>
      </c>
      <c r="F98" s="54">
        <v>460</v>
      </c>
      <c r="G98" s="180">
        <v>7.55</v>
      </c>
      <c r="H98" s="180">
        <f>G98*F98</f>
        <v>3473</v>
      </c>
      <c r="I98" s="51">
        <f t="shared" ref="I98:I102" si="26">G98*$E$4</f>
        <v>9.637575</v>
      </c>
      <c r="J98" s="45">
        <f t="shared" ref="J98:J105" si="27">I98*F98</f>
        <v>4433.2844999999998</v>
      </c>
    </row>
    <row r="99" spans="1:11" x14ac:dyDescent="0.25">
      <c r="A99" s="46" t="s">
        <v>253</v>
      </c>
      <c r="B99" s="1">
        <v>42889</v>
      </c>
      <c r="C99" s="1" t="s">
        <v>28</v>
      </c>
      <c r="D99" s="22" t="s">
        <v>188</v>
      </c>
      <c r="E99" s="1" t="s">
        <v>94</v>
      </c>
      <c r="F99" s="57">
        <v>1</v>
      </c>
      <c r="G99" s="180">
        <v>2039.3</v>
      </c>
      <c r="H99" s="180">
        <f t="shared" ref="H99:H102" si="28">G99*F99</f>
        <v>2039.3</v>
      </c>
      <c r="I99" s="51">
        <f t="shared" si="26"/>
        <v>2603.1664499999997</v>
      </c>
      <c r="J99" s="45">
        <f t="shared" si="27"/>
        <v>2603.1664499999997</v>
      </c>
    </row>
    <row r="100" spans="1:11" x14ac:dyDescent="0.25">
      <c r="A100" s="46" t="s">
        <v>254</v>
      </c>
      <c r="B100" s="1">
        <v>42875</v>
      </c>
      <c r="C100" s="1" t="s">
        <v>28</v>
      </c>
      <c r="D100" s="22" t="s">
        <v>189</v>
      </c>
      <c r="E100" s="1" t="s">
        <v>94</v>
      </c>
      <c r="F100" s="57">
        <v>1</v>
      </c>
      <c r="G100" s="180">
        <v>1425.24</v>
      </c>
      <c r="H100" s="180">
        <f t="shared" si="28"/>
        <v>1425.24</v>
      </c>
      <c r="I100" s="51">
        <f t="shared" si="26"/>
        <v>1819.3188599999999</v>
      </c>
      <c r="J100" s="45">
        <f t="shared" si="27"/>
        <v>1819.3188599999999</v>
      </c>
    </row>
    <row r="101" spans="1:11" x14ac:dyDescent="0.25">
      <c r="A101" s="46" t="s">
        <v>255</v>
      </c>
      <c r="B101" s="1">
        <v>43798</v>
      </c>
      <c r="C101" s="1" t="s">
        <v>28</v>
      </c>
      <c r="D101" s="22" t="s">
        <v>307</v>
      </c>
      <c r="E101" s="1" t="s">
        <v>94</v>
      </c>
      <c r="F101" s="57">
        <v>2</v>
      </c>
      <c r="G101" s="51">
        <v>1897.26</v>
      </c>
      <c r="H101" s="180">
        <f t="shared" si="28"/>
        <v>3794.52</v>
      </c>
      <c r="I101" s="51">
        <f t="shared" si="26"/>
        <v>2421.85239</v>
      </c>
      <c r="J101" s="45">
        <f t="shared" si="27"/>
        <v>4843.70478</v>
      </c>
    </row>
    <row r="102" spans="1:11" x14ac:dyDescent="0.25">
      <c r="A102" s="46" t="s">
        <v>256</v>
      </c>
      <c r="B102" s="1">
        <v>42872</v>
      </c>
      <c r="C102" s="1" t="s">
        <v>28</v>
      </c>
      <c r="D102" s="22" t="s">
        <v>266</v>
      </c>
      <c r="E102" s="1" t="s">
        <v>29</v>
      </c>
      <c r="F102" s="57">
        <v>260</v>
      </c>
      <c r="G102" s="51">
        <v>14.45</v>
      </c>
      <c r="H102" s="180">
        <f t="shared" si="28"/>
        <v>3757</v>
      </c>
      <c r="I102" s="51">
        <f t="shared" si="26"/>
        <v>18.445425</v>
      </c>
      <c r="J102" s="45">
        <f t="shared" si="27"/>
        <v>4795.8104999999996</v>
      </c>
    </row>
    <row r="103" spans="1:11" x14ac:dyDescent="0.25">
      <c r="A103" s="46" t="s">
        <v>257</v>
      </c>
      <c r="B103" s="1">
        <v>99855</v>
      </c>
      <c r="C103" s="1" t="s">
        <v>36</v>
      </c>
      <c r="D103" s="22" t="s">
        <v>246</v>
      </c>
      <c r="E103" s="1" t="s">
        <v>55</v>
      </c>
      <c r="F103" s="57">
        <f>(20.4+0.225+10.8)*2*2</f>
        <v>125.7</v>
      </c>
      <c r="G103" s="51">
        <v>98.88</v>
      </c>
      <c r="H103" s="180">
        <f t="shared" ref="H103:H105" si="29">G103*F103</f>
        <v>12429.216</v>
      </c>
      <c r="I103" s="51">
        <f t="shared" ref="I103:I105" si="30">G103*$E$4</f>
        <v>126.22031999999999</v>
      </c>
      <c r="J103" s="45">
        <f t="shared" si="27"/>
        <v>15865.894223999998</v>
      </c>
    </row>
    <row r="104" spans="1:11" x14ac:dyDescent="0.25">
      <c r="A104" s="46" t="s">
        <v>258</v>
      </c>
      <c r="B104" s="1">
        <v>43715</v>
      </c>
      <c r="C104" s="1" t="s">
        <v>28</v>
      </c>
      <c r="D104" s="22" t="s">
        <v>247</v>
      </c>
      <c r="E104" s="1" t="s">
        <v>29</v>
      </c>
      <c r="F104" s="57">
        <v>37.200000000000003</v>
      </c>
      <c r="G104" s="51">
        <v>131.27000000000001</v>
      </c>
      <c r="H104" s="180">
        <f t="shared" si="29"/>
        <v>4883.2440000000006</v>
      </c>
      <c r="I104" s="51">
        <f t="shared" si="30"/>
        <v>167.56615500000001</v>
      </c>
      <c r="J104" s="45">
        <f t="shared" si="27"/>
        <v>6233.4609660000006</v>
      </c>
    </row>
    <row r="105" spans="1:11" x14ac:dyDescent="0.25">
      <c r="A105" s="46" t="s">
        <v>267</v>
      </c>
      <c r="B105" s="1">
        <v>42873</v>
      </c>
      <c r="C105" s="1" t="s">
        <v>28</v>
      </c>
      <c r="D105" s="22" t="s">
        <v>284</v>
      </c>
      <c r="E105" s="1" t="s">
        <v>29</v>
      </c>
      <c r="F105" s="57">
        <v>120</v>
      </c>
      <c r="G105" s="51">
        <v>39.76</v>
      </c>
      <c r="H105" s="180">
        <f t="shared" si="29"/>
        <v>4771.2</v>
      </c>
      <c r="I105" s="51">
        <f t="shared" si="30"/>
        <v>50.753639999999997</v>
      </c>
      <c r="J105" s="45">
        <f t="shared" si="27"/>
        <v>6090.4367999999995</v>
      </c>
    </row>
    <row r="106" spans="1:11" x14ac:dyDescent="0.25">
      <c r="A106" s="288" t="s">
        <v>259</v>
      </c>
      <c r="B106" s="288"/>
      <c r="C106" s="288"/>
      <c r="D106" s="288"/>
      <c r="E106" s="288"/>
      <c r="F106" s="288"/>
      <c r="G106" s="288"/>
      <c r="H106" s="199">
        <f>SUM(H98:H101)</f>
        <v>10732.06</v>
      </c>
      <c r="I106" s="27"/>
      <c r="J106" s="27">
        <f>SUM(J98:J105)</f>
        <v>46685.077079999988</v>
      </c>
    </row>
    <row r="107" spans="1:11" x14ac:dyDescent="0.25">
      <c r="H107" s="201">
        <f>SUM(H106,H86,H77,H64,H55,H49,H41,H33,H25,H19,H94,)</f>
        <v>404445.98419999995</v>
      </c>
    </row>
    <row r="108" spans="1:11" ht="15.75" thickBot="1" x14ac:dyDescent="0.3">
      <c r="A108" s="289" t="s">
        <v>93</v>
      </c>
      <c r="B108" s="290"/>
      <c r="C108" s="290"/>
      <c r="D108" s="290"/>
      <c r="E108" s="290"/>
      <c r="F108" s="290"/>
      <c r="G108" s="290"/>
      <c r="H108" s="290"/>
      <c r="I108" s="291"/>
      <c r="J108" s="27">
        <f>SUM(J106,J86,J77,J64,J55,J49,J41,J33,J25,J19,J94)</f>
        <v>597134.16042989993</v>
      </c>
    </row>
    <row r="109" spans="1:11" ht="15" customHeight="1" x14ac:dyDescent="0.25">
      <c r="A109" s="279" t="s">
        <v>261</v>
      </c>
      <c r="B109" s="280"/>
      <c r="C109" s="280"/>
      <c r="D109" s="280"/>
      <c r="E109" s="280"/>
      <c r="F109" s="280"/>
      <c r="G109" s="280"/>
      <c r="H109" s="280"/>
      <c r="I109" s="280"/>
      <c r="J109" s="280"/>
      <c r="K109" s="281"/>
    </row>
    <row r="110" spans="1:11" x14ac:dyDescent="0.25">
      <c r="A110" s="282"/>
      <c r="B110" s="283"/>
      <c r="C110" s="283"/>
      <c r="D110" s="283"/>
      <c r="E110" s="283"/>
      <c r="F110" s="283"/>
      <c r="G110" s="283"/>
      <c r="H110" s="283"/>
      <c r="I110" s="283"/>
      <c r="J110" s="283"/>
      <c r="K110" s="284"/>
    </row>
    <row r="111" spans="1:11" x14ac:dyDescent="0.25">
      <c r="A111" s="282" t="s">
        <v>232</v>
      </c>
      <c r="B111" s="283"/>
      <c r="C111" s="283"/>
      <c r="D111" s="283"/>
      <c r="E111" s="283"/>
      <c r="F111" s="283"/>
      <c r="G111" s="283"/>
      <c r="H111" s="283"/>
      <c r="I111" s="283"/>
      <c r="J111" s="283"/>
      <c r="K111" s="284"/>
    </row>
    <row r="112" spans="1:11" ht="15.75" thickBot="1" x14ac:dyDescent="0.3">
      <c r="A112" s="285"/>
      <c r="B112" s="286"/>
      <c r="C112" s="286"/>
      <c r="D112" s="286"/>
      <c r="E112" s="286"/>
      <c r="F112" s="286"/>
      <c r="G112" s="286"/>
      <c r="H112" s="286"/>
      <c r="I112" s="286"/>
      <c r="J112" s="286"/>
      <c r="K112" s="287"/>
    </row>
    <row r="113" spans="1:10" x14ac:dyDescent="0.25">
      <c r="A113" s="52"/>
      <c r="B113" s="52"/>
      <c r="C113" s="52"/>
      <c r="D113" s="52"/>
      <c r="E113" s="52"/>
      <c r="F113" s="52"/>
      <c r="G113" s="52"/>
      <c r="H113" s="52"/>
      <c r="I113" s="52"/>
      <c r="J113" s="53"/>
    </row>
    <row r="114" spans="1:10" ht="15.75" x14ac:dyDescent="0.25">
      <c r="A114" s="188"/>
      <c r="B114" s="188"/>
      <c r="C114" s="188"/>
      <c r="D114" s="188"/>
      <c r="E114" s="188"/>
      <c r="F114" s="188"/>
      <c r="G114" s="188"/>
      <c r="H114" s="188"/>
      <c r="I114" s="188"/>
      <c r="J114" s="188"/>
    </row>
    <row r="115" spans="1:10" ht="15.75" x14ac:dyDescent="0.25">
      <c r="A115" s="189"/>
      <c r="B115" s="189"/>
      <c r="C115" s="189"/>
      <c r="D115" s="189"/>
      <c r="E115" s="189"/>
      <c r="F115" s="189"/>
      <c r="G115" s="189"/>
      <c r="H115" s="189"/>
      <c r="I115" s="189"/>
      <c r="J115" s="189"/>
    </row>
    <row r="116" spans="1:10" ht="15.75" x14ac:dyDescent="0.25">
      <c r="A116" s="188"/>
      <c r="B116" s="188"/>
      <c r="C116" s="188"/>
      <c r="D116" s="188"/>
      <c r="E116" s="188"/>
      <c r="F116" s="188"/>
      <c r="G116" s="188"/>
      <c r="H116" s="188"/>
      <c r="I116" s="188"/>
      <c r="J116" s="188"/>
    </row>
    <row r="117" spans="1:10" ht="15.75" x14ac:dyDescent="0.25">
      <c r="C117" s="294" t="s">
        <v>226</v>
      </c>
      <c r="D117" s="294"/>
      <c r="F117" s="294" t="s">
        <v>230</v>
      </c>
      <c r="G117" s="294"/>
      <c r="H117" s="294"/>
      <c r="I117" s="294"/>
      <c r="J117" s="294"/>
    </row>
    <row r="118" spans="1:10" x14ac:dyDescent="0.25">
      <c r="C118" s="278" t="s">
        <v>227</v>
      </c>
      <c r="D118" s="278"/>
      <c r="F118" s="278" t="s">
        <v>238</v>
      </c>
      <c r="G118" s="278"/>
      <c r="H118" s="278"/>
      <c r="I118" s="278"/>
      <c r="J118" s="278"/>
    </row>
    <row r="119" spans="1:10" x14ac:dyDescent="0.25">
      <c r="C119" s="278" t="s">
        <v>228</v>
      </c>
      <c r="D119" s="278"/>
      <c r="F119" s="278" t="s">
        <v>231</v>
      </c>
      <c r="G119" s="278"/>
      <c r="H119" s="278"/>
      <c r="I119" s="278"/>
      <c r="J119" s="278"/>
    </row>
    <row r="120" spans="1:10" x14ac:dyDescent="0.25">
      <c r="C120" s="293" t="s">
        <v>229</v>
      </c>
      <c r="D120" s="293"/>
      <c r="F120" s="293" t="s">
        <v>229</v>
      </c>
      <c r="G120" s="293"/>
      <c r="H120" s="293"/>
      <c r="I120" s="293"/>
      <c r="J120" s="293"/>
    </row>
  </sheetData>
  <mergeCells count="62">
    <mergeCell ref="A94:G94"/>
    <mergeCell ref="A25:G25"/>
    <mergeCell ref="B43:C43"/>
    <mergeCell ref="D43:J43"/>
    <mergeCell ref="B35:C35"/>
    <mergeCell ref="D35:J35"/>
    <mergeCell ref="A41:G41"/>
    <mergeCell ref="B27:C27"/>
    <mergeCell ref="D27:J27"/>
    <mergeCell ref="A33:G33"/>
    <mergeCell ref="A77:G77"/>
    <mergeCell ref="A86:G86"/>
    <mergeCell ref="A49:G49"/>
    <mergeCell ref="B66:C66"/>
    <mergeCell ref="D66:J66"/>
    <mergeCell ref="A64:G64"/>
    <mergeCell ref="J6:J7"/>
    <mergeCell ref="B8:C8"/>
    <mergeCell ref="D8:J8"/>
    <mergeCell ref="B21:C21"/>
    <mergeCell ref="D21:J21"/>
    <mergeCell ref="I6:I7"/>
    <mergeCell ref="A19:G19"/>
    <mergeCell ref="A6:A7"/>
    <mergeCell ref="B6:B7"/>
    <mergeCell ref="C6:C7"/>
    <mergeCell ref="D6:D7"/>
    <mergeCell ref="E6:E7"/>
    <mergeCell ref="F6:F7"/>
    <mergeCell ref="G6:G7"/>
    <mergeCell ref="A1:J1"/>
    <mergeCell ref="A2:D2"/>
    <mergeCell ref="E2:F2"/>
    <mergeCell ref="I2:J2"/>
    <mergeCell ref="A3:D3"/>
    <mergeCell ref="E3:F3"/>
    <mergeCell ref="G3:G4"/>
    <mergeCell ref="I3:J4"/>
    <mergeCell ref="A4:D4"/>
    <mergeCell ref="E4:F4"/>
    <mergeCell ref="C120:D120"/>
    <mergeCell ref="F117:J117"/>
    <mergeCell ref="F118:J118"/>
    <mergeCell ref="F119:J119"/>
    <mergeCell ref="F120:J120"/>
    <mergeCell ref="C117:D117"/>
    <mergeCell ref="A5:C5"/>
    <mergeCell ref="B88:C88"/>
    <mergeCell ref="D88:J88"/>
    <mergeCell ref="C118:D118"/>
    <mergeCell ref="C119:D119"/>
    <mergeCell ref="A109:K110"/>
    <mergeCell ref="A111:K112"/>
    <mergeCell ref="A106:G106"/>
    <mergeCell ref="A108:I108"/>
    <mergeCell ref="B97:C97"/>
    <mergeCell ref="D97:J97"/>
    <mergeCell ref="B57:C57"/>
    <mergeCell ref="D57:J57"/>
    <mergeCell ref="A55:G55"/>
    <mergeCell ref="B51:C51"/>
    <mergeCell ref="D51:J51"/>
  </mergeCells>
  <printOptions horizontalCentered="1"/>
  <pageMargins left="0.70866141732283472" right="0.70866141732283472" top="1.3385826771653544" bottom="0.74803149606299213" header="0.31496062992125984" footer="0.31496062992125984"/>
  <pageSetup paperSize="9" scale="65" fitToHeight="0" orientation="landscape" r:id="rId1"/>
  <headerFooter>
    <oddHeader>&amp;L                    
&amp;G&amp;C&amp;"-,Negrito"&amp;14
SECRETARIA MUNICIPAL DA EDUCAÇÃO
PREFEITURA DO MUNICÍPIO DE LAGES&amp;R&amp;G</oddHeader>
    <oddFooter>&amp;CCOBERTURA QUADRA DOM DANIEL HOSTIN
&amp;R&amp;P/&amp;N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Layout" zoomScaleNormal="100" workbookViewId="0">
      <selection activeCell="G3" sqref="G3:H4"/>
    </sheetView>
  </sheetViews>
  <sheetFormatPr defaultRowHeight="15" x14ac:dyDescent="0.25"/>
  <cols>
    <col min="1" max="1" width="6.140625" customWidth="1"/>
    <col min="2" max="2" width="17.7109375" customWidth="1"/>
    <col min="3" max="3" width="18.85546875" customWidth="1"/>
    <col min="4" max="4" width="70.7109375" customWidth="1"/>
    <col min="5" max="5" width="5.42578125" customWidth="1"/>
    <col min="7" max="8" width="15.7109375" customWidth="1"/>
    <col min="9" max="9" width="16.140625" customWidth="1"/>
    <col min="10" max="10" width="16" customWidth="1"/>
  </cols>
  <sheetData>
    <row r="1" spans="1:11" ht="23.25" x14ac:dyDescent="0.25">
      <c r="A1" s="330" t="s">
        <v>309</v>
      </c>
      <c r="B1" s="330"/>
      <c r="C1" s="330"/>
      <c r="D1" s="330"/>
      <c r="E1" s="330"/>
      <c r="F1" s="330"/>
      <c r="G1" s="330"/>
      <c r="H1" s="330"/>
      <c r="I1" s="247"/>
      <c r="J1" s="247"/>
      <c r="K1" s="227"/>
    </row>
    <row r="2" spans="1:11" ht="28.5" customHeight="1" x14ac:dyDescent="0.25">
      <c r="A2" s="421" t="s">
        <v>303</v>
      </c>
      <c r="B2" s="422"/>
      <c r="C2" s="422"/>
      <c r="D2" s="423"/>
      <c r="E2" s="270" t="s">
        <v>15</v>
      </c>
      <c r="F2" s="272"/>
      <c r="G2" s="270" t="s">
        <v>16</v>
      </c>
      <c r="H2" s="272"/>
      <c r="I2" s="248"/>
      <c r="J2" s="248"/>
      <c r="K2" s="227"/>
    </row>
    <row r="3" spans="1:11" ht="15" customHeight="1" x14ac:dyDescent="0.25">
      <c r="A3" s="322" t="s">
        <v>336</v>
      </c>
      <c r="B3" s="323"/>
      <c r="C3" s="323"/>
      <c r="D3" s="324"/>
      <c r="E3" s="325">
        <v>0.27650000000000002</v>
      </c>
      <c r="F3" s="326"/>
      <c r="G3" s="331">
        <v>45397</v>
      </c>
      <c r="H3" s="332"/>
      <c r="I3" s="248"/>
      <c r="J3" s="248"/>
      <c r="K3" s="227"/>
    </row>
    <row r="4" spans="1:11" ht="15" customHeight="1" x14ac:dyDescent="0.25">
      <c r="A4" s="310" t="s">
        <v>332</v>
      </c>
      <c r="B4" s="310"/>
      <c r="C4" s="310"/>
      <c r="D4" s="310"/>
      <c r="E4" s="327">
        <v>1.2765</v>
      </c>
      <c r="F4" s="328"/>
      <c r="G4" s="333"/>
      <c r="H4" s="334"/>
      <c r="I4" s="248"/>
      <c r="J4" s="248"/>
      <c r="K4" s="227"/>
    </row>
    <row r="5" spans="1:11" ht="15" customHeight="1" x14ac:dyDescent="0.25">
      <c r="A5" s="270" t="s">
        <v>333</v>
      </c>
      <c r="B5" s="271"/>
      <c r="C5" s="272"/>
      <c r="D5" s="253" t="s">
        <v>334</v>
      </c>
      <c r="E5" s="254"/>
      <c r="F5" s="255"/>
      <c r="G5" s="256"/>
      <c r="H5" s="257"/>
      <c r="I5" s="248"/>
      <c r="J5" s="248"/>
      <c r="K5" s="227"/>
    </row>
    <row r="6" spans="1:11" ht="15" customHeight="1" x14ac:dyDescent="0.25">
      <c r="A6" s="313" t="s">
        <v>0</v>
      </c>
      <c r="B6" s="317" t="s">
        <v>18</v>
      </c>
      <c r="C6" s="313" t="s">
        <v>19</v>
      </c>
      <c r="D6" s="319" t="s">
        <v>20</v>
      </c>
      <c r="E6" s="313" t="s">
        <v>21</v>
      </c>
      <c r="F6" s="320" t="s">
        <v>22</v>
      </c>
      <c r="G6" s="321" t="s">
        <v>23</v>
      </c>
      <c r="H6" s="313" t="s">
        <v>25</v>
      </c>
      <c r="I6" s="248"/>
      <c r="J6" s="248"/>
      <c r="K6" s="227"/>
    </row>
    <row r="7" spans="1:11" ht="15" customHeight="1" x14ac:dyDescent="0.25">
      <c r="A7" s="313"/>
      <c r="B7" s="318"/>
      <c r="C7" s="313"/>
      <c r="D7" s="319"/>
      <c r="E7" s="313"/>
      <c r="F7" s="320"/>
      <c r="G7" s="321"/>
      <c r="H7" s="313"/>
      <c r="I7" s="248"/>
      <c r="J7" s="248"/>
      <c r="K7" s="227"/>
    </row>
    <row r="8" spans="1:11" ht="15" customHeight="1" x14ac:dyDescent="0.25">
      <c r="A8" s="335"/>
      <c r="B8" s="335"/>
      <c r="C8" s="335"/>
      <c r="D8" s="335"/>
      <c r="E8" s="335"/>
      <c r="F8" s="335"/>
      <c r="G8" s="335"/>
      <c r="H8" s="335"/>
      <c r="I8" s="248"/>
      <c r="J8" s="248"/>
      <c r="K8" s="227"/>
    </row>
    <row r="9" spans="1:11" ht="15" customHeight="1" x14ac:dyDescent="0.25">
      <c r="A9" s="275" t="s">
        <v>310</v>
      </c>
      <c r="B9" s="276"/>
      <c r="C9" s="276"/>
      <c r="D9" s="276"/>
      <c r="E9" s="276"/>
      <c r="F9" s="276"/>
      <c r="G9" s="276"/>
      <c r="H9" s="277"/>
      <c r="I9" s="248"/>
      <c r="J9" s="248"/>
      <c r="K9" s="227"/>
    </row>
    <row r="10" spans="1:11" s="221" customFormat="1" ht="30" x14ac:dyDescent="0.25">
      <c r="A10" s="229" t="s">
        <v>1</v>
      </c>
      <c r="B10" s="229" t="s">
        <v>328</v>
      </c>
      <c r="C10" s="230" t="s">
        <v>36</v>
      </c>
      <c r="D10" s="231" t="s">
        <v>311</v>
      </c>
      <c r="E10" s="229" t="s">
        <v>312</v>
      </c>
      <c r="F10" s="232">
        <v>4.05</v>
      </c>
      <c r="G10" s="233">
        <v>13.86</v>
      </c>
      <c r="H10" s="234">
        <f>F10*G10</f>
        <v>56.132999999999996</v>
      </c>
      <c r="I10" s="248"/>
      <c r="J10" s="248"/>
      <c r="K10" s="228"/>
    </row>
    <row r="11" spans="1:11" ht="30" x14ac:dyDescent="0.25">
      <c r="A11" s="235" t="s">
        <v>63</v>
      </c>
      <c r="B11" s="235" t="s">
        <v>329</v>
      </c>
      <c r="C11" s="236" t="s">
        <v>36</v>
      </c>
      <c r="D11" s="237" t="s">
        <v>313</v>
      </c>
      <c r="E11" s="235" t="s">
        <v>312</v>
      </c>
      <c r="F11" s="238">
        <v>2.2999999999999998</v>
      </c>
      <c r="G11" s="239">
        <v>13.06</v>
      </c>
      <c r="H11" s="240">
        <f t="shared" ref="H11:H17" si="0">F11*G11</f>
        <v>30.038</v>
      </c>
      <c r="I11" s="248"/>
      <c r="J11" s="248"/>
      <c r="K11" s="227"/>
    </row>
    <row r="12" spans="1:11" ht="30" x14ac:dyDescent="0.25">
      <c r="A12" s="235" t="s">
        <v>64</v>
      </c>
      <c r="B12" s="235" t="s">
        <v>330</v>
      </c>
      <c r="C12" s="236" t="s">
        <v>36</v>
      </c>
      <c r="D12" s="237" t="s">
        <v>314</v>
      </c>
      <c r="E12" s="235" t="s">
        <v>312</v>
      </c>
      <c r="F12" s="238">
        <v>1.6</v>
      </c>
      <c r="G12" s="239">
        <v>12.22</v>
      </c>
      <c r="H12" s="240">
        <f t="shared" si="0"/>
        <v>19.552000000000003</v>
      </c>
      <c r="I12" s="248"/>
      <c r="J12" s="248"/>
      <c r="K12" s="227"/>
    </row>
    <row r="13" spans="1:11" ht="30" x14ac:dyDescent="0.25">
      <c r="A13" s="235" t="s">
        <v>65</v>
      </c>
      <c r="B13" s="235" t="s">
        <v>331</v>
      </c>
      <c r="C13" s="236" t="s">
        <v>36</v>
      </c>
      <c r="D13" s="237" t="s">
        <v>315</v>
      </c>
      <c r="E13" s="235" t="s">
        <v>312</v>
      </c>
      <c r="F13" s="238">
        <v>12.73</v>
      </c>
      <c r="G13" s="239">
        <v>10.92</v>
      </c>
      <c r="H13" s="240">
        <f t="shared" si="0"/>
        <v>139.01160000000002</v>
      </c>
      <c r="I13" s="248"/>
      <c r="J13" s="248"/>
      <c r="K13" s="227"/>
    </row>
    <row r="14" spans="1:11" ht="15" customHeight="1" x14ac:dyDescent="0.25">
      <c r="A14" s="235" t="s">
        <v>66</v>
      </c>
      <c r="B14" s="235" t="s">
        <v>316</v>
      </c>
      <c r="C14" s="236" t="s">
        <v>36</v>
      </c>
      <c r="D14" s="237" t="s">
        <v>317</v>
      </c>
      <c r="E14" s="235" t="s">
        <v>312</v>
      </c>
      <c r="F14" s="238">
        <v>1.07</v>
      </c>
      <c r="G14" s="239">
        <v>19.52</v>
      </c>
      <c r="H14" s="240">
        <f t="shared" si="0"/>
        <v>20.886400000000002</v>
      </c>
      <c r="I14" s="248"/>
      <c r="J14" s="248"/>
      <c r="K14" s="227"/>
    </row>
    <row r="15" spans="1:11" ht="15" customHeight="1" x14ac:dyDescent="0.25">
      <c r="A15" s="235" t="s">
        <v>203</v>
      </c>
      <c r="B15" s="235" t="s">
        <v>318</v>
      </c>
      <c r="C15" s="236" t="s">
        <v>36</v>
      </c>
      <c r="D15" s="237" t="s">
        <v>319</v>
      </c>
      <c r="E15" s="235" t="s">
        <v>312</v>
      </c>
      <c r="F15" s="238">
        <v>0.09</v>
      </c>
      <c r="G15" s="239">
        <v>17.559999999999999</v>
      </c>
      <c r="H15" s="240">
        <f t="shared" si="0"/>
        <v>1.5803999999999998</v>
      </c>
      <c r="I15" s="248"/>
      <c r="J15" s="248"/>
      <c r="K15" s="227"/>
    </row>
    <row r="16" spans="1:11" ht="15" customHeight="1" x14ac:dyDescent="0.25">
      <c r="A16" s="235" t="s">
        <v>214</v>
      </c>
      <c r="B16" s="235" t="s">
        <v>320</v>
      </c>
      <c r="C16" s="236" t="s">
        <v>36</v>
      </c>
      <c r="D16" s="237" t="s">
        <v>321</v>
      </c>
      <c r="E16" s="235" t="s">
        <v>312</v>
      </c>
      <c r="F16" s="238">
        <v>2.85</v>
      </c>
      <c r="G16" s="239">
        <v>15.78</v>
      </c>
      <c r="H16" s="240">
        <f t="shared" si="0"/>
        <v>44.972999999999999</v>
      </c>
      <c r="I16" s="248"/>
      <c r="J16" s="248"/>
      <c r="K16" s="227"/>
    </row>
    <row r="17" spans="1:11" ht="15" customHeight="1" x14ac:dyDescent="0.25">
      <c r="A17" s="241" t="s">
        <v>216</v>
      </c>
      <c r="B17" s="241" t="s">
        <v>322</v>
      </c>
      <c r="C17" s="242" t="s">
        <v>36</v>
      </c>
      <c r="D17" s="243" t="s">
        <v>323</v>
      </c>
      <c r="E17" s="241" t="s">
        <v>312</v>
      </c>
      <c r="F17" s="244">
        <v>6.6</v>
      </c>
      <c r="G17" s="245">
        <v>13.81</v>
      </c>
      <c r="H17" s="246">
        <f t="shared" si="0"/>
        <v>91.146000000000001</v>
      </c>
      <c r="I17" s="248"/>
      <c r="J17" s="248"/>
      <c r="K17" s="227"/>
    </row>
    <row r="18" spans="1:11" ht="15" customHeight="1" x14ac:dyDescent="0.25">
      <c r="A18" s="288" t="s">
        <v>324</v>
      </c>
      <c r="B18" s="288"/>
      <c r="C18" s="288"/>
      <c r="D18" s="288"/>
      <c r="E18" s="288"/>
      <c r="F18" s="288"/>
      <c r="G18" s="288"/>
      <c r="H18" s="27">
        <f>SUM(H10:H17)</f>
        <v>403.32040000000001</v>
      </c>
      <c r="I18" s="248"/>
      <c r="J18" s="248"/>
      <c r="K18" s="227"/>
    </row>
    <row r="19" spans="1:11" ht="15" customHeight="1" x14ac:dyDescent="0.25">
      <c r="I19" s="248"/>
      <c r="J19" s="248"/>
      <c r="K19" s="227"/>
    </row>
    <row r="20" spans="1:11" ht="15" customHeight="1" x14ac:dyDescent="0.25">
      <c r="I20" s="248"/>
      <c r="J20" s="248"/>
      <c r="K20" s="227"/>
    </row>
    <row r="21" spans="1:11" ht="15" customHeight="1" x14ac:dyDescent="0.25">
      <c r="I21" s="248"/>
      <c r="J21" s="248"/>
      <c r="K21" s="227"/>
    </row>
    <row r="22" spans="1:11" ht="15" customHeight="1" x14ac:dyDescent="0.25">
      <c r="I22" s="248"/>
      <c r="J22" s="248"/>
      <c r="K22" s="227"/>
    </row>
    <row r="23" spans="1:11" ht="15" customHeight="1" x14ac:dyDescent="0.25">
      <c r="I23" s="248"/>
      <c r="J23" s="248"/>
      <c r="K23" s="227"/>
    </row>
    <row r="24" spans="1:11" ht="15" customHeight="1" x14ac:dyDescent="0.25">
      <c r="I24" s="248"/>
      <c r="J24" s="248"/>
      <c r="K24" s="227"/>
    </row>
    <row r="25" spans="1:11" ht="15" customHeight="1" x14ac:dyDescent="0.25">
      <c r="I25" s="248"/>
      <c r="J25" s="248"/>
      <c r="K25" s="227"/>
    </row>
    <row r="26" spans="1:11" ht="15.75" customHeight="1" x14ac:dyDescent="0.25">
      <c r="A26" s="329" t="s">
        <v>325</v>
      </c>
      <c r="B26" s="329"/>
      <c r="C26" s="329"/>
      <c r="D26" s="329"/>
      <c r="E26" s="329" t="s">
        <v>325</v>
      </c>
      <c r="F26" s="329"/>
      <c r="G26" s="329"/>
      <c r="H26" s="329"/>
      <c r="I26" s="248"/>
      <c r="J26" s="248"/>
      <c r="K26" s="227"/>
    </row>
    <row r="27" spans="1:11" ht="15.75" customHeight="1" x14ac:dyDescent="0.25">
      <c r="A27" s="336" t="s">
        <v>227</v>
      </c>
      <c r="B27" s="336"/>
      <c r="C27" s="336"/>
      <c r="D27" s="336"/>
      <c r="E27" s="336" t="s">
        <v>335</v>
      </c>
      <c r="F27" s="336"/>
      <c r="G27" s="336"/>
      <c r="H27" s="336"/>
      <c r="I27" s="248"/>
      <c r="J27" s="248"/>
      <c r="K27" s="227"/>
    </row>
    <row r="28" spans="1:11" ht="15.75" customHeight="1" x14ac:dyDescent="0.25">
      <c r="A28" s="329" t="s">
        <v>228</v>
      </c>
      <c r="B28" s="329"/>
      <c r="C28" s="329"/>
      <c r="D28" s="329"/>
      <c r="E28" s="329" t="s">
        <v>326</v>
      </c>
      <c r="F28" s="329"/>
      <c r="G28" s="329"/>
      <c r="H28" s="329"/>
      <c r="I28" s="248"/>
      <c r="J28" s="248"/>
      <c r="K28" s="227"/>
    </row>
    <row r="29" spans="1:11" ht="15.75" customHeight="1" x14ac:dyDescent="0.25">
      <c r="A29" s="329" t="s">
        <v>327</v>
      </c>
      <c r="B29" s="329"/>
      <c r="C29" s="329"/>
      <c r="D29" s="329"/>
      <c r="E29" s="329" t="s">
        <v>327</v>
      </c>
      <c r="F29" s="329"/>
      <c r="G29" s="329"/>
      <c r="H29" s="329"/>
      <c r="I29" s="248"/>
      <c r="J29" s="248"/>
      <c r="K29" s="227"/>
    </row>
    <row r="30" spans="1:11" ht="15" customHeight="1" x14ac:dyDescent="0.25">
      <c r="A30" s="249"/>
      <c r="B30" s="249"/>
      <c r="C30" s="249"/>
      <c r="D30" s="249"/>
      <c r="E30" s="249"/>
      <c r="F30" s="249"/>
      <c r="G30" s="249"/>
      <c r="H30" s="249"/>
      <c r="I30" s="248"/>
      <c r="J30" s="248"/>
      <c r="K30" s="227"/>
    </row>
    <row r="31" spans="1:11" ht="25.5" customHeight="1" x14ac:dyDescent="0.25">
      <c r="A31" s="250"/>
      <c r="B31" s="250"/>
      <c r="C31" s="250"/>
      <c r="D31" s="250"/>
      <c r="E31" s="250"/>
      <c r="F31" s="250"/>
      <c r="G31" s="250"/>
      <c r="H31" s="250"/>
      <c r="I31" s="248"/>
      <c r="J31" s="248"/>
      <c r="K31" s="227"/>
    </row>
    <row r="32" spans="1:11" ht="15" customHeight="1" x14ac:dyDescent="0.25">
      <c r="A32" s="250"/>
      <c r="B32" s="250"/>
      <c r="C32" s="250"/>
      <c r="D32" s="250"/>
      <c r="E32" s="250"/>
      <c r="F32" s="250"/>
      <c r="G32" s="250"/>
      <c r="H32" s="250"/>
      <c r="I32" s="248"/>
      <c r="J32" s="248"/>
      <c r="K32" s="227"/>
    </row>
    <row r="33" spans="1:11" ht="15" customHeight="1" x14ac:dyDescent="0.25">
      <c r="A33" s="250"/>
      <c r="B33" s="250"/>
      <c r="C33" s="250"/>
      <c r="D33" s="250"/>
      <c r="E33" s="250"/>
      <c r="F33" s="250"/>
      <c r="G33" s="250"/>
      <c r="H33" s="250"/>
      <c r="I33" s="248"/>
      <c r="J33" s="248"/>
      <c r="K33" s="227"/>
    </row>
    <row r="34" spans="1:11" ht="15" customHeight="1" x14ac:dyDescent="0.25">
      <c r="A34" s="250"/>
      <c r="B34" s="250"/>
      <c r="C34" s="250"/>
      <c r="D34" s="250"/>
      <c r="E34" s="250"/>
      <c r="F34" s="250"/>
      <c r="G34" s="250"/>
      <c r="H34" s="250"/>
      <c r="I34" s="248"/>
      <c r="J34" s="248"/>
      <c r="K34" s="227"/>
    </row>
    <row r="35" spans="1:11" ht="15" customHeight="1" x14ac:dyDescent="0.25">
      <c r="A35" s="250"/>
      <c r="B35" s="250"/>
      <c r="C35" s="250"/>
      <c r="D35" s="250"/>
      <c r="E35" s="250"/>
      <c r="F35" s="250"/>
      <c r="G35" s="250"/>
      <c r="H35" s="250"/>
      <c r="I35" s="248"/>
      <c r="J35" s="248"/>
      <c r="K35" s="227"/>
    </row>
    <row r="36" spans="1:11" ht="15" customHeight="1" x14ac:dyDescent="0.25">
      <c r="A36" s="250"/>
      <c r="B36" s="250"/>
      <c r="C36" s="250"/>
      <c r="D36" s="250"/>
      <c r="E36" s="250"/>
      <c r="F36" s="250"/>
      <c r="G36" s="250"/>
      <c r="H36" s="250"/>
      <c r="I36" s="248"/>
      <c r="J36" s="248"/>
      <c r="K36" s="227"/>
    </row>
    <row r="37" spans="1:11" ht="15" customHeight="1" x14ac:dyDescent="0.25">
      <c r="A37" s="250"/>
      <c r="B37" s="250"/>
      <c r="C37" s="250"/>
      <c r="D37" s="250"/>
      <c r="E37" s="250"/>
      <c r="F37" s="250"/>
      <c r="G37" s="250"/>
      <c r="H37" s="250"/>
      <c r="I37" s="248"/>
      <c r="J37" s="248"/>
      <c r="K37" s="227"/>
    </row>
    <row r="38" spans="1:11" ht="15" customHeight="1" x14ac:dyDescent="0.25">
      <c r="A38" s="250"/>
      <c r="B38" s="250"/>
      <c r="C38" s="250"/>
      <c r="D38" s="250"/>
      <c r="E38" s="250"/>
      <c r="F38" s="250"/>
      <c r="G38" s="250"/>
      <c r="H38" s="250"/>
      <c r="I38" s="248"/>
      <c r="J38" s="248"/>
      <c r="K38" s="227"/>
    </row>
    <row r="39" spans="1:11" ht="15" customHeight="1" x14ac:dyDescent="0.25">
      <c r="A39" s="250"/>
      <c r="B39" s="250"/>
      <c r="C39" s="250"/>
      <c r="D39" s="250"/>
      <c r="E39" s="250"/>
      <c r="F39" s="250"/>
      <c r="G39" s="250"/>
      <c r="H39" s="250"/>
      <c r="I39" s="248"/>
      <c r="J39" s="248"/>
      <c r="K39" s="227"/>
    </row>
  </sheetData>
  <mergeCells count="29">
    <mergeCell ref="E28:H28"/>
    <mergeCell ref="A29:D29"/>
    <mergeCell ref="E29:H29"/>
    <mergeCell ref="A1:H1"/>
    <mergeCell ref="G2:H2"/>
    <mergeCell ref="G3:H4"/>
    <mergeCell ref="H6:H7"/>
    <mergeCell ref="A8:H8"/>
    <mergeCell ref="A9:H9"/>
    <mergeCell ref="A18:G18"/>
    <mergeCell ref="A26:D26"/>
    <mergeCell ref="E26:H26"/>
    <mergeCell ref="A27:D27"/>
    <mergeCell ref="E27:H27"/>
    <mergeCell ref="A28:D28"/>
    <mergeCell ref="G6:G7"/>
    <mergeCell ref="F6:F7"/>
    <mergeCell ref="A2:D2"/>
    <mergeCell ref="E2:F2"/>
    <mergeCell ref="A3:D3"/>
    <mergeCell ref="E3:F3"/>
    <mergeCell ref="A4:D4"/>
    <mergeCell ref="E4:F4"/>
    <mergeCell ref="A6:A7"/>
    <mergeCell ref="B6:B7"/>
    <mergeCell ref="C6:C7"/>
    <mergeCell ref="D6:D7"/>
    <mergeCell ref="E6:E7"/>
    <mergeCell ref="A5:C5"/>
  </mergeCells>
  <printOptions horizontalCentered="1"/>
  <pageMargins left="0.70866141732283472" right="0.70866141732283472" top="1.3385826771653544" bottom="0.74803149606299213" header="0.31496062992125984" footer="0.31496062992125984"/>
  <pageSetup paperSize="9" scale="68" fitToHeight="0" orientation="landscape" r:id="rId1"/>
  <headerFooter>
    <oddHeader>&amp;L                    
&amp;G&amp;C&amp;"-,Negrito"&amp;14
SECRETARIA MUNICIPAL DA EDUCAÇÃO
PREFEITURA DO MUNICÍPIO DE LAGES&amp;R&amp;G</oddHeader>
    <oddFooter>&amp;CCOBERTURA QUADRA DOM DANIEL HOSTIN
&amp;R&amp;P/&amp;N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1"/>
  <sheetViews>
    <sheetView view="pageLayout" zoomScaleNormal="100" workbookViewId="0">
      <selection activeCell="C10" sqref="C10"/>
    </sheetView>
  </sheetViews>
  <sheetFormatPr defaultColWidth="9.140625" defaultRowHeight="11.25" x14ac:dyDescent="0.2"/>
  <cols>
    <col min="1" max="1" width="3.85546875" style="8" customWidth="1"/>
    <col min="2" max="2" width="37.28515625" style="9" customWidth="1"/>
    <col min="3" max="3" width="14.28515625" style="10" customWidth="1"/>
    <col min="4" max="4" width="10.28515625" style="8" customWidth="1"/>
    <col min="5" max="5" width="13.7109375" style="11" customWidth="1"/>
    <col min="6" max="6" width="7.140625" style="11" customWidth="1"/>
    <col min="7" max="7" width="14.140625" style="2" customWidth="1"/>
    <col min="8" max="8" width="9.7109375" style="2" customWidth="1"/>
    <col min="9" max="9" width="14.5703125" style="2" customWidth="1"/>
    <col min="10" max="10" width="7" style="2" customWidth="1"/>
    <col min="11" max="11" width="13.85546875" style="2" customWidth="1"/>
    <col min="12" max="12" width="7" style="2" customWidth="1"/>
    <col min="13" max="13" width="12.7109375" style="2" bestFit="1" customWidth="1"/>
    <col min="14" max="14" width="7" style="2" customWidth="1"/>
    <col min="15" max="15" width="14.42578125" style="2" customWidth="1"/>
    <col min="16" max="16" width="8.7109375" style="2" customWidth="1"/>
    <col min="17" max="17" width="16" style="2" customWidth="1"/>
    <col min="18" max="18" width="10" style="2" bestFit="1" customWidth="1"/>
    <col min="19" max="20" width="9.140625" style="2"/>
    <col min="21" max="21" width="21" style="2" customWidth="1"/>
    <col min="22" max="16384" width="9.140625" style="2"/>
  </cols>
  <sheetData>
    <row r="1" spans="1:15" ht="20.25" x14ac:dyDescent="0.2">
      <c r="A1" s="295" t="s">
        <v>4</v>
      </c>
      <c r="B1" s="295"/>
      <c r="C1" s="295"/>
      <c r="D1" s="295"/>
      <c r="E1" s="295"/>
      <c r="F1" s="295"/>
      <c r="G1" s="295"/>
      <c r="H1" s="295"/>
      <c r="I1" s="295"/>
      <c r="J1" s="295"/>
      <c r="K1" s="295"/>
      <c r="L1" s="295"/>
      <c r="M1" s="295"/>
      <c r="N1" s="295"/>
      <c r="O1" s="295"/>
    </row>
    <row r="2" spans="1:15" ht="29.25" customHeight="1" x14ac:dyDescent="0.2">
      <c r="A2" s="340" t="s">
        <v>303</v>
      </c>
      <c r="B2" s="340"/>
      <c r="C2" s="340"/>
      <c r="D2" s="340"/>
      <c r="E2" s="340"/>
      <c r="F2" s="342" t="s">
        <v>15</v>
      </c>
      <c r="G2" s="342"/>
      <c r="H2" s="342" t="s">
        <v>16</v>
      </c>
      <c r="I2" s="342"/>
      <c r="J2" s="344" t="s">
        <v>17</v>
      </c>
      <c r="K2" s="344"/>
      <c r="L2" s="344"/>
      <c r="M2" s="344"/>
      <c r="N2" s="344"/>
      <c r="O2" s="344"/>
    </row>
    <row r="3" spans="1:15" ht="15" customHeight="1" x14ac:dyDescent="0.2">
      <c r="A3" s="341" t="s">
        <v>237</v>
      </c>
      <c r="B3" s="341"/>
      <c r="C3" s="341"/>
      <c r="D3" s="341"/>
      <c r="E3" s="341"/>
      <c r="F3" s="343">
        <v>0.27650000000000002</v>
      </c>
      <c r="G3" s="343"/>
      <c r="H3" s="350">
        <f ca="1">TODAY()</f>
        <v>45404</v>
      </c>
      <c r="I3" s="350"/>
      <c r="J3" s="349">
        <f>C19</f>
        <v>597134.16042989993</v>
      </c>
      <c r="K3" s="349"/>
      <c r="L3" s="349"/>
      <c r="M3" s="349"/>
      <c r="N3" s="349"/>
      <c r="O3" s="349"/>
    </row>
    <row r="4" spans="1:15" ht="15" customHeight="1" x14ac:dyDescent="0.2">
      <c r="A4" s="341" t="s">
        <v>239</v>
      </c>
      <c r="B4" s="341"/>
      <c r="C4" s="341"/>
      <c r="D4" s="341"/>
      <c r="E4" s="341"/>
      <c r="F4" s="344">
        <v>1.2765</v>
      </c>
      <c r="G4" s="344"/>
      <c r="H4" s="350"/>
      <c r="I4" s="350"/>
      <c r="J4" s="349"/>
      <c r="K4" s="349"/>
      <c r="L4" s="349"/>
      <c r="M4" s="349"/>
      <c r="N4" s="349"/>
      <c r="O4" s="349"/>
    </row>
    <row r="5" spans="1:15" ht="15" customHeight="1" x14ac:dyDescent="0.2">
      <c r="A5" s="345" t="s">
        <v>333</v>
      </c>
      <c r="B5" s="346"/>
      <c r="C5" s="345" t="s">
        <v>334</v>
      </c>
      <c r="D5" s="347"/>
      <c r="E5" s="347"/>
      <c r="F5" s="346"/>
      <c r="G5" s="259"/>
      <c r="H5" s="261"/>
      <c r="I5" s="261"/>
      <c r="J5" s="260"/>
      <c r="K5" s="260"/>
      <c r="L5" s="262"/>
      <c r="M5" s="263"/>
      <c r="N5" s="262"/>
      <c r="O5" s="263"/>
    </row>
    <row r="6" spans="1:15" ht="12" x14ac:dyDescent="0.2">
      <c r="A6" s="339" t="s">
        <v>0</v>
      </c>
      <c r="B6" s="339"/>
      <c r="C6" s="348" t="s">
        <v>5</v>
      </c>
      <c r="D6" s="339" t="s">
        <v>6</v>
      </c>
      <c r="E6" s="339"/>
      <c r="F6" s="339" t="s">
        <v>7</v>
      </c>
      <c r="G6" s="339"/>
      <c r="H6" s="339" t="s">
        <v>8</v>
      </c>
      <c r="I6" s="339"/>
      <c r="J6" s="339" t="s">
        <v>198</v>
      </c>
      <c r="K6" s="339"/>
      <c r="L6" s="337" t="s">
        <v>199</v>
      </c>
      <c r="M6" s="338"/>
      <c r="N6" s="337" t="s">
        <v>279</v>
      </c>
      <c r="O6" s="338"/>
    </row>
    <row r="7" spans="1:15" ht="12" x14ac:dyDescent="0.2">
      <c r="A7" s="339"/>
      <c r="B7" s="339"/>
      <c r="C7" s="348"/>
      <c r="D7" s="4" t="s">
        <v>9</v>
      </c>
      <c r="E7" s="4" t="s">
        <v>10</v>
      </c>
      <c r="F7" s="4" t="s">
        <v>9</v>
      </c>
      <c r="G7" s="4" t="s">
        <v>10</v>
      </c>
      <c r="H7" s="4" t="s">
        <v>9</v>
      </c>
      <c r="I7" s="4" t="s">
        <v>10</v>
      </c>
      <c r="J7" s="4" t="s">
        <v>9</v>
      </c>
      <c r="K7" s="4" t="s">
        <v>10</v>
      </c>
      <c r="L7" s="4" t="s">
        <v>9</v>
      </c>
      <c r="M7" s="202" t="s">
        <v>10</v>
      </c>
      <c r="N7" s="202"/>
      <c r="O7" s="4" t="s">
        <v>10</v>
      </c>
    </row>
    <row r="8" spans="1:15" ht="12" x14ac:dyDescent="0.2">
      <c r="A8" s="4">
        <v>1</v>
      </c>
      <c r="B8" s="18" t="str">
        <f>'ORÇAMENTO EMEB DOM DANIEL'!D8</f>
        <v>SERVIÇOS PRELIMINARES</v>
      </c>
      <c r="C8" s="15">
        <f>'ORÇAMENTO EMEB DOM DANIEL'!J19</f>
        <v>25746.271012499994</v>
      </c>
      <c r="D8" s="16">
        <v>1</v>
      </c>
      <c r="E8" s="17">
        <f>D8*C8</f>
        <v>25746.271012499994</v>
      </c>
      <c r="F8" s="16">
        <v>0</v>
      </c>
      <c r="G8" s="17">
        <f>F8*C8</f>
        <v>0</v>
      </c>
      <c r="H8" s="16">
        <v>0</v>
      </c>
      <c r="I8" s="17">
        <f>H8*C8</f>
        <v>0</v>
      </c>
      <c r="J8" s="16">
        <v>0</v>
      </c>
      <c r="K8" s="17">
        <f>J8*C8</f>
        <v>0</v>
      </c>
      <c r="L8" s="16">
        <v>0</v>
      </c>
      <c r="M8" s="17">
        <f t="shared" ref="M8:M18" si="0">L8*C8</f>
        <v>0</v>
      </c>
      <c r="N8" s="16">
        <v>0</v>
      </c>
      <c r="O8" s="17">
        <f>N8*C8</f>
        <v>0</v>
      </c>
    </row>
    <row r="9" spans="1:15" ht="12" x14ac:dyDescent="0.2">
      <c r="A9" s="4">
        <v>2</v>
      </c>
      <c r="B9" s="185" t="str">
        <f>'ORÇAMENTO EMEB DOM DANIEL'!D21</f>
        <v>MOVIMENTAÇÃO DE TERRAS E TRANSPORTE</v>
      </c>
      <c r="C9" s="15">
        <f>'ORÇAMENTO EMEB DOM DANIEL'!J25</f>
        <v>3401.2406325000002</v>
      </c>
      <c r="D9" s="16">
        <v>0.3</v>
      </c>
      <c r="E9" s="17">
        <f>D9*C9</f>
        <v>1020.37218975</v>
      </c>
      <c r="F9" s="16">
        <v>0.3</v>
      </c>
      <c r="G9" s="17">
        <f t="shared" ref="G9:G15" si="1">F9*C9</f>
        <v>1020.37218975</v>
      </c>
      <c r="H9" s="16">
        <v>0.2</v>
      </c>
      <c r="I9" s="17">
        <f t="shared" ref="I9:I17" si="2">H9*C9</f>
        <v>680.24812650000013</v>
      </c>
      <c r="J9" s="16">
        <v>0.2</v>
      </c>
      <c r="K9" s="17">
        <f t="shared" ref="K9:K17" si="3">J9*C9</f>
        <v>680.24812650000013</v>
      </c>
      <c r="L9" s="16">
        <v>0</v>
      </c>
      <c r="M9" s="17">
        <f t="shared" si="0"/>
        <v>0</v>
      </c>
      <c r="N9" s="16">
        <v>0</v>
      </c>
      <c r="O9" s="17">
        <f>N9*C9</f>
        <v>0</v>
      </c>
    </row>
    <row r="10" spans="1:15" ht="13.5" customHeight="1" x14ac:dyDescent="0.2">
      <c r="A10" s="4">
        <v>3</v>
      </c>
      <c r="B10" s="5" t="str">
        <f>'ORÇAMENTO EMEB DOM DANIEL'!D27</f>
        <v>SERVIÇOS EM CONCRETO ARMADO</v>
      </c>
      <c r="C10" s="15">
        <f>'ORÇAMENTO EMEB DOM DANIEL'!J33</f>
        <v>38799.162865800005</v>
      </c>
      <c r="D10" s="16">
        <v>0.15</v>
      </c>
      <c r="E10" s="17">
        <f t="shared" ref="E10:E15" si="4">D10*C10</f>
        <v>5819.8744298700003</v>
      </c>
      <c r="F10" s="16">
        <v>0.2</v>
      </c>
      <c r="G10" s="17">
        <f t="shared" si="1"/>
        <v>7759.8325731600016</v>
      </c>
      <c r="H10" s="16">
        <v>0.1</v>
      </c>
      <c r="I10" s="17">
        <f t="shared" si="2"/>
        <v>3879.9162865800008</v>
      </c>
      <c r="J10" s="16">
        <v>0.15</v>
      </c>
      <c r="K10" s="17">
        <f t="shared" si="3"/>
        <v>5819.8744298700003</v>
      </c>
      <c r="L10" s="16">
        <v>0.3</v>
      </c>
      <c r="M10" s="17">
        <f t="shared" si="0"/>
        <v>11639.748859740001</v>
      </c>
      <c r="N10" s="16">
        <v>0.1</v>
      </c>
      <c r="O10" s="17">
        <f>N10*C10</f>
        <v>3879.9162865800008</v>
      </c>
    </row>
    <row r="11" spans="1:15" ht="12" x14ac:dyDescent="0.2">
      <c r="A11" s="4">
        <v>4</v>
      </c>
      <c r="B11" s="185" t="str">
        <f>'ORÇAMENTO EMEB DOM DANIEL'!D35</f>
        <v>SERVIÇOS EM ESTRUTURA METÁLICA</v>
      </c>
      <c r="C11" s="15">
        <f>'ORÇAMENTO EMEB DOM DANIEL'!J41</f>
        <v>314046.43198499997</v>
      </c>
      <c r="D11" s="16">
        <v>0</v>
      </c>
      <c r="E11" s="17">
        <f t="shared" si="4"/>
        <v>0</v>
      </c>
      <c r="F11" s="16">
        <v>0.3</v>
      </c>
      <c r="G11" s="17">
        <f t="shared" si="1"/>
        <v>94213.929595499983</v>
      </c>
      <c r="H11" s="16">
        <v>0.3</v>
      </c>
      <c r="I11" s="17">
        <f t="shared" si="2"/>
        <v>94213.929595499983</v>
      </c>
      <c r="J11" s="16">
        <v>0.3</v>
      </c>
      <c r="K11" s="17">
        <f t="shared" si="3"/>
        <v>94213.929595499983</v>
      </c>
      <c r="L11" s="16">
        <v>0.1</v>
      </c>
      <c r="M11" s="17">
        <f t="shared" si="0"/>
        <v>31404.643198499998</v>
      </c>
      <c r="N11" s="16">
        <v>0</v>
      </c>
      <c r="O11" s="17">
        <f t="shared" ref="O11:O18" si="5">N11*C11</f>
        <v>0</v>
      </c>
    </row>
    <row r="12" spans="1:15" ht="14.25" customHeight="1" x14ac:dyDescent="0.2">
      <c r="A12" s="4">
        <v>5</v>
      </c>
      <c r="B12" s="5" t="str">
        <f>'ORÇAMENTO EMEB DOM DANIEL'!D43</f>
        <v>PINTURA E ACABAMENTOS</v>
      </c>
      <c r="C12" s="15">
        <f>'ORÇAMENTO EMEB DOM DANIEL'!J49</f>
        <v>40763.2855881</v>
      </c>
      <c r="D12" s="16">
        <v>0</v>
      </c>
      <c r="E12" s="17">
        <f t="shared" si="4"/>
        <v>0</v>
      </c>
      <c r="F12" s="16">
        <v>0</v>
      </c>
      <c r="G12" s="17">
        <f t="shared" si="1"/>
        <v>0</v>
      </c>
      <c r="H12" s="16">
        <v>0.2</v>
      </c>
      <c r="I12" s="17">
        <f t="shared" si="2"/>
        <v>8152.6571176200005</v>
      </c>
      <c r="J12" s="16">
        <v>0.2</v>
      </c>
      <c r="K12" s="17">
        <f t="shared" si="3"/>
        <v>8152.6571176200005</v>
      </c>
      <c r="L12" s="16">
        <v>0.3</v>
      </c>
      <c r="M12" s="17">
        <f t="shared" si="0"/>
        <v>12228.98567643</v>
      </c>
      <c r="N12" s="16">
        <v>0.3</v>
      </c>
      <c r="O12" s="17">
        <f t="shared" si="5"/>
        <v>12228.98567643</v>
      </c>
    </row>
    <row r="13" spans="1:15" ht="12" x14ac:dyDescent="0.2">
      <c r="A13" s="4">
        <v>6</v>
      </c>
      <c r="B13" s="185" t="str">
        <f>'ORÇAMENTO EMEB DOM DANIEL'!D51</f>
        <v>PISOS</v>
      </c>
      <c r="C13" s="15">
        <f>'ORÇAMENTO EMEB DOM DANIEL'!J55</f>
        <v>50684.521099199992</v>
      </c>
      <c r="D13" s="16">
        <v>0</v>
      </c>
      <c r="E13" s="17">
        <f t="shared" si="4"/>
        <v>0</v>
      </c>
      <c r="F13" s="16">
        <v>0</v>
      </c>
      <c r="G13" s="17">
        <f t="shared" si="1"/>
        <v>0</v>
      </c>
      <c r="H13" s="16">
        <v>0.3</v>
      </c>
      <c r="I13" s="17">
        <f t="shared" si="2"/>
        <v>15205.356329759998</v>
      </c>
      <c r="J13" s="16">
        <v>0.3</v>
      </c>
      <c r="K13" s="17">
        <f t="shared" si="3"/>
        <v>15205.356329759998</v>
      </c>
      <c r="L13" s="16">
        <v>0.3</v>
      </c>
      <c r="M13" s="17">
        <f t="shared" si="0"/>
        <v>15205.356329759998</v>
      </c>
      <c r="N13" s="16">
        <v>0.1</v>
      </c>
      <c r="O13" s="17">
        <f t="shared" si="5"/>
        <v>5068.4521099199992</v>
      </c>
    </row>
    <row r="14" spans="1:15" ht="12" customHeight="1" x14ac:dyDescent="0.2">
      <c r="A14" s="4">
        <v>7</v>
      </c>
      <c r="B14" s="185" t="str">
        <f>'ORÇAMENTO EMEB DOM DANIEL'!D57</f>
        <v>DRENAGEM DE ÁGUAS PLUVIAIS E ACESSÓRIOS</v>
      </c>
      <c r="C14" s="15">
        <f>'ORÇAMENTO EMEB DOM DANIEL'!J64</f>
        <v>19410.995129999999</v>
      </c>
      <c r="D14" s="16">
        <v>0</v>
      </c>
      <c r="E14" s="17">
        <f t="shared" si="4"/>
        <v>0</v>
      </c>
      <c r="F14" s="16">
        <v>0</v>
      </c>
      <c r="G14" s="17">
        <f t="shared" si="1"/>
        <v>0</v>
      </c>
      <c r="H14" s="16">
        <v>0.2</v>
      </c>
      <c r="I14" s="17">
        <f t="shared" si="2"/>
        <v>3882.1990260000002</v>
      </c>
      <c r="J14" s="16">
        <v>0.3</v>
      </c>
      <c r="K14" s="17">
        <f t="shared" si="3"/>
        <v>5823.2985389999994</v>
      </c>
      <c r="L14" s="16">
        <v>0.3</v>
      </c>
      <c r="M14" s="17">
        <f t="shared" si="0"/>
        <v>5823.2985389999994</v>
      </c>
      <c r="N14" s="16">
        <v>0.2</v>
      </c>
      <c r="O14" s="17">
        <f>N14*C14</f>
        <v>3882.1990260000002</v>
      </c>
    </row>
    <row r="15" spans="1:15" ht="12" x14ac:dyDescent="0.2">
      <c r="A15" s="4">
        <v>8</v>
      </c>
      <c r="B15" s="185" t="str">
        <f>'ORÇAMENTO EMEB DOM DANIEL'!D66</f>
        <v>ELÉTRICA</v>
      </c>
      <c r="C15" s="15">
        <f>'ORÇAMENTO EMEB DOM DANIEL'!J77</f>
        <v>17534.769899999999</v>
      </c>
      <c r="D15" s="16">
        <v>0</v>
      </c>
      <c r="E15" s="17">
        <f t="shared" si="4"/>
        <v>0</v>
      </c>
      <c r="F15" s="16">
        <v>0</v>
      </c>
      <c r="G15" s="17">
        <f t="shared" si="1"/>
        <v>0</v>
      </c>
      <c r="H15" s="16">
        <v>0.2</v>
      </c>
      <c r="I15" s="17">
        <f t="shared" si="2"/>
        <v>3506.9539800000002</v>
      </c>
      <c r="J15" s="16">
        <v>0.5</v>
      </c>
      <c r="K15" s="17">
        <f t="shared" si="3"/>
        <v>8767.3849499999997</v>
      </c>
      <c r="L15" s="16">
        <v>0.15</v>
      </c>
      <c r="M15" s="17">
        <f t="shared" si="0"/>
        <v>2630.2154849999997</v>
      </c>
      <c r="N15" s="16">
        <v>0.15</v>
      </c>
      <c r="O15" s="17">
        <f t="shared" si="5"/>
        <v>2630.2154849999997</v>
      </c>
    </row>
    <row r="16" spans="1:15" ht="36.75" customHeight="1" x14ac:dyDescent="0.2">
      <c r="A16" s="4">
        <v>9</v>
      </c>
      <c r="B16" s="18" t="str">
        <f>'ORÇAMENTO EMEB DOM DANIEL'!D79</f>
        <v>SISTEMA DE PROTEÇÃO CONTRA DESCARGAS ATMOSFÉRICAS (SPDA)</v>
      </c>
      <c r="C16" s="15">
        <f>'ORÇAMENTO EMEB DOM DANIEL'!J86</f>
        <v>15083.532479999998</v>
      </c>
      <c r="D16" s="16">
        <v>0.2</v>
      </c>
      <c r="E16" s="17">
        <f t="shared" ref="E16" si="6">D16*C16</f>
        <v>3016.7064959999998</v>
      </c>
      <c r="F16" s="16">
        <v>0.2</v>
      </c>
      <c r="G16" s="17">
        <f t="shared" ref="G16" si="7">F16*C16</f>
        <v>3016.7064959999998</v>
      </c>
      <c r="H16" s="16">
        <v>0.2</v>
      </c>
      <c r="I16" s="17">
        <f t="shared" si="2"/>
        <v>3016.7064959999998</v>
      </c>
      <c r="J16" s="16">
        <v>0.2</v>
      </c>
      <c r="K16" s="17">
        <f t="shared" si="3"/>
        <v>3016.7064959999998</v>
      </c>
      <c r="L16" s="16">
        <v>0.1</v>
      </c>
      <c r="M16" s="17">
        <f t="shared" si="0"/>
        <v>1508.3532479999999</v>
      </c>
      <c r="N16" s="16">
        <v>0.1</v>
      </c>
      <c r="O16" s="17">
        <f>N16*C16</f>
        <v>1508.3532479999999</v>
      </c>
    </row>
    <row r="17" spans="1:24" ht="12" x14ac:dyDescent="0.2">
      <c r="A17" s="4">
        <v>10</v>
      </c>
      <c r="B17" s="203" t="s">
        <v>293</v>
      </c>
      <c r="C17" s="15">
        <f>'ORÇAMENTO EMEB DOM DANIEL'!J94</f>
        <v>24978.872656800002</v>
      </c>
      <c r="D17" s="16">
        <v>0.2</v>
      </c>
      <c r="E17" s="17">
        <f t="shared" ref="E17" si="8">D17*C17</f>
        <v>4995.7745313600008</v>
      </c>
      <c r="F17" s="16">
        <v>0.6</v>
      </c>
      <c r="G17" s="17">
        <f>F17*C17</f>
        <v>14987.32359408</v>
      </c>
      <c r="H17" s="16">
        <v>0.2</v>
      </c>
      <c r="I17" s="17">
        <f t="shared" si="2"/>
        <v>4995.7745313600008</v>
      </c>
      <c r="J17" s="16">
        <v>0</v>
      </c>
      <c r="K17" s="17">
        <f t="shared" si="3"/>
        <v>0</v>
      </c>
      <c r="L17" s="16">
        <v>0</v>
      </c>
      <c r="M17" s="17">
        <f t="shared" si="0"/>
        <v>0</v>
      </c>
      <c r="N17" s="16">
        <v>0</v>
      </c>
      <c r="O17" s="17">
        <f t="shared" si="5"/>
        <v>0</v>
      </c>
    </row>
    <row r="18" spans="1:24" ht="12" x14ac:dyDescent="0.2">
      <c r="A18" s="202">
        <v>11</v>
      </c>
      <c r="B18" s="185" t="str">
        <f>'ORÇAMENTO EMEB DOM DANIEL'!D97</f>
        <v>SERVIÇOS DIVERSOS</v>
      </c>
      <c r="C18" s="15">
        <f>'ORÇAMENTO EMEB DOM DANIEL'!J106</f>
        <v>46685.077079999988</v>
      </c>
      <c r="D18" s="16">
        <v>0</v>
      </c>
      <c r="E18" s="17">
        <f t="shared" ref="E18" si="9">D18*C18</f>
        <v>0</v>
      </c>
      <c r="F18" s="16">
        <v>0</v>
      </c>
      <c r="G18" s="17">
        <f t="shared" ref="G18" si="10">F18*C18</f>
        <v>0</v>
      </c>
      <c r="H18" s="16">
        <v>0</v>
      </c>
      <c r="I18" s="17">
        <f t="shared" ref="I18" si="11">H18*C18</f>
        <v>0</v>
      </c>
      <c r="J18" s="16">
        <v>0</v>
      </c>
      <c r="K18" s="17">
        <f t="shared" ref="K18" si="12">J18*C18</f>
        <v>0</v>
      </c>
      <c r="L18" s="16"/>
      <c r="M18" s="17">
        <f t="shared" si="0"/>
        <v>0</v>
      </c>
      <c r="N18" s="16">
        <v>1</v>
      </c>
      <c r="O18" s="17">
        <f t="shared" si="5"/>
        <v>46685.077079999988</v>
      </c>
    </row>
    <row r="19" spans="1:24" ht="12" x14ac:dyDescent="0.2">
      <c r="A19" s="339" t="s">
        <v>234</v>
      </c>
      <c r="B19" s="339"/>
      <c r="C19" s="184">
        <f>SUM(C8:C18)</f>
        <v>597134.16042989993</v>
      </c>
      <c r="D19" s="182">
        <f>E19/C19</f>
        <v>6.7989743929992574E-2</v>
      </c>
      <c r="E19" s="181">
        <f>SUM(E8:E18)</f>
        <v>40598.998659479999</v>
      </c>
      <c r="F19" s="182">
        <f>G19/C19</f>
        <v>0.2026314561561488</v>
      </c>
      <c r="G19" s="181">
        <f>SUM(G8:G18)</f>
        <v>120998.16444848999</v>
      </c>
      <c r="H19" s="182">
        <f>I19/C19</f>
        <v>0.23032301717641498</v>
      </c>
      <c r="I19" s="181">
        <f>SUM(I8:I18)</f>
        <v>137533.74148931997</v>
      </c>
      <c r="J19" s="182">
        <f>K19/C19</f>
        <v>0.23726570170135544</v>
      </c>
      <c r="K19" s="181">
        <f>SUM(K8:K18)</f>
        <v>141679.45558424995</v>
      </c>
      <c r="L19" s="182">
        <f>M19/C19</f>
        <v>0.13471110290946625</v>
      </c>
      <c r="M19" s="181">
        <f>SUM(M8:M18)</f>
        <v>80440.601336429987</v>
      </c>
      <c r="N19" s="16">
        <f>O19/C19</f>
        <v>0.12707897812662192</v>
      </c>
      <c r="O19" s="17">
        <f>SUM(O8:O18)</f>
        <v>75883.198911929998</v>
      </c>
    </row>
    <row r="20" spans="1:24" ht="12" x14ac:dyDescent="0.2">
      <c r="A20" s="339"/>
      <c r="B20" s="339"/>
      <c r="C20" s="181" t="s">
        <v>11</v>
      </c>
      <c r="D20" s="182">
        <f>D19</f>
        <v>6.7989743929992574E-2</v>
      </c>
      <c r="E20" s="181">
        <f>E19</f>
        <v>40598.998659479999</v>
      </c>
      <c r="F20" s="182">
        <f>F19+D20</f>
        <v>0.27062120008614138</v>
      </c>
      <c r="G20" s="181">
        <f>E20+G19</f>
        <v>161597.16310796997</v>
      </c>
      <c r="H20" s="182">
        <f t="shared" ref="H20:N20" si="13">H19+F20</f>
        <v>0.50094421726255633</v>
      </c>
      <c r="I20" s="181">
        <f t="shared" si="13"/>
        <v>299130.90459728998</v>
      </c>
      <c r="J20" s="182">
        <f t="shared" si="13"/>
        <v>0.73820991896391175</v>
      </c>
      <c r="K20" s="181">
        <f>K19+I20</f>
        <v>440810.3601815399</v>
      </c>
      <c r="L20" s="182">
        <f>L19+J20</f>
        <v>0.87292102187337806</v>
      </c>
      <c r="M20" s="204">
        <f>K20+M19</f>
        <v>521250.9615179699</v>
      </c>
      <c r="N20" s="182">
        <f t="shared" si="13"/>
        <v>1</v>
      </c>
      <c r="O20" s="181">
        <f>O19+M20</f>
        <v>597134.16042989993</v>
      </c>
    </row>
    <row r="21" spans="1:24" ht="15.75" customHeight="1" thickBot="1" x14ac:dyDescent="0.25">
      <c r="A21" s="2"/>
      <c r="B21" s="2"/>
      <c r="C21" s="2"/>
      <c r="D21" s="2"/>
      <c r="E21" s="2"/>
      <c r="F21" s="2"/>
    </row>
    <row r="22" spans="1:24" ht="14.25" customHeight="1" x14ac:dyDescent="0.2">
      <c r="A22" s="279" t="s">
        <v>261</v>
      </c>
      <c r="B22" s="280"/>
      <c r="C22" s="280"/>
      <c r="D22" s="280"/>
      <c r="E22" s="280"/>
      <c r="F22" s="280"/>
      <c r="G22" s="280"/>
      <c r="H22" s="280"/>
      <c r="I22" s="280"/>
      <c r="J22" s="280"/>
      <c r="K22" s="280"/>
      <c r="L22" s="280"/>
      <c r="M22" s="280"/>
      <c r="N22" s="280"/>
      <c r="O22" s="281"/>
    </row>
    <row r="23" spans="1:24" ht="19.5" customHeight="1" x14ac:dyDescent="0.2">
      <c r="A23" s="282"/>
      <c r="B23" s="283"/>
      <c r="C23" s="283"/>
      <c r="D23" s="283"/>
      <c r="E23" s="283"/>
      <c r="F23" s="283"/>
      <c r="G23" s="283"/>
      <c r="H23" s="283"/>
      <c r="I23" s="283"/>
      <c r="J23" s="283"/>
      <c r="K23" s="283"/>
      <c r="L23" s="283"/>
      <c r="M23" s="283"/>
      <c r="N23" s="283"/>
      <c r="O23" s="284"/>
    </row>
    <row r="24" spans="1:24" s="3" customFormat="1" ht="15.75" customHeight="1" x14ac:dyDescent="0.2">
      <c r="A24" s="282" t="s">
        <v>232</v>
      </c>
      <c r="B24" s="283"/>
      <c r="C24" s="283"/>
      <c r="D24" s="283"/>
      <c r="E24" s="283"/>
      <c r="F24" s="283"/>
      <c r="G24" s="283"/>
      <c r="H24" s="283"/>
      <c r="I24" s="283"/>
      <c r="J24" s="283"/>
      <c r="K24" s="283"/>
      <c r="L24" s="283"/>
      <c r="M24" s="283"/>
      <c r="N24" s="283"/>
      <c r="O24" s="284"/>
      <c r="P24" s="2"/>
      <c r="Q24" s="2"/>
      <c r="R24" s="2"/>
      <c r="S24" s="2"/>
      <c r="T24" s="2"/>
      <c r="U24" s="2"/>
      <c r="V24" s="2"/>
      <c r="W24" s="2"/>
      <c r="X24" s="2"/>
    </row>
    <row r="25" spans="1:24" ht="12" customHeight="1" thickBot="1" x14ac:dyDescent="0.25">
      <c r="A25" s="285"/>
      <c r="B25" s="286"/>
      <c r="C25" s="286"/>
      <c r="D25" s="286"/>
      <c r="E25" s="286"/>
      <c r="F25" s="286"/>
      <c r="G25" s="286"/>
      <c r="H25" s="286"/>
      <c r="I25" s="286"/>
      <c r="J25" s="286"/>
      <c r="K25" s="286"/>
      <c r="L25" s="286"/>
      <c r="M25" s="286"/>
      <c r="N25" s="286"/>
      <c r="O25" s="287"/>
    </row>
    <row r="26" spans="1:24" ht="16.5" customHeight="1" x14ac:dyDescent="0.2">
      <c r="A26" s="2"/>
      <c r="B26" s="2"/>
      <c r="C26" s="2"/>
      <c r="D26" s="2"/>
      <c r="E26" s="2"/>
      <c r="F26" s="2"/>
    </row>
    <row r="27" spans="1:24" ht="16.5" customHeight="1" x14ac:dyDescent="0.2">
      <c r="A27" s="2"/>
      <c r="B27" s="2"/>
      <c r="C27" s="2"/>
      <c r="D27" s="2"/>
      <c r="E27" s="2"/>
      <c r="F27" s="2"/>
    </row>
    <row r="28" spans="1:24" ht="14.25" customHeight="1" x14ac:dyDescent="0.2">
      <c r="A28" s="2"/>
      <c r="B28" s="2"/>
      <c r="C28" s="2"/>
      <c r="D28" s="2"/>
      <c r="E28" s="2"/>
      <c r="F28" s="2"/>
    </row>
    <row r="29" spans="1:24" ht="16.5" customHeight="1" x14ac:dyDescent="0.2">
      <c r="A29" s="2"/>
      <c r="B29" s="6"/>
      <c r="C29" s="7"/>
      <c r="D29" s="2"/>
      <c r="E29" s="2"/>
      <c r="F29" s="2"/>
    </row>
    <row r="30" spans="1:24" ht="15.75" x14ac:dyDescent="0.25">
      <c r="A30" s="2"/>
      <c r="B30" s="2"/>
      <c r="C30" s="294" t="s">
        <v>226</v>
      </c>
      <c r="D30" s="294"/>
      <c r="E30"/>
      <c r="F30" s="294" t="s">
        <v>230</v>
      </c>
      <c r="G30" s="294"/>
      <c r="H30" s="294"/>
      <c r="I30" s="294"/>
    </row>
    <row r="31" spans="1:24" ht="15" x14ac:dyDescent="0.25">
      <c r="A31" s="2"/>
      <c r="B31" s="2"/>
      <c r="C31" s="278" t="s">
        <v>227</v>
      </c>
      <c r="D31" s="278"/>
      <c r="E31"/>
      <c r="F31" s="278" t="s">
        <v>278</v>
      </c>
      <c r="G31" s="278"/>
      <c r="H31" s="278"/>
      <c r="I31" s="278"/>
    </row>
    <row r="32" spans="1:24" ht="15" x14ac:dyDescent="0.25">
      <c r="A32" s="2"/>
      <c r="B32" s="2"/>
      <c r="C32" s="278" t="s">
        <v>228</v>
      </c>
      <c r="D32" s="278"/>
      <c r="E32"/>
      <c r="F32" s="278" t="s">
        <v>231</v>
      </c>
      <c r="G32" s="278"/>
      <c r="H32" s="278"/>
      <c r="I32" s="278"/>
    </row>
    <row r="33" spans="1:24" ht="15" customHeight="1" x14ac:dyDescent="0.25">
      <c r="A33" s="2"/>
      <c r="B33" s="2"/>
      <c r="C33" s="293" t="s">
        <v>229</v>
      </c>
      <c r="D33" s="293"/>
      <c r="E33"/>
      <c r="F33" s="293" t="s">
        <v>229</v>
      </c>
      <c r="G33" s="293"/>
      <c r="H33" s="293"/>
      <c r="I33" s="293"/>
    </row>
    <row r="34" spans="1:24" s="3" customFormat="1" x14ac:dyDescent="0.2">
      <c r="A34" s="2"/>
      <c r="B34" s="2"/>
      <c r="C34" s="2"/>
      <c r="D34" s="2"/>
      <c r="E34" s="2"/>
      <c r="F34" s="2"/>
      <c r="G34" s="2"/>
      <c r="H34" s="2"/>
      <c r="I34" s="2"/>
      <c r="J34" s="2"/>
      <c r="K34" s="2"/>
      <c r="L34" s="2"/>
      <c r="M34" s="2"/>
      <c r="N34" s="2"/>
      <c r="O34" s="2"/>
      <c r="P34" s="2"/>
      <c r="Q34" s="2"/>
      <c r="R34" s="2"/>
      <c r="S34" s="2"/>
      <c r="T34" s="2"/>
      <c r="U34" s="2"/>
      <c r="V34" s="2"/>
      <c r="W34" s="2"/>
      <c r="X34" s="2"/>
    </row>
    <row r="35" spans="1:24" x14ac:dyDescent="0.2">
      <c r="A35" s="2"/>
      <c r="B35" s="2"/>
      <c r="C35" s="2"/>
      <c r="D35" s="2"/>
      <c r="E35" s="2"/>
      <c r="F35" s="2"/>
    </row>
    <row r="36" spans="1:24" x14ac:dyDescent="0.2">
      <c r="A36" s="2"/>
      <c r="B36" s="2"/>
      <c r="C36" s="2"/>
      <c r="D36" s="2"/>
      <c r="E36" s="2"/>
      <c r="F36" s="2"/>
    </row>
    <row r="37" spans="1:24" x14ac:dyDescent="0.2">
      <c r="A37" s="2"/>
      <c r="B37" s="2"/>
      <c r="C37" s="2"/>
      <c r="D37" s="2"/>
      <c r="E37" s="2"/>
      <c r="F37" s="2"/>
    </row>
    <row r="38" spans="1:24" ht="11.25" customHeight="1" x14ac:dyDescent="0.2">
      <c r="A38" s="2"/>
      <c r="B38" s="2"/>
      <c r="C38" s="2"/>
      <c r="D38" s="2"/>
      <c r="E38" s="2"/>
      <c r="F38" s="2"/>
    </row>
    <row r="39" spans="1:24" x14ac:dyDescent="0.2">
      <c r="A39" s="2"/>
      <c r="B39" s="2"/>
      <c r="C39" s="2"/>
      <c r="D39" s="2"/>
      <c r="E39" s="2"/>
      <c r="F39" s="2"/>
    </row>
    <row r="40" spans="1:24" ht="13.5" customHeight="1" x14ac:dyDescent="0.2">
      <c r="A40" s="2"/>
      <c r="B40" s="2"/>
      <c r="C40" s="2"/>
      <c r="D40" s="2"/>
      <c r="E40" s="2"/>
      <c r="F40" s="2"/>
    </row>
    <row r="41" spans="1:24" x14ac:dyDescent="0.2">
      <c r="A41" s="2"/>
      <c r="B41" s="2"/>
      <c r="C41" s="2"/>
      <c r="D41" s="2"/>
      <c r="E41" s="2"/>
      <c r="F41" s="2"/>
    </row>
    <row r="42" spans="1:24" s="3" customFormat="1" x14ac:dyDescent="0.2">
      <c r="A42" s="2"/>
      <c r="B42" s="2"/>
      <c r="C42" s="2"/>
      <c r="D42" s="2"/>
      <c r="E42" s="2"/>
      <c r="F42" s="2"/>
      <c r="G42" s="2"/>
      <c r="H42" s="2"/>
      <c r="I42" s="2"/>
      <c r="J42" s="2"/>
      <c r="K42" s="2"/>
      <c r="L42" s="2"/>
      <c r="M42" s="2"/>
      <c r="N42" s="2"/>
      <c r="O42" s="2"/>
      <c r="P42" s="2"/>
      <c r="Q42" s="2"/>
      <c r="R42" s="2"/>
      <c r="S42" s="2"/>
      <c r="T42" s="2"/>
      <c r="U42" s="2"/>
      <c r="V42" s="2"/>
      <c r="W42" s="2"/>
      <c r="X42" s="2"/>
    </row>
    <row r="43" spans="1:24" x14ac:dyDescent="0.2">
      <c r="A43" s="2"/>
      <c r="B43" s="2"/>
      <c r="C43" s="2"/>
      <c r="D43" s="2"/>
      <c r="E43" s="2"/>
      <c r="F43" s="2"/>
    </row>
    <row r="44" spans="1:24" x14ac:dyDescent="0.2">
      <c r="A44" s="2"/>
      <c r="B44" s="2"/>
      <c r="C44" s="2"/>
      <c r="D44" s="2"/>
      <c r="E44" s="2"/>
      <c r="F44" s="2"/>
    </row>
    <row r="45" spans="1:24" x14ac:dyDescent="0.2">
      <c r="A45" s="2"/>
      <c r="B45" s="2"/>
      <c r="C45" s="2"/>
      <c r="D45" s="2"/>
      <c r="E45" s="2"/>
      <c r="F45" s="2"/>
    </row>
    <row r="46" spans="1:24" x14ac:dyDescent="0.2">
      <c r="A46" s="2"/>
      <c r="B46" s="2"/>
      <c r="C46" s="2"/>
      <c r="D46" s="2"/>
      <c r="E46" s="2"/>
      <c r="F46" s="2"/>
    </row>
    <row r="47" spans="1:24" x14ac:dyDescent="0.2">
      <c r="A47" s="2"/>
      <c r="B47" s="2"/>
      <c r="C47" s="2"/>
      <c r="D47" s="2"/>
      <c r="E47" s="2"/>
      <c r="F47" s="2"/>
    </row>
    <row r="48" spans="1:24" s="3" customFormat="1" x14ac:dyDescent="0.2">
      <c r="A48" s="2"/>
      <c r="B48" s="2"/>
      <c r="C48" s="2"/>
      <c r="D48" s="2"/>
      <c r="E48" s="2"/>
      <c r="F48" s="2"/>
      <c r="G48" s="2"/>
      <c r="H48" s="2"/>
      <c r="I48" s="2"/>
      <c r="J48" s="2"/>
      <c r="K48" s="2"/>
      <c r="L48" s="2"/>
      <c r="M48" s="2"/>
      <c r="N48" s="2"/>
      <c r="O48" s="2"/>
      <c r="P48" s="2"/>
      <c r="Q48" s="2"/>
      <c r="R48" s="2"/>
      <c r="S48" s="2"/>
      <c r="T48" s="2"/>
      <c r="U48" s="2"/>
      <c r="V48" s="2"/>
      <c r="W48" s="2"/>
      <c r="X48" s="2"/>
    </row>
    <row r="49" spans="1:6" x14ac:dyDescent="0.2">
      <c r="A49" s="2"/>
      <c r="B49" s="2"/>
      <c r="C49" s="2"/>
      <c r="D49" s="2"/>
      <c r="E49" s="2"/>
      <c r="F49" s="2"/>
    </row>
    <row r="50" spans="1:6" x14ac:dyDescent="0.2">
      <c r="A50" s="2"/>
      <c r="B50" s="2"/>
      <c r="C50" s="2"/>
      <c r="D50" s="2"/>
      <c r="E50" s="2"/>
      <c r="F50" s="2"/>
    </row>
    <row r="51" spans="1:6" x14ac:dyDescent="0.2">
      <c r="A51" s="2"/>
      <c r="B51" s="2"/>
      <c r="C51" s="2"/>
      <c r="D51" s="2"/>
      <c r="E51" s="2"/>
      <c r="F51" s="2"/>
    </row>
    <row r="52" spans="1:6" x14ac:dyDescent="0.2">
      <c r="A52" s="2"/>
      <c r="B52" s="2"/>
      <c r="C52" s="2"/>
      <c r="D52" s="2"/>
      <c r="E52" s="2"/>
      <c r="F52" s="2"/>
    </row>
    <row r="53" spans="1:6" x14ac:dyDescent="0.2">
      <c r="A53" s="2"/>
      <c r="B53" s="2"/>
      <c r="C53" s="2"/>
      <c r="D53" s="2"/>
      <c r="E53" s="2"/>
      <c r="F53" s="2"/>
    </row>
    <row r="54" spans="1:6" x14ac:dyDescent="0.2">
      <c r="A54" s="2"/>
      <c r="B54" s="2"/>
      <c r="C54" s="2"/>
      <c r="D54" s="2"/>
      <c r="E54" s="2"/>
      <c r="F54" s="2"/>
    </row>
    <row r="55" spans="1:6" x14ac:dyDescent="0.2">
      <c r="A55" s="2"/>
      <c r="B55" s="2"/>
      <c r="C55" s="2"/>
      <c r="D55" s="2"/>
      <c r="E55" s="2"/>
      <c r="F55" s="2"/>
    </row>
    <row r="56" spans="1:6" x14ac:dyDescent="0.2">
      <c r="A56" s="2"/>
      <c r="B56" s="2"/>
      <c r="C56" s="2"/>
      <c r="D56" s="2"/>
      <c r="E56" s="2"/>
      <c r="F56" s="2"/>
    </row>
    <row r="57" spans="1:6" x14ac:dyDescent="0.2">
      <c r="A57" s="2"/>
      <c r="B57" s="2"/>
      <c r="C57" s="2"/>
      <c r="D57" s="2"/>
      <c r="E57" s="2"/>
      <c r="F57" s="2"/>
    </row>
    <row r="58" spans="1:6" x14ac:dyDescent="0.2">
      <c r="A58" s="2"/>
      <c r="B58" s="2"/>
      <c r="C58" s="2"/>
      <c r="D58" s="2"/>
      <c r="E58" s="2"/>
      <c r="F58" s="2"/>
    </row>
    <row r="59" spans="1:6" ht="14.25" customHeight="1" x14ac:dyDescent="0.2"/>
    <row r="61" spans="1:6" ht="13.5" customHeight="1" x14ac:dyDescent="0.2"/>
    <row r="66" spans="1:30" ht="14.25" customHeight="1" x14ac:dyDescent="0.2">
      <c r="A66" s="2"/>
    </row>
    <row r="72" spans="1:30" s="8" customFormat="1" ht="36.75" customHeight="1" x14ac:dyDescent="0.2">
      <c r="B72" s="9"/>
      <c r="C72" s="10"/>
      <c r="E72" s="11"/>
      <c r="F72" s="11"/>
      <c r="G72" s="2"/>
      <c r="H72" s="2"/>
      <c r="I72" s="2"/>
      <c r="J72" s="2"/>
      <c r="K72" s="2"/>
      <c r="L72" s="2"/>
      <c r="M72" s="2"/>
      <c r="N72" s="2"/>
      <c r="O72" s="2"/>
      <c r="P72" s="2"/>
      <c r="Q72" s="2"/>
      <c r="R72" s="2"/>
      <c r="S72" s="2"/>
      <c r="T72" s="2"/>
      <c r="U72" s="2"/>
      <c r="V72" s="2"/>
      <c r="W72" s="2"/>
      <c r="X72" s="2"/>
      <c r="Y72" s="2"/>
      <c r="Z72" s="2"/>
      <c r="AA72" s="2"/>
      <c r="AB72" s="2"/>
      <c r="AC72" s="2"/>
      <c r="AD72" s="2"/>
    </row>
    <row r="73" spans="1:30" s="8" customFormat="1" ht="27" customHeight="1" x14ac:dyDescent="0.2">
      <c r="B73" s="9"/>
      <c r="C73" s="10"/>
      <c r="E73" s="11"/>
      <c r="F73" s="11"/>
      <c r="G73" s="2"/>
      <c r="H73" s="2"/>
      <c r="I73" s="2"/>
      <c r="J73" s="2"/>
      <c r="K73" s="2"/>
      <c r="L73" s="2"/>
      <c r="M73" s="2"/>
      <c r="N73" s="2"/>
      <c r="O73" s="2"/>
      <c r="P73" s="2"/>
      <c r="Q73" s="2"/>
      <c r="R73" s="2"/>
      <c r="S73" s="2"/>
      <c r="T73" s="2"/>
      <c r="U73" s="2"/>
      <c r="V73" s="2"/>
      <c r="W73" s="2"/>
      <c r="X73" s="2"/>
      <c r="Y73" s="2"/>
      <c r="Z73" s="2"/>
      <c r="AA73" s="2"/>
      <c r="AB73" s="2"/>
      <c r="AC73" s="2"/>
      <c r="AD73" s="2"/>
    </row>
    <row r="88" spans="1:30" ht="24.75" customHeight="1" x14ac:dyDescent="0.2">
      <c r="A88" s="2"/>
    </row>
    <row r="89" spans="1:30" ht="27.75" customHeight="1" x14ac:dyDescent="0.2"/>
    <row r="92" spans="1:30" ht="15.75" customHeight="1" x14ac:dyDescent="0.2"/>
    <row r="94" spans="1:30" s="3" customFormat="1" x14ac:dyDescent="0.2">
      <c r="A94" s="8"/>
      <c r="B94" s="9"/>
      <c r="C94" s="10"/>
      <c r="D94" s="8"/>
      <c r="E94" s="11"/>
      <c r="F94" s="11"/>
      <c r="G94" s="2"/>
      <c r="H94" s="2"/>
      <c r="I94" s="2"/>
      <c r="J94" s="2"/>
      <c r="K94" s="2"/>
      <c r="L94" s="2"/>
      <c r="M94" s="2"/>
      <c r="N94" s="2"/>
      <c r="O94" s="2"/>
      <c r="P94" s="2"/>
      <c r="Q94" s="2"/>
      <c r="R94" s="2"/>
      <c r="S94" s="2"/>
      <c r="T94" s="2"/>
      <c r="U94" s="2"/>
      <c r="V94" s="2"/>
      <c r="W94" s="2"/>
      <c r="X94" s="2"/>
      <c r="Y94" s="2"/>
      <c r="Z94" s="2"/>
      <c r="AA94" s="2"/>
      <c r="AB94" s="2"/>
      <c r="AC94" s="2"/>
      <c r="AD94" s="2"/>
    </row>
    <row r="95" spans="1:30" s="12" customFormat="1" x14ac:dyDescent="0.2">
      <c r="A95" s="8"/>
      <c r="B95" s="9"/>
      <c r="C95" s="10"/>
      <c r="D95" s="8"/>
      <c r="E95" s="11"/>
      <c r="F95" s="11"/>
      <c r="G95" s="2"/>
      <c r="H95" s="2"/>
      <c r="I95" s="2"/>
      <c r="J95" s="2"/>
      <c r="K95" s="2"/>
      <c r="L95" s="2"/>
      <c r="M95" s="2"/>
      <c r="N95" s="2"/>
      <c r="O95" s="2"/>
      <c r="P95" s="2"/>
      <c r="Q95" s="2"/>
      <c r="R95" s="2"/>
      <c r="S95" s="2"/>
      <c r="T95" s="2"/>
      <c r="U95" s="2"/>
      <c r="V95" s="2"/>
      <c r="W95" s="2"/>
      <c r="X95" s="2"/>
      <c r="Y95" s="2"/>
      <c r="Z95" s="2"/>
      <c r="AA95" s="2"/>
      <c r="AB95" s="2"/>
      <c r="AC95" s="2"/>
      <c r="AD95" s="2"/>
    </row>
    <row r="96" spans="1:30" s="12" customFormat="1" ht="11.25" customHeight="1" x14ac:dyDescent="0.2">
      <c r="A96" s="8"/>
      <c r="B96" s="9"/>
      <c r="C96" s="10"/>
      <c r="D96" s="8"/>
      <c r="E96" s="11"/>
      <c r="F96" s="11"/>
      <c r="G96" s="2"/>
      <c r="H96" s="2"/>
      <c r="I96" s="2"/>
      <c r="J96" s="2"/>
      <c r="K96" s="2"/>
      <c r="L96" s="2"/>
      <c r="M96" s="2"/>
      <c r="N96" s="2"/>
      <c r="O96" s="2"/>
      <c r="P96" s="2"/>
      <c r="Q96" s="2"/>
      <c r="R96" s="2"/>
      <c r="S96" s="2"/>
      <c r="T96" s="2"/>
      <c r="U96" s="2"/>
      <c r="V96" s="2"/>
      <c r="W96" s="2"/>
      <c r="X96" s="2"/>
      <c r="Y96" s="2"/>
      <c r="Z96" s="2"/>
      <c r="AA96" s="2"/>
      <c r="AB96" s="2"/>
      <c r="AC96" s="2"/>
      <c r="AD96" s="2"/>
    </row>
    <row r="97" spans="1:30" s="12" customFormat="1" x14ac:dyDescent="0.2">
      <c r="A97" s="8"/>
      <c r="B97" s="9"/>
      <c r="C97" s="10"/>
      <c r="D97" s="8"/>
      <c r="E97" s="11"/>
      <c r="F97" s="11"/>
      <c r="G97" s="2"/>
      <c r="H97" s="2"/>
      <c r="I97" s="2"/>
      <c r="J97" s="2"/>
      <c r="K97" s="2"/>
      <c r="L97" s="2"/>
      <c r="M97" s="2"/>
      <c r="N97" s="2"/>
      <c r="O97" s="2"/>
      <c r="P97" s="2"/>
      <c r="Q97" s="2"/>
      <c r="R97" s="2"/>
      <c r="S97" s="2"/>
      <c r="T97" s="2"/>
      <c r="U97" s="2"/>
      <c r="V97" s="2"/>
      <c r="W97" s="2"/>
      <c r="X97" s="2"/>
      <c r="Y97" s="2"/>
      <c r="Z97" s="2"/>
      <c r="AA97" s="2"/>
      <c r="AB97" s="2"/>
      <c r="AC97" s="2"/>
      <c r="AD97" s="2"/>
    </row>
    <row r="98" spans="1:30" s="12" customFormat="1" ht="24.75" customHeight="1" x14ac:dyDescent="0.2">
      <c r="A98" s="8"/>
      <c r="B98" s="9"/>
      <c r="C98" s="10"/>
      <c r="D98" s="8"/>
      <c r="E98" s="11"/>
      <c r="F98" s="11"/>
      <c r="G98" s="2"/>
      <c r="H98" s="2"/>
      <c r="I98" s="2"/>
      <c r="J98" s="2"/>
      <c r="K98" s="2"/>
      <c r="L98" s="2"/>
      <c r="M98" s="2"/>
      <c r="N98" s="2"/>
      <c r="O98" s="2"/>
      <c r="P98" s="2"/>
      <c r="Q98" s="2"/>
      <c r="R98" s="2"/>
      <c r="S98" s="2"/>
      <c r="T98" s="2"/>
      <c r="U98" s="2"/>
      <c r="V98" s="2"/>
      <c r="W98" s="2"/>
      <c r="X98" s="2"/>
      <c r="Y98" s="2"/>
      <c r="Z98" s="2"/>
      <c r="AA98" s="2"/>
      <c r="AB98" s="2"/>
      <c r="AC98" s="2"/>
      <c r="AD98" s="2"/>
    </row>
    <row r="99" spans="1:30" s="12" customFormat="1" x14ac:dyDescent="0.2">
      <c r="A99" s="8"/>
      <c r="B99" s="9"/>
      <c r="C99" s="10"/>
      <c r="D99" s="8"/>
      <c r="E99" s="11"/>
      <c r="F99" s="11"/>
      <c r="G99" s="2"/>
      <c r="H99" s="2"/>
      <c r="I99" s="2"/>
      <c r="J99" s="2"/>
      <c r="K99" s="2"/>
      <c r="L99" s="2"/>
      <c r="M99" s="2"/>
      <c r="N99" s="2"/>
      <c r="O99" s="2"/>
      <c r="P99" s="2"/>
      <c r="Q99" s="2"/>
      <c r="R99" s="2"/>
      <c r="S99" s="2"/>
      <c r="T99" s="2"/>
      <c r="U99" s="2"/>
      <c r="V99" s="2"/>
      <c r="W99" s="2"/>
      <c r="X99" s="2"/>
      <c r="Y99" s="2"/>
      <c r="Z99" s="2"/>
      <c r="AA99" s="2"/>
      <c r="AB99" s="2"/>
      <c r="AC99" s="2"/>
      <c r="AD99" s="2"/>
    </row>
    <row r="100" spans="1:30" s="12" customFormat="1" x14ac:dyDescent="0.2">
      <c r="A100" s="8"/>
      <c r="B100" s="9"/>
      <c r="C100" s="10"/>
      <c r="D100" s="8"/>
      <c r="E100" s="11"/>
      <c r="F100" s="11"/>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s="12" customFormat="1" x14ac:dyDescent="0.2">
      <c r="A101" s="8"/>
      <c r="B101" s="9"/>
      <c r="C101" s="10"/>
      <c r="D101" s="8"/>
      <c r="E101" s="11"/>
      <c r="F101" s="11"/>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s="12" customFormat="1" x14ac:dyDescent="0.2">
      <c r="A102" s="8"/>
      <c r="B102" s="9"/>
      <c r="C102" s="10"/>
      <c r="D102" s="8"/>
      <c r="E102" s="11"/>
      <c r="F102" s="11"/>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s="12" customFormat="1" x14ac:dyDescent="0.2">
      <c r="A103" s="8"/>
      <c r="B103" s="9"/>
      <c r="C103" s="10"/>
      <c r="D103" s="8"/>
      <c r="E103" s="11"/>
      <c r="F103" s="11"/>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s="12" customFormat="1" x14ac:dyDescent="0.2">
      <c r="A104" s="8"/>
      <c r="B104" s="9"/>
      <c r="C104" s="10"/>
      <c r="D104" s="8"/>
      <c r="E104" s="11"/>
      <c r="F104" s="11"/>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s="12" customFormat="1" ht="13.5" customHeight="1" x14ac:dyDescent="0.2">
      <c r="A105" s="8"/>
      <c r="B105" s="9"/>
      <c r="C105" s="10"/>
      <c r="D105" s="8"/>
      <c r="E105" s="11"/>
      <c r="F105" s="11"/>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s="12" customFormat="1" x14ac:dyDescent="0.2">
      <c r="A106" s="8"/>
      <c r="B106" s="9"/>
      <c r="C106" s="10"/>
      <c r="D106" s="8"/>
      <c r="E106" s="11"/>
      <c r="F106" s="11"/>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s="12" customFormat="1" x14ac:dyDescent="0.2">
      <c r="A107" s="8"/>
      <c r="B107" s="9"/>
      <c r="C107" s="10"/>
      <c r="D107" s="8"/>
      <c r="E107" s="11"/>
      <c r="F107" s="11"/>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s="12" customFormat="1" x14ac:dyDescent="0.2">
      <c r="A108" s="8"/>
      <c r="B108" s="9"/>
      <c r="C108" s="10"/>
      <c r="D108" s="8"/>
      <c r="E108" s="11"/>
      <c r="F108" s="11"/>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s="12" customFormat="1" x14ac:dyDescent="0.2">
      <c r="A109" s="8"/>
      <c r="B109" s="9"/>
      <c r="C109" s="10"/>
      <c r="D109" s="8"/>
      <c r="E109" s="11"/>
      <c r="F109" s="11"/>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s="12" customFormat="1" x14ac:dyDescent="0.2">
      <c r="A110" s="8"/>
      <c r="B110" s="9"/>
      <c r="C110" s="10"/>
      <c r="D110" s="8"/>
      <c r="E110" s="11"/>
      <c r="F110" s="11"/>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s="12" customFormat="1" x14ac:dyDescent="0.2">
      <c r="A111" s="8"/>
      <c r="B111" s="9"/>
      <c r="C111" s="10"/>
      <c r="D111" s="8"/>
      <c r="E111" s="11"/>
      <c r="F111" s="11"/>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s="12" customFormat="1" x14ac:dyDescent="0.2">
      <c r="A112" s="8"/>
      <c r="B112" s="9"/>
      <c r="C112" s="10"/>
      <c r="D112" s="8"/>
      <c r="E112" s="11"/>
      <c r="F112" s="11"/>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s="12" customFormat="1" x14ac:dyDescent="0.2">
      <c r="A113" s="8"/>
      <c r="B113" s="9"/>
      <c r="C113" s="10"/>
      <c r="D113" s="8"/>
      <c r="E113" s="11"/>
      <c r="F113" s="11"/>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s="12" customFormat="1" x14ac:dyDescent="0.2">
      <c r="A114" s="8"/>
      <c r="B114" s="9"/>
      <c r="C114" s="10"/>
      <c r="D114" s="8"/>
      <c r="E114" s="11"/>
      <c r="F114" s="11"/>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s="12" customFormat="1" ht="13.5" customHeight="1" x14ac:dyDescent="0.2">
      <c r="A115" s="8"/>
      <c r="B115" s="9"/>
      <c r="C115" s="10"/>
      <c r="D115" s="8"/>
      <c r="E115" s="11"/>
      <c r="F115" s="11"/>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s="13" customFormat="1" x14ac:dyDescent="0.2">
      <c r="A116" s="8"/>
      <c r="B116" s="9"/>
      <c r="C116" s="10"/>
      <c r="D116" s="8"/>
      <c r="E116" s="11"/>
      <c r="F116" s="11"/>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s="12" customFormat="1" x14ac:dyDescent="0.2">
      <c r="A117" s="8"/>
      <c r="B117" s="9"/>
      <c r="C117" s="10"/>
      <c r="D117" s="8"/>
      <c r="E117" s="11"/>
      <c r="F117" s="11"/>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s="12" customFormat="1" x14ac:dyDescent="0.2">
      <c r="A118" s="8"/>
      <c r="B118" s="9"/>
      <c r="C118" s="10"/>
      <c r="D118" s="8"/>
      <c r="E118" s="11"/>
      <c r="F118" s="11"/>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s="12" customFormat="1" x14ac:dyDescent="0.2">
      <c r="A119" s="8"/>
      <c r="B119" s="9"/>
      <c r="C119" s="10"/>
      <c r="D119" s="8"/>
      <c r="E119" s="11"/>
      <c r="F119" s="11"/>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s="12" customFormat="1" x14ac:dyDescent="0.2">
      <c r="A120" s="8"/>
      <c r="B120" s="9"/>
      <c r="C120" s="10"/>
      <c r="D120" s="8"/>
      <c r="E120" s="11"/>
      <c r="F120" s="11"/>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0" s="12" customFormat="1" x14ac:dyDescent="0.2">
      <c r="A121" s="8"/>
      <c r="B121" s="9"/>
      <c r="C121" s="10"/>
      <c r="D121" s="8"/>
      <c r="E121" s="11"/>
      <c r="F121" s="11"/>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s="12" customFormat="1" x14ac:dyDescent="0.2">
      <c r="A122" s="8"/>
      <c r="B122" s="9"/>
      <c r="C122" s="10"/>
      <c r="D122" s="8"/>
      <c r="E122" s="11"/>
      <c r="F122" s="11"/>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0" s="12" customFormat="1" x14ac:dyDescent="0.2">
      <c r="A123" s="8"/>
      <c r="B123" s="9"/>
      <c r="C123" s="10"/>
      <c r="D123" s="8"/>
      <c r="E123" s="11"/>
      <c r="F123" s="11"/>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0" s="12" customFormat="1" x14ac:dyDescent="0.2">
      <c r="A124" s="8"/>
      <c r="B124" s="9"/>
      <c r="C124" s="10"/>
      <c r="D124" s="8"/>
      <c r="E124" s="11"/>
      <c r="F124" s="11"/>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s="12" customFormat="1" x14ac:dyDescent="0.2">
      <c r="A125" s="8"/>
      <c r="B125" s="9"/>
      <c r="C125" s="10"/>
      <c r="D125" s="8"/>
      <c r="E125" s="11"/>
      <c r="F125" s="11"/>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0" s="12" customFormat="1" x14ac:dyDescent="0.2">
      <c r="A126" s="8"/>
      <c r="B126" s="9"/>
      <c r="C126" s="10"/>
      <c r="D126" s="8"/>
      <c r="E126" s="11"/>
      <c r="F126" s="11"/>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1:30" s="12" customFormat="1" x14ac:dyDescent="0.2">
      <c r="A127" s="8"/>
      <c r="B127" s="9"/>
      <c r="C127" s="10"/>
      <c r="D127" s="8"/>
      <c r="E127" s="11"/>
      <c r="F127" s="11"/>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0" s="12" customFormat="1" x14ac:dyDescent="0.2">
      <c r="A128" s="8"/>
      <c r="B128" s="9"/>
      <c r="C128" s="10"/>
      <c r="D128" s="8"/>
      <c r="E128" s="11"/>
      <c r="F128" s="11"/>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1:30" s="12" customFormat="1" x14ac:dyDescent="0.2">
      <c r="A129" s="8"/>
      <c r="B129" s="9"/>
      <c r="C129" s="10"/>
      <c r="D129" s="8"/>
      <c r="E129" s="11"/>
      <c r="F129" s="11"/>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0" s="12" customFormat="1" x14ac:dyDescent="0.2">
      <c r="A130" s="8"/>
      <c r="B130" s="9"/>
      <c r="C130" s="10"/>
      <c r="D130" s="8"/>
      <c r="E130" s="11"/>
      <c r="F130" s="11"/>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0" s="12" customFormat="1" x14ac:dyDescent="0.2">
      <c r="A131" s="8"/>
      <c r="B131" s="9"/>
      <c r="C131" s="10"/>
      <c r="D131" s="8"/>
      <c r="E131" s="11"/>
      <c r="F131" s="11"/>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s="12" customFormat="1" x14ac:dyDescent="0.2">
      <c r="A132" s="8"/>
      <c r="B132" s="9"/>
      <c r="C132" s="10"/>
      <c r="D132" s="8"/>
      <c r="E132" s="11"/>
      <c r="F132" s="11"/>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s="12" customFormat="1" x14ac:dyDescent="0.2">
      <c r="A133" s="8"/>
      <c r="B133" s="9"/>
      <c r="C133" s="10"/>
      <c r="D133" s="8"/>
      <c r="E133" s="11"/>
      <c r="F133" s="11"/>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0" s="12" customFormat="1" x14ac:dyDescent="0.2">
      <c r="A134" s="8"/>
      <c r="B134" s="9"/>
      <c r="C134" s="10"/>
      <c r="D134" s="8"/>
      <c r="E134" s="11"/>
      <c r="F134" s="11"/>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0" s="12" customFormat="1" x14ac:dyDescent="0.2">
      <c r="A135" s="8"/>
      <c r="B135" s="9"/>
      <c r="C135" s="10"/>
      <c r="D135" s="8"/>
      <c r="E135" s="11"/>
      <c r="F135" s="11"/>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30" s="12" customFormat="1" x14ac:dyDescent="0.2">
      <c r="A136" s="8"/>
      <c r="B136" s="9"/>
      <c r="C136" s="10"/>
      <c r="D136" s="8"/>
      <c r="E136" s="11"/>
      <c r="F136" s="11"/>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0" s="12" customFormat="1" x14ac:dyDescent="0.2">
      <c r="A137" s="8"/>
      <c r="B137" s="9"/>
      <c r="C137" s="10"/>
      <c r="D137" s="8"/>
      <c r="E137" s="11"/>
      <c r="F137" s="11"/>
      <c r="G137" s="2"/>
      <c r="H137" s="2"/>
      <c r="I137" s="2"/>
      <c r="J137" s="2"/>
      <c r="K137" s="2"/>
      <c r="L137" s="2"/>
      <c r="M137" s="2"/>
      <c r="N137" s="2"/>
      <c r="O137" s="2"/>
      <c r="P137" s="2"/>
      <c r="Q137" s="2"/>
      <c r="R137" s="2"/>
      <c r="S137" s="2"/>
      <c r="T137" s="2"/>
      <c r="U137" s="2"/>
      <c r="V137" s="2"/>
      <c r="W137" s="2"/>
      <c r="X137" s="2"/>
      <c r="Y137" s="2"/>
      <c r="Z137" s="2"/>
      <c r="AA137" s="2"/>
      <c r="AB137" s="2"/>
      <c r="AC137" s="2"/>
      <c r="AD137" s="2"/>
    </row>
    <row r="143" spans="1:30" s="3" customFormat="1" x14ac:dyDescent="0.2">
      <c r="A143" s="8"/>
      <c r="B143" s="9"/>
      <c r="C143" s="10"/>
      <c r="D143" s="8"/>
      <c r="E143" s="11"/>
      <c r="F143" s="11"/>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s="3" customFormat="1" x14ac:dyDescent="0.2">
      <c r="A144" s="8"/>
      <c r="B144" s="9"/>
      <c r="C144" s="10"/>
      <c r="D144" s="8"/>
      <c r="E144" s="11"/>
      <c r="F144" s="11"/>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1:30" s="3" customFormat="1" x14ac:dyDescent="0.2">
      <c r="A145" s="8"/>
      <c r="B145" s="9"/>
      <c r="C145" s="10"/>
      <c r="D145" s="8"/>
      <c r="E145" s="11"/>
      <c r="F145" s="11"/>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1:30" s="3" customFormat="1" x14ac:dyDescent="0.2">
      <c r="A146" s="8"/>
      <c r="B146" s="9"/>
      <c r="C146" s="10"/>
      <c r="D146" s="8"/>
      <c r="E146" s="11"/>
      <c r="F146" s="11"/>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1:30" s="3" customFormat="1" x14ac:dyDescent="0.2">
      <c r="A147" s="8"/>
      <c r="B147" s="9"/>
      <c r="C147" s="10"/>
      <c r="D147" s="8"/>
      <c r="E147" s="11"/>
      <c r="F147" s="11"/>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1:30" s="3" customFormat="1" x14ac:dyDescent="0.2">
      <c r="A148" s="8"/>
      <c r="B148" s="9"/>
      <c r="C148" s="10"/>
      <c r="D148" s="8"/>
      <c r="E148" s="11"/>
      <c r="F148" s="11"/>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1:30" s="3" customFormat="1" x14ac:dyDescent="0.2">
      <c r="A149" s="8"/>
      <c r="B149" s="9"/>
      <c r="C149" s="10"/>
      <c r="D149" s="8"/>
      <c r="E149" s="11"/>
      <c r="F149" s="11"/>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1:30" s="3" customFormat="1" x14ac:dyDescent="0.2">
      <c r="A150" s="8"/>
      <c r="B150" s="9"/>
      <c r="C150" s="10"/>
      <c r="D150" s="8"/>
      <c r="E150" s="11"/>
      <c r="F150" s="11"/>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1:30" s="3" customFormat="1" x14ac:dyDescent="0.2">
      <c r="A151" s="8"/>
      <c r="B151" s="9"/>
      <c r="C151" s="10"/>
      <c r="D151" s="8"/>
      <c r="E151" s="11"/>
      <c r="F151" s="11"/>
      <c r="G151" s="2"/>
      <c r="H151" s="2"/>
      <c r="I151" s="2"/>
      <c r="J151" s="2"/>
      <c r="K151" s="2"/>
      <c r="L151" s="2"/>
      <c r="M151" s="2"/>
      <c r="N151" s="2"/>
      <c r="O151" s="2"/>
      <c r="P151" s="2"/>
      <c r="Q151" s="2"/>
      <c r="R151" s="2"/>
      <c r="S151" s="2"/>
      <c r="T151" s="2"/>
      <c r="U151" s="2"/>
      <c r="V151" s="2"/>
      <c r="W151" s="2"/>
      <c r="X151" s="2"/>
      <c r="Y151" s="2"/>
      <c r="Z151" s="2"/>
      <c r="AA151" s="2"/>
      <c r="AB151" s="2"/>
      <c r="AC151" s="2"/>
      <c r="AD151" s="2"/>
    </row>
  </sheetData>
  <mergeCells count="32">
    <mergeCell ref="C31:D31"/>
    <mergeCell ref="F31:I31"/>
    <mergeCell ref="C32:D32"/>
    <mergeCell ref="F32:I32"/>
    <mergeCell ref="C33:D33"/>
    <mergeCell ref="F33:I33"/>
    <mergeCell ref="A22:O23"/>
    <mergeCell ref="A24:O25"/>
    <mergeCell ref="C30:D30"/>
    <mergeCell ref="F30:I30"/>
    <mergeCell ref="A1:O1"/>
    <mergeCell ref="A6:B7"/>
    <mergeCell ref="C6:C7"/>
    <mergeCell ref="D6:E6"/>
    <mergeCell ref="F6:G6"/>
    <mergeCell ref="A19:B20"/>
    <mergeCell ref="J6:K6"/>
    <mergeCell ref="J2:O2"/>
    <mergeCell ref="J3:O4"/>
    <mergeCell ref="H2:I2"/>
    <mergeCell ref="H3:I4"/>
    <mergeCell ref="L6:M6"/>
    <mergeCell ref="N6:O6"/>
    <mergeCell ref="H6:I6"/>
    <mergeCell ref="A2:E2"/>
    <mergeCell ref="A3:E3"/>
    <mergeCell ref="A4:E4"/>
    <mergeCell ref="F2:G2"/>
    <mergeCell ref="F3:G3"/>
    <mergeCell ref="F4:G4"/>
    <mergeCell ref="A5:B5"/>
    <mergeCell ref="C5:F5"/>
  </mergeCells>
  <printOptions horizontalCentered="1"/>
  <pageMargins left="0.23622047244094491" right="0.23622047244094491" top="1.7322834645669292" bottom="0.74803149606299213" header="0.31496062992125984" footer="0.31496062992125984"/>
  <pageSetup paperSize="9" scale="76" orientation="landscape" r:id="rId1"/>
  <headerFooter>
    <oddHeader>&amp;L
&amp;G&amp;C&amp;"-,Negrito"
PREFEITURA DE LAGES
SECRETARIA MUNICIPAL DA EDUCAÇÃO&amp;R&amp;G</oddHeader>
    <oddFooter>&amp;R&amp;N/&amp;P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1"/>
  <sheetViews>
    <sheetView view="pageLayout" topLeftCell="A3" zoomScaleNormal="100" workbookViewId="0">
      <selection sqref="A1:O1"/>
    </sheetView>
  </sheetViews>
  <sheetFormatPr defaultColWidth="9.140625" defaultRowHeight="11.25" x14ac:dyDescent="0.2"/>
  <cols>
    <col min="1" max="1" width="3.85546875" style="8" customWidth="1"/>
    <col min="2" max="2" width="37.28515625" style="9" customWidth="1"/>
    <col min="3" max="3" width="14.28515625" style="10" customWidth="1"/>
    <col min="4" max="4" width="10.28515625" style="8" customWidth="1"/>
    <col min="5" max="5" width="13.7109375" style="11" customWidth="1"/>
    <col min="6" max="6" width="7.140625" style="11" customWidth="1"/>
    <col min="7" max="7" width="14.140625" style="2" customWidth="1"/>
    <col min="8" max="8" width="9.7109375" style="2" customWidth="1"/>
    <col min="9" max="9" width="14.5703125" style="2" customWidth="1"/>
    <col min="10" max="10" width="7" style="2" customWidth="1"/>
    <col min="11" max="11" width="13.85546875" style="2" customWidth="1"/>
    <col min="12" max="12" width="7" style="2" customWidth="1"/>
    <col min="13" max="13" width="12.7109375" style="2" bestFit="1" customWidth="1"/>
    <col min="14" max="14" width="7" style="2" customWidth="1"/>
    <col min="15" max="15" width="14.42578125" style="2" customWidth="1"/>
    <col min="16" max="16" width="8.7109375" style="2" customWidth="1"/>
    <col min="17" max="17" width="16" style="2" customWidth="1"/>
    <col min="18" max="18" width="10" style="2" bestFit="1" customWidth="1"/>
    <col min="19" max="20" width="9.140625" style="2"/>
    <col min="21" max="21" width="21" style="2" customWidth="1"/>
    <col min="22" max="16384" width="9.140625" style="2"/>
  </cols>
  <sheetData>
    <row r="1" spans="1:15" ht="20.25" x14ac:dyDescent="0.2">
      <c r="A1" s="295" t="s">
        <v>290</v>
      </c>
      <c r="B1" s="295"/>
      <c r="C1" s="295"/>
      <c r="D1" s="295"/>
      <c r="E1" s="295"/>
      <c r="F1" s="295"/>
      <c r="G1" s="295"/>
      <c r="H1" s="295"/>
      <c r="I1" s="295"/>
      <c r="J1" s="295"/>
      <c r="K1" s="295"/>
      <c r="L1" s="295"/>
      <c r="M1" s="295"/>
      <c r="N1" s="295"/>
      <c r="O1" s="295"/>
    </row>
    <row r="2" spans="1:15" ht="31.5" customHeight="1" x14ac:dyDescent="0.2">
      <c r="A2" s="340" t="s">
        <v>303</v>
      </c>
      <c r="B2" s="340"/>
      <c r="C2" s="340"/>
      <c r="D2" s="340"/>
      <c r="E2" s="340"/>
      <c r="F2" s="342" t="s">
        <v>15</v>
      </c>
      <c r="G2" s="342"/>
      <c r="H2" s="342" t="s">
        <v>16</v>
      </c>
      <c r="I2" s="342"/>
      <c r="J2" s="344" t="s">
        <v>17</v>
      </c>
      <c r="K2" s="344"/>
      <c r="L2" s="344"/>
      <c r="M2" s="344"/>
      <c r="N2" s="344"/>
      <c r="O2" s="344"/>
    </row>
    <row r="3" spans="1:15" ht="15" customHeight="1" x14ac:dyDescent="0.2">
      <c r="A3" s="341" t="s">
        <v>237</v>
      </c>
      <c r="B3" s="341"/>
      <c r="C3" s="341"/>
      <c r="D3" s="341"/>
      <c r="E3" s="341"/>
      <c r="F3" s="343">
        <v>0.27650000000000002</v>
      </c>
      <c r="G3" s="343"/>
      <c r="H3" s="350">
        <f ca="1">TODAY()</f>
        <v>45404</v>
      </c>
      <c r="I3" s="350"/>
      <c r="J3" s="349">
        <f>C19</f>
        <v>597134.16042989993</v>
      </c>
      <c r="K3" s="349"/>
      <c r="L3" s="349"/>
      <c r="M3" s="349"/>
      <c r="N3" s="349"/>
      <c r="O3" s="349"/>
    </row>
    <row r="4" spans="1:15" ht="15" customHeight="1" x14ac:dyDescent="0.2">
      <c r="A4" s="341" t="s">
        <v>239</v>
      </c>
      <c r="B4" s="341"/>
      <c r="C4" s="341"/>
      <c r="D4" s="341"/>
      <c r="E4" s="341"/>
      <c r="F4" s="344">
        <v>1.2765</v>
      </c>
      <c r="G4" s="344"/>
      <c r="H4" s="350"/>
      <c r="I4" s="350"/>
      <c r="J4" s="349"/>
      <c r="K4" s="349"/>
      <c r="L4" s="349"/>
      <c r="M4" s="349"/>
      <c r="N4" s="349"/>
      <c r="O4" s="349"/>
    </row>
    <row r="5" spans="1:15" ht="15" customHeight="1" x14ac:dyDescent="0.2">
      <c r="A5" s="345" t="s">
        <v>333</v>
      </c>
      <c r="B5" s="346"/>
      <c r="C5" s="258" t="s">
        <v>334</v>
      </c>
      <c r="D5" s="264"/>
      <c r="E5" s="265"/>
      <c r="F5" s="266"/>
      <c r="G5" s="266"/>
      <c r="H5" s="267"/>
      <c r="I5" s="267"/>
      <c r="J5" s="268"/>
      <c r="K5" s="268"/>
      <c r="L5" s="268"/>
      <c r="M5" s="268"/>
      <c r="N5" s="268"/>
      <c r="O5" s="269"/>
    </row>
    <row r="6" spans="1:15" ht="12" customHeight="1" x14ac:dyDescent="0.2">
      <c r="A6" s="339" t="s">
        <v>0</v>
      </c>
      <c r="B6" s="339"/>
      <c r="C6" s="348" t="s">
        <v>5</v>
      </c>
      <c r="D6" s="351" t="s">
        <v>135</v>
      </c>
      <c r="E6" s="208"/>
      <c r="F6" s="209"/>
      <c r="G6" s="209"/>
      <c r="H6" s="209"/>
      <c r="I6" s="209"/>
      <c r="J6" s="209"/>
      <c r="K6" s="209"/>
      <c r="L6" s="209"/>
      <c r="M6" s="209"/>
      <c r="N6" s="209"/>
      <c r="O6" s="210"/>
    </row>
    <row r="7" spans="1:15" ht="12" customHeight="1" x14ac:dyDescent="0.2">
      <c r="A7" s="339"/>
      <c r="B7" s="339"/>
      <c r="C7" s="348"/>
      <c r="D7" s="352"/>
      <c r="E7" s="211"/>
      <c r="F7" s="212"/>
      <c r="G7" s="212"/>
      <c r="H7" s="212"/>
      <c r="I7" s="212"/>
      <c r="J7" s="212"/>
      <c r="K7" s="212"/>
      <c r="L7" s="212"/>
      <c r="M7" s="212"/>
      <c r="N7" s="212"/>
      <c r="O7" s="213"/>
    </row>
    <row r="8" spans="1:15" ht="12" x14ac:dyDescent="0.2">
      <c r="A8" s="205">
        <v>1</v>
      </c>
      <c r="B8" s="18" t="str">
        <f>'ORÇAMENTO EMEB DOM DANIEL'!D8</f>
        <v>SERVIÇOS PRELIMINARES</v>
      </c>
      <c r="C8" s="15">
        <f>'ORÇAMENTO EMEB DOM DANIEL'!J19</f>
        <v>25746.271012499994</v>
      </c>
      <c r="D8" s="207">
        <f>C8/C$19</f>
        <v>4.311639279515387E-2</v>
      </c>
      <c r="E8" s="211"/>
      <c r="F8" s="355" t="s">
        <v>285</v>
      </c>
      <c r="G8" s="355"/>
      <c r="H8" s="355"/>
      <c r="I8" s="355"/>
      <c r="J8" s="218">
        <f>D11</f>
        <v>0.52592273695898728</v>
      </c>
      <c r="K8" s="205" t="s">
        <v>287</v>
      </c>
      <c r="L8" s="219">
        <v>0.5</v>
      </c>
      <c r="M8" s="212"/>
      <c r="N8" s="212"/>
      <c r="O8" s="213"/>
    </row>
    <row r="9" spans="1:15" ht="12" x14ac:dyDescent="0.2">
      <c r="A9" s="205">
        <v>2</v>
      </c>
      <c r="B9" s="185" t="str">
        <f>'ORÇAMENTO EMEB DOM DANIEL'!D21</f>
        <v>MOVIMENTAÇÃO DE TERRAS E TRANSPORTE</v>
      </c>
      <c r="C9" s="15">
        <f>'ORÇAMENTO EMEB DOM DANIEL'!J25</f>
        <v>3401.2406325000002</v>
      </c>
      <c r="D9" s="207">
        <f t="shared" ref="D9:D18" si="0">C9/C$19</f>
        <v>5.6959404734964678E-3</v>
      </c>
      <c r="E9" s="211"/>
      <c r="F9" s="355" t="s">
        <v>75</v>
      </c>
      <c r="G9" s="355"/>
      <c r="H9" s="355"/>
      <c r="I9" s="355"/>
      <c r="J9" s="218">
        <f>D13</f>
        <v>8.487962079193434E-2</v>
      </c>
      <c r="K9" s="339" t="s">
        <v>288</v>
      </c>
      <c r="L9" s="356">
        <v>0.3</v>
      </c>
      <c r="M9" s="212"/>
      <c r="N9" s="212"/>
      <c r="O9" s="213"/>
    </row>
    <row r="10" spans="1:15" ht="13.5" customHeight="1" x14ac:dyDescent="0.2">
      <c r="A10" s="205">
        <v>3</v>
      </c>
      <c r="B10" s="5" t="str">
        <f>'ORÇAMENTO EMEB DOM DANIEL'!D27</f>
        <v>SERVIÇOS EM CONCRETO ARMADO</v>
      </c>
      <c r="C10" s="15">
        <f>'ORÇAMENTO EMEB DOM DANIEL'!J33</f>
        <v>38799.162865800005</v>
      </c>
      <c r="D10" s="207">
        <f t="shared" si="0"/>
        <v>6.497562095236184E-2</v>
      </c>
      <c r="E10" s="211"/>
      <c r="F10" s="355" t="s">
        <v>47</v>
      </c>
      <c r="G10" s="355"/>
      <c r="H10" s="355"/>
      <c r="I10" s="355"/>
      <c r="J10" s="218">
        <f>D18</f>
        <v>7.8181889722051076E-2</v>
      </c>
      <c r="K10" s="339"/>
      <c r="L10" s="357"/>
      <c r="M10" s="212"/>
      <c r="N10" s="212"/>
      <c r="O10" s="213"/>
    </row>
    <row r="11" spans="1:15" ht="12" x14ac:dyDescent="0.2">
      <c r="A11" s="205">
        <v>4</v>
      </c>
      <c r="B11" s="185" t="str">
        <f>'ORÇAMENTO EMEB DOM DANIEL'!D35</f>
        <v>SERVIÇOS EM ESTRUTURA METÁLICA</v>
      </c>
      <c r="C11" s="15">
        <f>'ORÇAMENTO EMEB DOM DANIEL'!J41</f>
        <v>314046.43198499997</v>
      </c>
      <c r="D11" s="207">
        <f t="shared" si="0"/>
        <v>0.52592273695898728</v>
      </c>
      <c r="E11" s="211"/>
      <c r="F11" s="355" t="s">
        <v>37</v>
      </c>
      <c r="G11" s="355"/>
      <c r="H11" s="355"/>
      <c r="I11" s="355"/>
      <c r="J11" s="218">
        <f>D10</f>
        <v>6.497562095236184E-2</v>
      </c>
      <c r="K11" s="339"/>
      <c r="L11" s="357"/>
      <c r="M11" s="212"/>
      <c r="N11" s="212"/>
      <c r="O11" s="213"/>
    </row>
    <row r="12" spans="1:15" ht="14.25" customHeight="1" x14ac:dyDescent="0.2">
      <c r="A12" s="205">
        <v>5</v>
      </c>
      <c r="B12" s="5" t="str">
        <f>'ORÇAMENTO EMEB DOM DANIEL'!D43</f>
        <v>PINTURA E ACABAMENTOS</v>
      </c>
      <c r="C12" s="15">
        <f>'ORÇAMENTO EMEB DOM DANIEL'!J49</f>
        <v>40763.2855881</v>
      </c>
      <c r="D12" s="207">
        <f t="shared" si="0"/>
        <v>6.8264869587686849E-2</v>
      </c>
      <c r="E12" s="211"/>
      <c r="F12" s="355" t="s">
        <v>286</v>
      </c>
      <c r="G12" s="355"/>
      <c r="H12" s="355"/>
      <c r="I12" s="355"/>
      <c r="J12" s="218">
        <f>D12</f>
        <v>6.8264869587686849E-2</v>
      </c>
      <c r="K12" s="339"/>
      <c r="L12" s="357"/>
      <c r="M12" s="212"/>
      <c r="N12" s="212"/>
      <c r="O12" s="213"/>
    </row>
    <row r="13" spans="1:15" ht="12" x14ac:dyDescent="0.2">
      <c r="A13" s="205">
        <v>6</v>
      </c>
      <c r="B13" s="185" t="str">
        <f>'ORÇAMENTO EMEB DOM DANIEL'!D51</f>
        <v>PISOS</v>
      </c>
      <c r="C13" s="15">
        <f>'ORÇAMENTO EMEB DOM DANIEL'!J55</f>
        <v>50684.521099199992</v>
      </c>
      <c r="D13" s="207">
        <f t="shared" si="0"/>
        <v>8.487962079193434E-2</v>
      </c>
      <c r="E13" s="211"/>
      <c r="F13" s="355" t="s">
        <v>27</v>
      </c>
      <c r="G13" s="355"/>
      <c r="H13" s="355"/>
      <c r="I13" s="355"/>
      <c r="J13" s="218">
        <f>D8</f>
        <v>4.311639279515387E-2</v>
      </c>
      <c r="K13" s="339"/>
      <c r="L13" s="357"/>
      <c r="M13" s="212"/>
      <c r="N13" s="212"/>
      <c r="O13" s="213"/>
    </row>
    <row r="14" spans="1:15" ht="12" customHeight="1" x14ac:dyDescent="0.2">
      <c r="A14" s="205">
        <v>7</v>
      </c>
      <c r="B14" s="185" t="str">
        <f>'ORÇAMENTO EMEB DOM DANIEL'!D57</f>
        <v>DRENAGEM DE ÁGUAS PLUVIAIS E ACESSÓRIOS</v>
      </c>
      <c r="C14" s="15">
        <f>'ORÇAMENTO EMEB DOM DANIEL'!J64</f>
        <v>19410.995129999999</v>
      </c>
      <c r="D14" s="207">
        <f t="shared" si="0"/>
        <v>3.2506924601374797E-2</v>
      </c>
      <c r="E14" s="211"/>
      <c r="F14" s="355" t="s">
        <v>293</v>
      </c>
      <c r="G14" s="355"/>
      <c r="H14" s="355"/>
      <c r="I14" s="355"/>
      <c r="J14" s="218">
        <f>D17</f>
        <v>4.1831257214989585E-2</v>
      </c>
      <c r="K14" s="339" t="s">
        <v>289</v>
      </c>
      <c r="L14" s="358">
        <v>0.2</v>
      </c>
      <c r="M14" s="212"/>
      <c r="N14" s="212"/>
      <c r="O14" s="213"/>
    </row>
    <row r="15" spans="1:15" ht="12" x14ac:dyDescent="0.2">
      <c r="A15" s="205">
        <v>8</v>
      </c>
      <c r="B15" s="185" t="str">
        <f>'ORÇAMENTO EMEB DOM DANIEL'!D66</f>
        <v>ELÉTRICA</v>
      </c>
      <c r="C15" s="15">
        <f>'ORÇAMENTO EMEB DOM DANIEL'!J77</f>
        <v>17534.769899999999</v>
      </c>
      <c r="D15" s="207">
        <f t="shared" si="0"/>
        <v>2.9364874867276129E-2</v>
      </c>
      <c r="E15" s="211"/>
      <c r="F15" s="355" t="s">
        <v>46</v>
      </c>
      <c r="G15" s="355"/>
      <c r="H15" s="355"/>
      <c r="I15" s="355"/>
      <c r="J15" s="218">
        <f>D15</f>
        <v>2.9364874867276129E-2</v>
      </c>
      <c r="K15" s="339"/>
      <c r="L15" s="359"/>
      <c r="M15" s="212"/>
      <c r="N15" s="212"/>
      <c r="O15" s="213"/>
    </row>
    <row r="16" spans="1:15" ht="36.75" customHeight="1" x14ac:dyDescent="0.2">
      <c r="A16" s="205">
        <v>9</v>
      </c>
      <c r="B16" s="18" t="str">
        <f>'ORÇAMENTO EMEB DOM DANIEL'!D79</f>
        <v>SISTEMA DE PROTEÇÃO CONTRA DESCARGAS ATMOSFÉRICAS (SPDA)</v>
      </c>
      <c r="C16" s="15">
        <f>'ORÇAMENTO EMEB DOM DANIEL'!J86</f>
        <v>15083.532479999998</v>
      </c>
      <c r="D16" s="207">
        <f t="shared" si="0"/>
        <v>2.5259872034687783E-2</v>
      </c>
      <c r="E16" s="211"/>
      <c r="F16" s="360" t="s">
        <v>87</v>
      </c>
      <c r="G16" s="360"/>
      <c r="H16" s="360"/>
      <c r="I16" s="360"/>
      <c r="J16" s="218">
        <f>D16</f>
        <v>2.5259872034687783E-2</v>
      </c>
      <c r="K16" s="339"/>
      <c r="L16" s="359"/>
      <c r="M16" s="212"/>
      <c r="N16" s="212"/>
      <c r="O16" s="213"/>
    </row>
    <row r="17" spans="1:24" ht="12" x14ac:dyDescent="0.2">
      <c r="A17" s="205">
        <v>10</v>
      </c>
      <c r="B17" s="203" t="s">
        <v>293</v>
      </c>
      <c r="C17" s="15">
        <f>'ORÇAMENTO EMEB DOM DANIEL'!J94</f>
        <v>24978.872656800002</v>
      </c>
      <c r="D17" s="207">
        <f t="shared" si="0"/>
        <v>4.1831257214989585E-2</v>
      </c>
      <c r="E17" s="211"/>
      <c r="F17" s="355" t="s">
        <v>60</v>
      </c>
      <c r="G17" s="355"/>
      <c r="H17" s="355"/>
      <c r="I17" s="355"/>
      <c r="J17" s="218">
        <f>D14</f>
        <v>3.2506924601374797E-2</v>
      </c>
      <c r="K17" s="339"/>
      <c r="L17" s="359"/>
      <c r="M17" s="212"/>
      <c r="N17" s="212"/>
      <c r="O17" s="213"/>
    </row>
    <row r="18" spans="1:24" ht="12" x14ac:dyDescent="0.2">
      <c r="A18" s="205">
        <v>11</v>
      </c>
      <c r="B18" s="185" t="str">
        <f>'ORÇAMENTO EMEB DOM DANIEL'!D97</f>
        <v>SERVIÇOS DIVERSOS</v>
      </c>
      <c r="C18" s="15">
        <f>'ORÇAMENTO EMEB DOM DANIEL'!J106</f>
        <v>46685.077079999988</v>
      </c>
      <c r="D18" s="207">
        <f t="shared" si="0"/>
        <v>7.8181889722051076E-2</v>
      </c>
      <c r="E18" s="211"/>
      <c r="F18" s="355" t="s">
        <v>31</v>
      </c>
      <c r="G18" s="355"/>
      <c r="H18" s="355"/>
      <c r="I18" s="355"/>
      <c r="J18" s="218">
        <f>D9</f>
        <v>5.6959404734964678E-3</v>
      </c>
      <c r="K18" s="339"/>
      <c r="L18" s="359"/>
      <c r="M18" s="212"/>
      <c r="N18" s="212"/>
      <c r="O18" s="213"/>
    </row>
    <row r="19" spans="1:24" ht="12" x14ac:dyDescent="0.2">
      <c r="A19" s="339" t="s">
        <v>234</v>
      </c>
      <c r="B19" s="339"/>
      <c r="C19" s="184">
        <f>SUM(C8:C18)</f>
        <v>597134.16042989993</v>
      </c>
      <c r="D19" s="207">
        <f>SUM(D8:D18)</f>
        <v>1</v>
      </c>
      <c r="E19" s="211"/>
      <c r="F19" s="185"/>
      <c r="G19" s="185"/>
      <c r="H19" s="185"/>
      <c r="I19" s="185"/>
      <c r="J19" s="217">
        <f>SUM(J8:J18)</f>
        <v>1.0000000000000002</v>
      </c>
      <c r="K19" s="185"/>
      <c r="L19" s="185"/>
      <c r="M19" s="212"/>
      <c r="N19" s="212"/>
      <c r="O19" s="213"/>
    </row>
    <row r="20" spans="1:24" ht="12" x14ac:dyDescent="0.2">
      <c r="A20" s="339"/>
      <c r="B20" s="339"/>
      <c r="C20" s="353" t="s">
        <v>11</v>
      </c>
      <c r="D20" s="354"/>
      <c r="E20" s="214"/>
      <c r="F20" s="215"/>
      <c r="G20" s="215"/>
      <c r="H20" s="215"/>
      <c r="I20" s="215"/>
      <c r="J20" s="215"/>
      <c r="K20" s="215"/>
      <c r="L20" s="215"/>
      <c r="M20" s="215"/>
      <c r="N20" s="215"/>
      <c r="O20" s="216"/>
    </row>
    <row r="21" spans="1:24" ht="15.75" customHeight="1" thickBot="1" x14ac:dyDescent="0.25">
      <c r="A21" s="2"/>
      <c r="B21" s="2"/>
      <c r="C21" s="2"/>
      <c r="D21" s="2"/>
      <c r="E21" s="2"/>
      <c r="F21" s="2"/>
    </row>
    <row r="22" spans="1:24" ht="14.25" customHeight="1" x14ac:dyDescent="0.2">
      <c r="A22" s="279" t="s">
        <v>261</v>
      </c>
      <c r="B22" s="280"/>
      <c r="C22" s="280"/>
      <c r="D22" s="280"/>
      <c r="E22" s="280"/>
      <c r="F22" s="280"/>
      <c r="G22" s="280"/>
      <c r="H22" s="280"/>
      <c r="I22" s="280"/>
      <c r="J22" s="280"/>
      <c r="K22" s="280"/>
      <c r="L22" s="280"/>
      <c r="M22" s="280"/>
      <c r="N22" s="280"/>
      <c r="O22" s="281"/>
    </row>
    <row r="23" spans="1:24" ht="19.5" customHeight="1" x14ac:dyDescent="0.2">
      <c r="A23" s="282"/>
      <c r="B23" s="283"/>
      <c r="C23" s="283"/>
      <c r="D23" s="283"/>
      <c r="E23" s="283"/>
      <c r="F23" s="283"/>
      <c r="G23" s="283"/>
      <c r="H23" s="283"/>
      <c r="I23" s="283"/>
      <c r="J23" s="283"/>
      <c r="K23" s="283"/>
      <c r="L23" s="283"/>
      <c r="M23" s="283"/>
      <c r="N23" s="283"/>
      <c r="O23" s="284"/>
    </row>
    <row r="24" spans="1:24" s="3" customFormat="1" ht="15.75" customHeight="1" x14ac:dyDescent="0.2">
      <c r="A24" s="282" t="s">
        <v>232</v>
      </c>
      <c r="B24" s="283"/>
      <c r="C24" s="283"/>
      <c r="D24" s="283"/>
      <c r="E24" s="283"/>
      <c r="F24" s="283"/>
      <c r="G24" s="283"/>
      <c r="H24" s="283"/>
      <c r="I24" s="283"/>
      <c r="J24" s="283"/>
      <c r="K24" s="283"/>
      <c r="L24" s="283"/>
      <c r="M24" s="283"/>
      <c r="N24" s="283"/>
      <c r="O24" s="284"/>
      <c r="P24" s="2"/>
      <c r="Q24" s="2"/>
      <c r="R24" s="2"/>
      <c r="S24" s="2"/>
      <c r="T24" s="2"/>
      <c r="U24" s="2"/>
      <c r="V24" s="2"/>
      <c r="W24" s="2"/>
      <c r="X24" s="2"/>
    </row>
    <row r="25" spans="1:24" ht="12" customHeight="1" thickBot="1" x14ac:dyDescent="0.25">
      <c r="A25" s="285"/>
      <c r="B25" s="286"/>
      <c r="C25" s="286"/>
      <c r="D25" s="286"/>
      <c r="E25" s="286"/>
      <c r="F25" s="286"/>
      <c r="G25" s="286"/>
      <c r="H25" s="286"/>
      <c r="I25" s="286"/>
      <c r="J25" s="286"/>
      <c r="K25" s="286"/>
      <c r="L25" s="286"/>
      <c r="M25" s="286"/>
      <c r="N25" s="286"/>
      <c r="O25" s="287"/>
    </row>
    <row r="26" spans="1:24" ht="16.5" customHeight="1" x14ac:dyDescent="0.2">
      <c r="A26" s="2"/>
      <c r="B26" s="2"/>
      <c r="C26" s="2"/>
      <c r="D26" s="2"/>
      <c r="E26" s="2"/>
      <c r="F26" s="2"/>
    </row>
    <row r="27" spans="1:24" ht="16.5" customHeight="1" x14ac:dyDescent="0.2">
      <c r="A27" s="2"/>
      <c r="B27" s="2"/>
      <c r="C27" s="2"/>
      <c r="D27" s="2"/>
      <c r="E27" s="2"/>
      <c r="F27" s="2"/>
    </row>
    <row r="28" spans="1:24" ht="14.25" customHeight="1" x14ac:dyDescent="0.2">
      <c r="A28" s="2"/>
      <c r="B28" s="2"/>
      <c r="C28" s="2"/>
      <c r="D28" s="2"/>
      <c r="E28" s="2"/>
      <c r="F28" s="2"/>
    </row>
    <row r="29" spans="1:24" ht="16.5" customHeight="1" x14ac:dyDescent="0.2">
      <c r="A29" s="2"/>
      <c r="B29" s="6"/>
      <c r="C29" s="7"/>
      <c r="D29" s="2"/>
      <c r="E29" s="2"/>
      <c r="F29" s="2"/>
    </row>
    <row r="30" spans="1:24" ht="15.75" x14ac:dyDescent="0.25">
      <c r="A30" s="2"/>
      <c r="B30" s="2"/>
      <c r="C30" s="294" t="s">
        <v>226</v>
      </c>
      <c r="D30" s="294"/>
      <c r="E30"/>
      <c r="F30" s="294" t="s">
        <v>230</v>
      </c>
      <c r="G30" s="294"/>
      <c r="H30" s="294"/>
      <c r="I30" s="294"/>
    </row>
    <row r="31" spans="1:24" ht="15" x14ac:dyDescent="0.25">
      <c r="A31" s="2"/>
      <c r="B31" s="2"/>
      <c r="C31" s="278" t="s">
        <v>227</v>
      </c>
      <c r="D31" s="278"/>
      <c r="E31"/>
      <c r="F31" s="278" t="s">
        <v>278</v>
      </c>
      <c r="G31" s="278"/>
      <c r="H31" s="278"/>
      <c r="I31" s="278"/>
    </row>
    <row r="32" spans="1:24" ht="15" x14ac:dyDescent="0.25">
      <c r="A32" s="2"/>
      <c r="B32" s="2"/>
      <c r="C32" s="278" t="s">
        <v>228</v>
      </c>
      <c r="D32" s="278"/>
      <c r="E32"/>
      <c r="F32" s="278" t="s">
        <v>231</v>
      </c>
      <c r="G32" s="278"/>
      <c r="H32" s="278"/>
      <c r="I32" s="278"/>
    </row>
    <row r="33" spans="1:24" ht="15" customHeight="1" x14ac:dyDescent="0.25">
      <c r="A33" s="2"/>
      <c r="B33" s="2"/>
      <c r="C33" s="293" t="s">
        <v>229</v>
      </c>
      <c r="D33" s="293"/>
      <c r="E33"/>
      <c r="F33" s="293" t="s">
        <v>229</v>
      </c>
      <c r="G33" s="293"/>
      <c r="H33" s="293"/>
      <c r="I33" s="293"/>
    </row>
    <row r="34" spans="1:24" s="3" customFormat="1" x14ac:dyDescent="0.2">
      <c r="A34" s="2"/>
      <c r="B34" s="2"/>
      <c r="C34" s="2"/>
      <c r="D34" s="2"/>
      <c r="E34" s="2"/>
      <c r="F34" s="2"/>
      <c r="G34" s="2"/>
      <c r="H34" s="2"/>
      <c r="I34" s="2"/>
      <c r="J34" s="2"/>
      <c r="K34" s="2"/>
      <c r="L34" s="2"/>
      <c r="M34" s="2"/>
      <c r="N34" s="2"/>
      <c r="O34" s="2"/>
      <c r="P34" s="2"/>
      <c r="Q34" s="2"/>
      <c r="R34" s="2"/>
      <c r="S34" s="2"/>
      <c r="T34" s="2"/>
      <c r="U34" s="2"/>
      <c r="V34" s="2"/>
      <c r="W34" s="2"/>
      <c r="X34" s="2"/>
    </row>
    <row r="35" spans="1:24" x14ac:dyDescent="0.2">
      <c r="A35" s="2"/>
      <c r="B35" s="2"/>
      <c r="C35" s="2"/>
      <c r="D35" s="2"/>
      <c r="E35" s="2"/>
      <c r="F35" s="2"/>
    </row>
    <row r="36" spans="1:24" x14ac:dyDescent="0.2">
      <c r="A36" s="2"/>
      <c r="B36" s="2"/>
      <c r="C36" s="2"/>
      <c r="D36" s="2"/>
      <c r="E36" s="2"/>
      <c r="F36" s="2"/>
    </row>
    <row r="37" spans="1:24" x14ac:dyDescent="0.2">
      <c r="A37" s="2"/>
      <c r="B37" s="2"/>
      <c r="C37" s="2"/>
      <c r="D37" s="2"/>
      <c r="E37" s="2"/>
      <c r="F37" s="2"/>
    </row>
    <row r="38" spans="1:24" ht="11.25" customHeight="1" x14ac:dyDescent="0.2">
      <c r="A38" s="2"/>
      <c r="B38" s="2"/>
      <c r="C38" s="2"/>
      <c r="D38" s="2"/>
      <c r="E38" s="2"/>
      <c r="F38" s="2"/>
    </row>
    <row r="39" spans="1:24" x14ac:dyDescent="0.2">
      <c r="A39" s="2"/>
      <c r="B39" s="2"/>
      <c r="C39" s="2"/>
      <c r="D39" s="2"/>
      <c r="E39" s="2"/>
      <c r="F39" s="2"/>
    </row>
    <row r="40" spans="1:24" ht="13.5" customHeight="1" x14ac:dyDescent="0.2">
      <c r="A40" s="2"/>
      <c r="B40" s="2"/>
      <c r="C40" s="2"/>
      <c r="D40" s="2"/>
      <c r="E40" s="2"/>
      <c r="F40" s="2"/>
    </row>
    <row r="41" spans="1:24" x14ac:dyDescent="0.2">
      <c r="A41" s="2"/>
      <c r="B41" s="2"/>
      <c r="C41" s="2"/>
      <c r="D41" s="2"/>
      <c r="E41" s="2"/>
      <c r="F41" s="2"/>
    </row>
    <row r="42" spans="1:24" s="3" customFormat="1" x14ac:dyDescent="0.2">
      <c r="A42" s="2"/>
      <c r="B42" s="2"/>
      <c r="C42" s="2"/>
      <c r="D42" s="2"/>
      <c r="E42" s="2"/>
      <c r="F42" s="2"/>
      <c r="G42" s="2"/>
      <c r="H42" s="2"/>
      <c r="I42" s="2"/>
      <c r="J42" s="2"/>
      <c r="K42" s="2"/>
      <c r="L42" s="2"/>
      <c r="M42" s="2"/>
      <c r="N42" s="2"/>
      <c r="O42" s="2"/>
      <c r="P42" s="2"/>
      <c r="Q42" s="2"/>
      <c r="R42" s="2"/>
      <c r="S42" s="2"/>
      <c r="T42" s="2"/>
      <c r="U42" s="2"/>
      <c r="V42" s="2"/>
      <c r="W42" s="2"/>
      <c r="X42" s="2"/>
    </row>
    <row r="43" spans="1:24" x14ac:dyDescent="0.2">
      <c r="A43" s="2"/>
      <c r="B43" s="2"/>
      <c r="C43" s="2"/>
      <c r="D43" s="2"/>
      <c r="E43" s="2"/>
      <c r="F43" s="2"/>
    </row>
    <row r="44" spans="1:24" x14ac:dyDescent="0.2">
      <c r="A44" s="2"/>
      <c r="B44" s="2"/>
      <c r="C44" s="2"/>
      <c r="D44" s="2"/>
      <c r="E44" s="2"/>
      <c r="F44" s="2"/>
    </row>
    <row r="45" spans="1:24" x14ac:dyDescent="0.2">
      <c r="A45" s="2"/>
      <c r="B45" s="2"/>
      <c r="C45" s="2"/>
      <c r="D45" s="2"/>
      <c r="E45" s="2"/>
      <c r="F45" s="2"/>
    </row>
    <row r="46" spans="1:24" x14ac:dyDescent="0.2">
      <c r="A46" s="2"/>
      <c r="B46" s="2"/>
      <c r="C46" s="2"/>
      <c r="D46" s="2"/>
      <c r="E46" s="2"/>
      <c r="F46" s="2"/>
    </row>
    <row r="47" spans="1:24" x14ac:dyDescent="0.2">
      <c r="A47" s="2"/>
      <c r="B47" s="2"/>
      <c r="C47" s="2"/>
      <c r="D47" s="2"/>
      <c r="E47" s="2"/>
      <c r="F47" s="2"/>
    </row>
    <row r="48" spans="1:24" s="3" customFormat="1" x14ac:dyDescent="0.2">
      <c r="A48" s="2"/>
      <c r="B48" s="2"/>
      <c r="C48" s="2"/>
      <c r="D48" s="2"/>
      <c r="E48" s="2"/>
      <c r="F48" s="2"/>
      <c r="G48" s="2"/>
      <c r="H48" s="2"/>
      <c r="I48" s="2"/>
      <c r="J48" s="2"/>
      <c r="K48" s="2"/>
      <c r="L48" s="2"/>
      <c r="M48" s="2"/>
      <c r="N48" s="2"/>
      <c r="O48" s="2"/>
      <c r="P48" s="2"/>
      <c r="Q48" s="2"/>
      <c r="R48" s="2"/>
      <c r="S48" s="2"/>
      <c r="T48" s="2"/>
      <c r="U48" s="2"/>
      <c r="V48" s="2"/>
      <c r="W48" s="2"/>
      <c r="X48" s="2"/>
    </row>
    <row r="49" spans="1:6" x14ac:dyDescent="0.2">
      <c r="A49" s="2"/>
      <c r="B49" s="2"/>
      <c r="C49" s="2"/>
      <c r="D49" s="2"/>
      <c r="E49" s="2"/>
      <c r="F49" s="2"/>
    </row>
    <row r="50" spans="1:6" x14ac:dyDescent="0.2">
      <c r="A50" s="2"/>
      <c r="B50" s="2"/>
      <c r="C50" s="2"/>
      <c r="D50" s="2"/>
      <c r="E50" s="2"/>
      <c r="F50" s="2"/>
    </row>
    <row r="51" spans="1:6" x14ac:dyDescent="0.2">
      <c r="A51" s="2"/>
      <c r="B51" s="2"/>
      <c r="C51" s="2"/>
      <c r="D51" s="2"/>
      <c r="E51" s="2"/>
      <c r="F51" s="2"/>
    </row>
    <row r="52" spans="1:6" x14ac:dyDescent="0.2">
      <c r="A52" s="2"/>
      <c r="B52" s="2"/>
      <c r="C52" s="2"/>
      <c r="D52" s="2"/>
      <c r="E52" s="2"/>
      <c r="F52" s="2"/>
    </row>
    <row r="53" spans="1:6" x14ac:dyDescent="0.2">
      <c r="A53" s="2"/>
      <c r="B53" s="2"/>
      <c r="C53" s="2"/>
      <c r="D53" s="2"/>
      <c r="E53" s="2"/>
      <c r="F53" s="2"/>
    </row>
    <row r="54" spans="1:6" x14ac:dyDescent="0.2">
      <c r="A54" s="2"/>
      <c r="B54" s="2"/>
      <c r="C54" s="2"/>
      <c r="D54" s="2"/>
      <c r="E54" s="2"/>
      <c r="F54" s="2"/>
    </row>
    <row r="55" spans="1:6" x14ac:dyDescent="0.2">
      <c r="A55" s="2"/>
      <c r="B55" s="2"/>
      <c r="C55" s="2"/>
      <c r="D55" s="2"/>
      <c r="E55" s="2"/>
      <c r="F55" s="2"/>
    </row>
    <row r="56" spans="1:6" x14ac:dyDescent="0.2">
      <c r="A56" s="2"/>
      <c r="B56" s="2"/>
      <c r="C56" s="2"/>
      <c r="D56" s="2"/>
      <c r="E56" s="2"/>
      <c r="F56" s="2"/>
    </row>
    <row r="57" spans="1:6" x14ac:dyDescent="0.2">
      <c r="A57" s="2"/>
      <c r="B57" s="2"/>
      <c r="C57" s="2"/>
      <c r="D57" s="2"/>
      <c r="E57" s="2"/>
      <c r="F57" s="2"/>
    </row>
    <row r="58" spans="1:6" x14ac:dyDescent="0.2">
      <c r="A58" s="2"/>
      <c r="B58" s="2"/>
      <c r="C58" s="2"/>
      <c r="D58" s="2"/>
      <c r="E58" s="2"/>
      <c r="F58" s="2"/>
    </row>
    <row r="59" spans="1:6" ht="14.25" customHeight="1" x14ac:dyDescent="0.2"/>
    <row r="61" spans="1:6" ht="13.5" customHeight="1" x14ac:dyDescent="0.2"/>
    <row r="66" spans="1:30" ht="14.25" customHeight="1" x14ac:dyDescent="0.2">
      <c r="A66" s="2"/>
    </row>
    <row r="72" spans="1:30" s="8" customFormat="1" ht="36.75" customHeight="1" x14ac:dyDescent="0.2">
      <c r="B72" s="9"/>
      <c r="C72" s="10"/>
      <c r="E72" s="11"/>
      <c r="F72" s="11"/>
      <c r="G72" s="2"/>
      <c r="H72" s="2"/>
      <c r="I72" s="2"/>
      <c r="J72" s="2"/>
      <c r="K72" s="2"/>
      <c r="L72" s="2"/>
      <c r="M72" s="2"/>
      <c r="N72" s="2"/>
      <c r="O72" s="2"/>
      <c r="P72" s="2"/>
      <c r="Q72" s="2"/>
      <c r="R72" s="2"/>
      <c r="S72" s="2"/>
      <c r="T72" s="2"/>
      <c r="U72" s="2"/>
      <c r="V72" s="2"/>
      <c r="W72" s="2"/>
      <c r="X72" s="2"/>
      <c r="Y72" s="2"/>
      <c r="Z72" s="2"/>
      <c r="AA72" s="2"/>
      <c r="AB72" s="2"/>
      <c r="AC72" s="2"/>
      <c r="AD72" s="2"/>
    </row>
    <row r="73" spans="1:30" s="8" customFormat="1" ht="27" customHeight="1" x14ac:dyDescent="0.2">
      <c r="B73" s="9"/>
      <c r="C73" s="10"/>
      <c r="E73" s="11"/>
      <c r="F73" s="11"/>
      <c r="G73" s="2"/>
      <c r="H73" s="2"/>
      <c r="I73" s="2"/>
      <c r="J73" s="2"/>
      <c r="K73" s="2"/>
      <c r="L73" s="2"/>
      <c r="M73" s="2"/>
      <c r="N73" s="2"/>
      <c r="O73" s="2"/>
      <c r="P73" s="2"/>
      <c r="Q73" s="2"/>
      <c r="R73" s="2"/>
      <c r="S73" s="2"/>
      <c r="T73" s="2"/>
      <c r="U73" s="2"/>
      <c r="V73" s="2"/>
      <c r="W73" s="2"/>
      <c r="X73" s="2"/>
      <c r="Y73" s="2"/>
      <c r="Z73" s="2"/>
      <c r="AA73" s="2"/>
      <c r="AB73" s="2"/>
      <c r="AC73" s="2"/>
      <c r="AD73" s="2"/>
    </row>
    <row r="88" spans="1:30" ht="24.75" customHeight="1" x14ac:dyDescent="0.2">
      <c r="A88" s="2"/>
    </row>
    <row r="89" spans="1:30" ht="27.75" customHeight="1" x14ac:dyDescent="0.2"/>
    <row r="92" spans="1:30" ht="15.75" customHeight="1" x14ac:dyDescent="0.2"/>
    <row r="94" spans="1:30" s="3" customFormat="1" x14ac:dyDescent="0.2">
      <c r="A94" s="8"/>
      <c r="B94" s="9"/>
      <c r="C94" s="10"/>
      <c r="D94" s="8"/>
      <c r="E94" s="11"/>
      <c r="F94" s="11"/>
      <c r="G94" s="2"/>
      <c r="H94" s="2"/>
      <c r="I94" s="2"/>
      <c r="J94" s="2"/>
      <c r="K94" s="2"/>
      <c r="L94" s="2"/>
      <c r="M94" s="2"/>
      <c r="N94" s="2"/>
      <c r="O94" s="2"/>
      <c r="P94" s="2"/>
      <c r="Q94" s="2"/>
      <c r="R94" s="2"/>
      <c r="S94" s="2"/>
      <c r="T94" s="2"/>
      <c r="U94" s="2"/>
      <c r="V94" s="2"/>
      <c r="W94" s="2"/>
      <c r="X94" s="2"/>
      <c r="Y94" s="2"/>
      <c r="Z94" s="2"/>
      <c r="AA94" s="2"/>
      <c r="AB94" s="2"/>
      <c r="AC94" s="2"/>
      <c r="AD94" s="2"/>
    </row>
    <row r="95" spans="1:30" s="12" customFormat="1" x14ac:dyDescent="0.2">
      <c r="A95" s="8"/>
      <c r="B95" s="9"/>
      <c r="C95" s="10"/>
      <c r="D95" s="8"/>
      <c r="E95" s="11"/>
      <c r="F95" s="11"/>
      <c r="G95" s="2"/>
      <c r="H95" s="2"/>
      <c r="I95" s="2"/>
      <c r="J95" s="2"/>
      <c r="K95" s="2"/>
      <c r="L95" s="2"/>
      <c r="M95" s="2"/>
      <c r="N95" s="2"/>
      <c r="O95" s="2"/>
      <c r="P95" s="2"/>
      <c r="Q95" s="2"/>
      <c r="R95" s="2"/>
      <c r="S95" s="2"/>
      <c r="T95" s="2"/>
      <c r="U95" s="2"/>
      <c r="V95" s="2"/>
      <c r="W95" s="2"/>
      <c r="X95" s="2"/>
      <c r="Y95" s="2"/>
      <c r="Z95" s="2"/>
      <c r="AA95" s="2"/>
      <c r="AB95" s="2"/>
      <c r="AC95" s="2"/>
      <c r="AD95" s="2"/>
    </row>
    <row r="96" spans="1:30" s="12" customFormat="1" ht="11.25" customHeight="1" x14ac:dyDescent="0.2">
      <c r="A96" s="8"/>
      <c r="B96" s="9"/>
      <c r="C96" s="10"/>
      <c r="D96" s="8"/>
      <c r="E96" s="11"/>
      <c r="F96" s="11"/>
      <c r="G96" s="2"/>
      <c r="H96" s="2"/>
      <c r="I96" s="2"/>
      <c r="J96" s="2"/>
      <c r="K96" s="2"/>
      <c r="L96" s="2"/>
      <c r="M96" s="2"/>
      <c r="N96" s="2"/>
      <c r="O96" s="2"/>
      <c r="P96" s="2"/>
      <c r="Q96" s="2"/>
      <c r="R96" s="2"/>
      <c r="S96" s="2"/>
      <c r="T96" s="2"/>
      <c r="U96" s="2"/>
      <c r="V96" s="2"/>
      <c r="W96" s="2"/>
      <c r="X96" s="2"/>
      <c r="Y96" s="2"/>
      <c r="Z96" s="2"/>
      <c r="AA96" s="2"/>
      <c r="AB96" s="2"/>
      <c r="AC96" s="2"/>
      <c r="AD96" s="2"/>
    </row>
    <row r="97" spans="1:30" s="12" customFormat="1" x14ac:dyDescent="0.2">
      <c r="A97" s="8"/>
      <c r="B97" s="9"/>
      <c r="C97" s="10"/>
      <c r="D97" s="8"/>
      <c r="E97" s="11"/>
      <c r="F97" s="11"/>
      <c r="G97" s="2"/>
      <c r="H97" s="2"/>
      <c r="I97" s="2"/>
      <c r="J97" s="2"/>
      <c r="K97" s="2"/>
      <c r="L97" s="2"/>
      <c r="M97" s="2"/>
      <c r="N97" s="2"/>
      <c r="O97" s="2"/>
      <c r="P97" s="2"/>
      <c r="Q97" s="2"/>
      <c r="R97" s="2"/>
      <c r="S97" s="2"/>
      <c r="T97" s="2"/>
      <c r="U97" s="2"/>
      <c r="V97" s="2"/>
      <c r="W97" s="2"/>
      <c r="X97" s="2"/>
      <c r="Y97" s="2"/>
      <c r="Z97" s="2"/>
      <c r="AA97" s="2"/>
      <c r="AB97" s="2"/>
      <c r="AC97" s="2"/>
      <c r="AD97" s="2"/>
    </row>
    <row r="98" spans="1:30" s="12" customFormat="1" ht="24.75" customHeight="1" x14ac:dyDescent="0.2">
      <c r="A98" s="8"/>
      <c r="B98" s="9"/>
      <c r="C98" s="10"/>
      <c r="D98" s="8"/>
      <c r="E98" s="11"/>
      <c r="F98" s="11"/>
      <c r="G98" s="2"/>
      <c r="H98" s="2"/>
      <c r="I98" s="2"/>
      <c r="J98" s="2"/>
      <c r="K98" s="2"/>
      <c r="L98" s="2"/>
      <c r="M98" s="2"/>
      <c r="N98" s="2"/>
      <c r="O98" s="2"/>
      <c r="P98" s="2"/>
      <c r="Q98" s="2"/>
      <c r="R98" s="2"/>
      <c r="S98" s="2"/>
      <c r="T98" s="2"/>
      <c r="U98" s="2"/>
      <c r="V98" s="2"/>
      <c r="W98" s="2"/>
      <c r="X98" s="2"/>
      <c r="Y98" s="2"/>
      <c r="Z98" s="2"/>
      <c r="AA98" s="2"/>
      <c r="AB98" s="2"/>
      <c r="AC98" s="2"/>
      <c r="AD98" s="2"/>
    </row>
    <row r="99" spans="1:30" s="12" customFormat="1" x14ac:dyDescent="0.2">
      <c r="A99" s="8"/>
      <c r="B99" s="9"/>
      <c r="C99" s="10"/>
      <c r="D99" s="8"/>
      <c r="E99" s="11"/>
      <c r="F99" s="11"/>
      <c r="G99" s="2"/>
      <c r="H99" s="2"/>
      <c r="I99" s="2"/>
      <c r="J99" s="2"/>
      <c r="K99" s="2"/>
      <c r="L99" s="2"/>
      <c r="M99" s="2"/>
      <c r="N99" s="2"/>
      <c r="O99" s="2"/>
      <c r="P99" s="2"/>
      <c r="Q99" s="2"/>
      <c r="R99" s="2"/>
      <c r="S99" s="2"/>
      <c r="T99" s="2"/>
      <c r="U99" s="2"/>
      <c r="V99" s="2"/>
      <c r="W99" s="2"/>
      <c r="X99" s="2"/>
      <c r="Y99" s="2"/>
      <c r="Z99" s="2"/>
      <c r="AA99" s="2"/>
      <c r="AB99" s="2"/>
      <c r="AC99" s="2"/>
      <c r="AD99" s="2"/>
    </row>
    <row r="100" spans="1:30" s="12" customFormat="1" x14ac:dyDescent="0.2">
      <c r="A100" s="8"/>
      <c r="B100" s="9"/>
      <c r="C100" s="10"/>
      <c r="D100" s="8"/>
      <c r="E100" s="11"/>
      <c r="F100" s="11"/>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s="12" customFormat="1" x14ac:dyDescent="0.2">
      <c r="A101" s="8"/>
      <c r="B101" s="9"/>
      <c r="C101" s="10"/>
      <c r="D101" s="8"/>
      <c r="E101" s="11"/>
      <c r="F101" s="11"/>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s="12" customFormat="1" x14ac:dyDescent="0.2">
      <c r="A102" s="8"/>
      <c r="B102" s="9"/>
      <c r="C102" s="10"/>
      <c r="D102" s="8"/>
      <c r="E102" s="11"/>
      <c r="F102" s="11"/>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s="12" customFormat="1" x14ac:dyDescent="0.2">
      <c r="A103" s="8"/>
      <c r="B103" s="9"/>
      <c r="C103" s="10"/>
      <c r="D103" s="8"/>
      <c r="E103" s="11"/>
      <c r="F103" s="11"/>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s="12" customFormat="1" x14ac:dyDescent="0.2">
      <c r="A104" s="8"/>
      <c r="B104" s="9"/>
      <c r="C104" s="10"/>
      <c r="D104" s="8"/>
      <c r="E104" s="11"/>
      <c r="F104" s="11"/>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s="12" customFormat="1" ht="13.5" customHeight="1" x14ac:dyDescent="0.2">
      <c r="A105" s="8"/>
      <c r="B105" s="9"/>
      <c r="C105" s="10"/>
      <c r="D105" s="8"/>
      <c r="E105" s="11"/>
      <c r="F105" s="11"/>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s="12" customFormat="1" x14ac:dyDescent="0.2">
      <c r="A106" s="8"/>
      <c r="B106" s="9"/>
      <c r="C106" s="10"/>
      <c r="D106" s="8"/>
      <c r="E106" s="11"/>
      <c r="F106" s="11"/>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s="12" customFormat="1" x14ac:dyDescent="0.2">
      <c r="A107" s="8"/>
      <c r="B107" s="9"/>
      <c r="C107" s="10"/>
      <c r="D107" s="8"/>
      <c r="E107" s="11"/>
      <c r="F107" s="11"/>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s="12" customFormat="1" x14ac:dyDescent="0.2">
      <c r="A108" s="8"/>
      <c r="B108" s="9"/>
      <c r="C108" s="10"/>
      <c r="D108" s="8"/>
      <c r="E108" s="11"/>
      <c r="F108" s="11"/>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s="12" customFormat="1" x14ac:dyDescent="0.2">
      <c r="A109" s="8"/>
      <c r="B109" s="9"/>
      <c r="C109" s="10"/>
      <c r="D109" s="8"/>
      <c r="E109" s="11"/>
      <c r="F109" s="11"/>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s="12" customFormat="1" x14ac:dyDescent="0.2">
      <c r="A110" s="8"/>
      <c r="B110" s="9"/>
      <c r="C110" s="10"/>
      <c r="D110" s="8"/>
      <c r="E110" s="11"/>
      <c r="F110" s="11"/>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s="12" customFormat="1" x14ac:dyDescent="0.2">
      <c r="A111" s="8"/>
      <c r="B111" s="9"/>
      <c r="C111" s="10"/>
      <c r="D111" s="8"/>
      <c r="E111" s="11"/>
      <c r="F111" s="11"/>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s="12" customFormat="1" x14ac:dyDescent="0.2">
      <c r="A112" s="8"/>
      <c r="B112" s="9"/>
      <c r="C112" s="10"/>
      <c r="D112" s="8"/>
      <c r="E112" s="11"/>
      <c r="F112" s="11"/>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s="12" customFormat="1" x14ac:dyDescent="0.2">
      <c r="A113" s="8"/>
      <c r="B113" s="9"/>
      <c r="C113" s="10"/>
      <c r="D113" s="8"/>
      <c r="E113" s="11"/>
      <c r="F113" s="11"/>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s="12" customFormat="1" x14ac:dyDescent="0.2">
      <c r="A114" s="8"/>
      <c r="B114" s="9"/>
      <c r="C114" s="10"/>
      <c r="D114" s="8"/>
      <c r="E114" s="11"/>
      <c r="F114" s="11"/>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s="12" customFormat="1" ht="13.5" customHeight="1" x14ac:dyDescent="0.2">
      <c r="A115" s="8"/>
      <c r="B115" s="9"/>
      <c r="C115" s="10"/>
      <c r="D115" s="8"/>
      <c r="E115" s="11"/>
      <c r="F115" s="11"/>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s="13" customFormat="1" x14ac:dyDescent="0.2">
      <c r="A116" s="8"/>
      <c r="B116" s="9"/>
      <c r="C116" s="10"/>
      <c r="D116" s="8"/>
      <c r="E116" s="11"/>
      <c r="F116" s="11"/>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s="12" customFormat="1" x14ac:dyDescent="0.2">
      <c r="A117" s="8"/>
      <c r="B117" s="9"/>
      <c r="C117" s="10"/>
      <c r="D117" s="8"/>
      <c r="E117" s="11"/>
      <c r="F117" s="11"/>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s="12" customFormat="1" x14ac:dyDescent="0.2">
      <c r="A118" s="8"/>
      <c r="B118" s="9"/>
      <c r="C118" s="10"/>
      <c r="D118" s="8"/>
      <c r="E118" s="11"/>
      <c r="F118" s="11"/>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s="12" customFormat="1" x14ac:dyDescent="0.2">
      <c r="A119" s="8"/>
      <c r="B119" s="9"/>
      <c r="C119" s="10"/>
      <c r="D119" s="8"/>
      <c r="E119" s="11"/>
      <c r="F119" s="11"/>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s="12" customFormat="1" x14ac:dyDescent="0.2">
      <c r="A120" s="8"/>
      <c r="B120" s="9"/>
      <c r="C120" s="10"/>
      <c r="D120" s="8"/>
      <c r="E120" s="11"/>
      <c r="F120" s="11"/>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0" s="12" customFormat="1" x14ac:dyDescent="0.2">
      <c r="A121" s="8"/>
      <c r="B121" s="9"/>
      <c r="C121" s="10"/>
      <c r="D121" s="8"/>
      <c r="E121" s="11"/>
      <c r="F121" s="11"/>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s="12" customFormat="1" x14ac:dyDescent="0.2">
      <c r="A122" s="8"/>
      <c r="B122" s="9"/>
      <c r="C122" s="10"/>
      <c r="D122" s="8"/>
      <c r="E122" s="11"/>
      <c r="F122" s="11"/>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0" s="12" customFormat="1" x14ac:dyDescent="0.2">
      <c r="A123" s="8"/>
      <c r="B123" s="9"/>
      <c r="C123" s="10"/>
      <c r="D123" s="8"/>
      <c r="E123" s="11"/>
      <c r="F123" s="11"/>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0" s="12" customFormat="1" x14ac:dyDescent="0.2">
      <c r="A124" s="8"/>
      <c r="B124" s="9"/>
      <c r="C124" s="10"/>
      <c r="D124" s="8"/>
      <c r="E124" s="11"/>
      <c r="F124" s="11"/>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s="12" customFormat="1" x14ac:dyDescent="0.2">
      <c r="A125" s="8"/>
      <c r="B125" s="9"/>
      <c r="C125" s="10"/>
      <c r="D125" s="8"/>
      <c r="E125" s="11"/>
      <c r="F125" s="11"/>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0" s="12" customFormat="1" x14ac:dyDescent="0.2">
      <c r="A126" s="8"/>
      <c r="B126" s="9"/>
      <c r="C126" s="10"/>
      <c r="D126" s="8"/>
      <c r="E126" s="11"/>
      <c r="F126" s="11"/>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1:30" s="12" customFormat="1" x14ac:dyDescent="0.2">
      <c r="A127" s="8"/>
      <c r="B127" s="9"/>
      <c r="C127" s="10"/>
      <c r="D127" s="8"/>
      <c r="E127" s="11"/>
      <c r="F127" s="11"/>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0" s="12" customFormat="1" x14ac:dyDescent="0.2">
      <c r="A128" s="8"/>
      <c r="B128" s="9"/>
      <c r="C128" s="10"/>
      <c r="D128" s="8"/>
      <c r="E128" s="11"/>
      <c r="F128" s="11"/>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1:30" s="12" customFormat="1" x14ac:dyDescent="0.2">
      <c r="A129" s="8"/>
      <c r="B129" s="9"/>
      <c r="C129" s="10"/>
      <c r="D129" s="8"/>
      <c r="E129" s="11"/>
      <c r="F129" s="11"/>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0" s="12" customFormat="1" x14ac:dyDescent="0.2">
      <c r="A130" s="8"/>
      <c r="B130" s="9"/>
      <c r="C130" s="10"/>
      <c r="D130" s="8"/>
      <c r="E130" s="11"/>
      <c r="F130" s="11"/>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0" s="12" customFormat="1" x14ac:dyDescent="0.2">
      <c r="A131" s="8"/>
      <c r="B131" s="9"/>
      <c r="C131" s="10"/>
      <c r="D131" s="8"/>
      <c r="E131" s="11"/>
      <c r="F131" s="11"/>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s="12" customFormat="1" x14ac:dyDescent="0.2">
      <c r="A132" s="8"/>
      <c r="B132" s="9"/>
      <c r="C132" s="10"/>
      <c r="D132" s="8"/>
      <c r="E132" s="11"/>
      <c r="F132" s="11"/>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s="12" customFormat="1" x14ac:dyDescent="0.2">
      <c r="A133" s="8"/>
      <c r="B133" s="9"/>
      <c r="C133" s="10"/>
      <c r="D133" s="8"/>
      <c r="E133" s="11"/>
      <c r="F133" s="11"/>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0" s="12" customFormat="1" x14ac:dyDescent="0.2">
      <c r="A134" s="8"/>
      <c r="B134" s="9"/>
      <c r="C134" s="10"/>
      <c r="D134" s="8"/>
      <c r="E134" s="11"/>
      <c r="F134" s="11"/>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0" s="12" customFormat="1" x14ac:dyDescent="0.2">
      <c r="A135" s="8"/>
      <c r="B135" s="9"/>
      <c r="C135" s="10"/>
      <c r="D135" s="8"/>
      <c r="E135" s="11"/>
      <c r="F135" s="11"/>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30" s="12" customFormat="1" x14ac:dyDescent="0.2">
      <c r="A136" s="8"/>
      <c r="B136" s="9"/>
      <c r="C136" s="10"/>
      <c r="D136" s="8"/>
      <c r="E136" s="11"/>
      <c r="F136" s="11"/>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0" s="12" customFormat="1" x14ac:dyDescent="0.2">
      <c r="A137" s="8"/>
      <c r="B137" s="9"/>
      <c r="C137" s="10"/>
      <c r="D137" s="8"/>
      <c r="E137" s="11"/>
      <c r="F137" s="11"/>
      <c r="G137" s="2"/>
      <c r="H137" s="2"/>
      <c r="I137" s="2"/>
      <c r="J137" s="2"/>
      <c r="K137" s="2"/>
      <c r="L137" s="2"/>
      <c r="M137" s="2"/>
      <c r="N137" s="2"/>
      <c r="O137" s="2"/>
      <c r="P137" s="2"/>
      <c r="Q137" s="2"/>
      <c r="R137" s="2"/>
      <c r="S137" s="2"/>
      <c r="T137" s="2"/>
      <c r="U137" s="2"/>
      <c r="V137" s="2"/>
      <c r="W137" s="2"/>
      <c r="X137" s="2"/>
      <c r="Y137" s="2"/>
      <c r="Z137" s="2"/>
      <c r="AA137" s="2"/>
      <c r="AB137" s="2"/>
      <c r="AC137" s="2"/>
      <c r="AD137" s="2"/>
    </row>
    <row r="143" spans="1:30" s="3" customFormat="1" x14ac:dyDescent="0.2">
      <c r="A143" s="8"/>
      <c r="B143" s="9"/>
      <c r="C143" s="10"/>
      <c r="D143" s="8"/>
      <c r="E143" s="11"/>
      <c r="F143" s="11"/>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s="3" customFormat="1" x14ac:dyDescent="0.2">
      <c r="A144" s="8"/>
      <c r="B144" s="9"/>
      <c r="C144" s="10"/>
      <c r="D144" s="8"/>
      <c r="E144" s="11"/>
      <c r="F144" s="11"/>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1:30" s="3" customFormat="1" x14ac:dyDescent="0.2">
      <c r="A145" s="8"/>
      <c r="B145" s="9"/>
      <c r="C145" s="10"/>
      <c r="D145" s="8"/>
      <c r="E145" s="11"/>
      <c r="F145" s="11"/>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1:30" s="3" customFormat="1" x14ac:dyDescent="0.2">
      <c r="A146" s="8"/>
      <c r="B146" s="9"/>
      <c r="C146" s="10"/>
      <c r="D146" s="8"/>
      <c r="E146" s="11"/>
      <c r="F146" s="11"/>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1:30" s="3" customFormat="1" x14ac:dyDescent="0.2">
      <c r="A147" s="8"/>
      <c r="B147" s="9"/>
      <c r="C147" s="10"/>
      <c r="D147" s="8"/>
      <c r="E147" s="11"/>
      <c r="F147" s="11"/>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1:30" s="3" customFormat="1" x14ac:dyDescent="0.2">
      <c r="A148" s="8"/>
      <c r="B148" s="9"/>
      <c r="C148" s="10"/>
      <c r="D148" s="8"/>
      <c r="E148" s="11"/>
      <c r="F148" s="11"/>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1:30" s="3" customFormat="1" x14ac:dyDescent="0.2">
      <c r="A149" s="8"/>
      <c r="B149" s="9"/>
      <c r="C149" s="10"/>
      <c r="D149" s="8"/>
      <c r="E149" s="11"/>
      <c r="F149" s="11"/>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1:30" s="3" customFormat="1" x14ac:dyDescent="0.2">
      <c r="A150" s="8"/>
      <c r="B150" s="9"/>
      <c r="C150" s="10"/>
      <c r="D150" s="8"/>
      <c r="E150" s="11"/>
      <c r="F150" s="11"/>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1:30" s="3" customFormat="1" x14ac:dyDescent="0.2">
      <c r="A151" s="8"/>
      <c r="B151" s="9"/>
      <c r="C151" s="10"/>
      <c r="D151" s="8"/>
      <c r="E151" s="11"/>
      <c r="F151" s="11"/>
      <c r="G151" s="2"/>
      <c r="H151" s="2"/>
      <c r="I151" s="2"/>
      <c r="J151" s="2"/>
      <c r="K151" s="2"/>
      <c r="L151" s="2"/>
      <c r="M151" s="2"/>
      <c r="N151" s="2"/>
      <c r="O151" s="2"/>
      <c r="P151" s="2"/>
      <c r="Q151" s="2"/>
      <c r="R151" s="2"/>
      <c r="S151" s="2"/>
      <c r="T151" s="2"/>
      <c r="U151" s="2"/>
      <c r="V151" s="2"/>
      <c r="W151" s="2"/>
      <c r="X151" s="2"/>
      <c r="Y151" s="2"/>
      <c r="Z151" s="2"/>
      <c r="AA151" s="2"/>
      <c r="AB151" s="2"/>
      <c r="AC151" s="2"/>
      <c r="AD151" s="2"/>
    </row>
  </sheetData>
  <mergeCells count="42">
    <mergeCell ref="A3:E3"/>
    <mergeCell ref="F3:G3"/>
    <mergeCell ref="H3:I4"/>
    <mergeCell ref="J3:O4"/>
    <mergeCell ref="A4:E4"/>
    <mergeCell ref="A1:O1"/>
    <mergeCell ref="A2:E2"/>
    <mergeCell ref="F2:G2"/>
    <mergeCell ref="H2:I2"/>
    <mergeCell ref="J2:O2"/>
    <mergeCell ref="A19:B20"/>
    <mergeCell ref="A22:O23"/>
    <mergeCell ref="A24:O25"/>
    <mergeCell ref="F4:G4"/>
    <mergeCell ref="A6:B7"/>
    <mergeCell ref="C6:C7"/>
    <mergeCell ref="L9:L13"/>
    <mergeCell ref="L14:L18"/>
    <mergeCell ref="F16:I16"/>
    <mergeCell ref="F17:I17"/>
    <mergeCell ref="F18:I18"/>
    <mergeCell ref="K9:K13"/>
    <mergeCell ref="K14:K18"/>
    <mergeCell ref="F13:I13"/>
    <mergeCell ref="F14:I14"/>
    <mergeCell ref="A5:B5"/>
    <mergeCell ref="C33:D33"/>
    <mergeCell ref="F33:I33"/>
    <mergeCell ref="D6:D7"/>
    <mergeCell ref="C20:D20"/>
    <mergeCell ref="C30:D30"/>
    <mergeCell ref="F30:I30"/>
    <mergeCell ref="C31:D31"/>
    <mergeCell ref="F31:I31"/>
    <mergeCell ref="C32:D32"/>
    <mergeCell ref="F32:I32"/>
    <mergeCell ref="F8:I8"/>
    <mergeCell ref="F9:I9"/>
    <mergeCell ref="F10:I10"/>
    <mergeCell ref="F11:I11"/>
    <mergeCell ref="F12:I12"/>
    <mergeCell ref="F15:I15"/>
  </mergeCells>
  <printOptions horizontalCentered="1"/>
  <pageMargins left="0.23622047244094491" right="0.23622047244094491" top="1.7322834645669292" bottom="0.74803149606299213" header="0.31496062992125984" footer="0.31496062992125984"/>
  <pageSetup paperSize="9" scale="76" orientation="landscape" r:id="rId1"/>
  <headerFooter>
    <oddHeader>&amp;L
&amp;G&amp;C&amp;"-,Negrito"
PREFEITURA DE LAGES
SECRETARIA MUNICIPAL DA EDUCAÇÃO&amp;R&amp;G</oddHeader>
    <oddFooter>&amp;R&amp;N/&amp;P</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zoomScaleNormal="100" zoomScaleSheetLayoutView="100" workbookViewId="0">
      <selection activeCell="D4" sqref="D4:G4"/>
    </sheetView>
  </sheetViews>
  <sheetFormatPr defaultColWidth="9.140625" defaultRowHeight="12.75" x14ac:dyDescent="0.2"/>
  <cols>
    <col min="1" max="2" width="9.42578125" style="77" customWidth="1"/>
    <col min="3" max="3" width="6.42578125" style="178" customWidth="1"/>
    <col min="4" max="4" width="48.85546875" style="77" customWidth="1"/>
    <col min="5" max="5" width="21.140625" style="77" customWidth="1"/>
    <col min="6" max="6" width="13" style="77" customWidth="1"/>
    <col min="7" max="7" width="11.5703125" style="77" customWidth="1"/>
    <col min="8" max="9" width="13.5703125" style="77" customWidth="1"/>
    <col min="10" max="10" width="9.140625" style="77"/>
    <col min="11" max="11" width="9.42578125" style="77" customWidth="1"/>
    <col min="12" max="12" width="14.85546875" style="77" customWidth="1"/>
    <col min="13" max="23" width="17.7109375" style="74" hidden="1" customWidth="1"/>
    <col min="24" max="24" width="17.7109375" style="77" customWidth="1"/>
    <col min="25" max="25" width="25" style="77" customWidth="1"/>
    <col min="26" max="26" width="11.5703125" style="77" customWidth="1"/>
    <col min="27" max="28" width="11" style="77" customWidth="1"/>
    <col min="29" max="29" width="8.42578125" style="77" customWidth="1"/>
    <col min="30" max="32" width="6.28515625" style="77" bestFit="1" customWidth="1"/>
    <col min="33" max="256" width="9.140625" style="77"/>
    <col min="257" max="258" width="9.42578125" style="77" customWidth="1"/>
    <col min="259" max="259" width="6.42578125" style="77" customWidth="1"/>
    <col min="260" max="260" width="48.85546875" style="77" customWidth="1"/>
    <col min="261" max="261" width="21.140625" style="77" customWidth="1"/>
    <col min="262" max="262" width="13" style="77" customWidth="1"/>
    <col min="263" max="263" width="11.5703125" style="77" customWidth="1"/>
    <col min="264" max="265" width="13.5703125" style="77" customWidth="1"/>
    <col min="266" max="266" width="9.140625" style="77"/>
    <col min="267" max="267" width="9.42578125" style="77" customWidth="1"/>
    <col min="268" max="268" width="14.85546875" style="77" customWidth="1"/>
    <col min="269" max="279" width="0" style="77" hidden="1" customWidth="1"/>
    <col min="280" max="280" width="17.7109375" style="77" customWidth="1"/>
    <col min="281" max="281" width="25" style="77" customWidth="1"/>
    <col min="282" max="282" width="11.5703125" style="77" customWidth="1"/>
    <col min="283" max="284" width="11" style="77" customWidth="1"/>
    <col min="285" max="285" width="8.42578125" style="77" customWidth="1"/>
    <col min="286" max="288" width="6.28515625" style="77" bestFit="1" customWidth="1"/>
    <col min="289" max="512" width="9.140625" style="77"/>
    <col min="513" max="514" width="9.42578125" style="77" customWidth="1"/>
    <col min="515" max="515" width="6.42578125" style="77" customWidth="1"/>
    <col min="516" max="516" width="48.85546875" style="77" customWidth="1"/>
    <col min="517" max="517" width="21.140625" style="77" customWidth="1"/>
    <col min="518" max="518" width="13" style="77" customWidth="1"/>
    <col min="519" max="519" width="11.5703125" style="77" customWidth="1"/>
    <col min="520" max="521" width="13.5703125" style="77" customWidth="1"/>
    <col min="522" max="522" width="9.140625" style="77"/>
    <col min="523" max="523" width="9.42578125" style="77" customWidth="1"/>
    <col min="524" max="524" width="14.85546875" style="77" customWidth="1"/>
    <col min="525" max="535" width="0" style="77" hidden="1" customWidth="1"/>
    <col min="536" max="536" width="17.7109375" style="77" customWidth="1"/>
    <col min="537" max="537" width="25" style="77" customWidth="1"/>
    <col min="538" max="538" width="11.5703125" style="77" customWidth="1"/>
    <col min="539" max="540" width="11" style="77" customWidth="1"/>
    <col min="541" max="541" width="8.42578125" style="77" customWidth="1"/>
    <col min="542" max="544" width="6.28515625" style="77" bestFit="1" customWidth="1"/>
    <col min="545" max="768" width="9.140625" style="77"/>
    <col min="769" max="770" width="9.42578125" style="77" customWidth="1"/>
    <col min="771" max="771" width="6.42578125" style="77" customWidth="1"/>
    <col min="772" max="772" width="48.85546875" style="77" customWidth="1"/>
    <col min="773" max="773" width="21.140625" style="77" customWidth="1"/>
    <col min="774" max="774" width="13" style="77" customWidth="1"/>
    <col min="775" max="775" width="11.5703125" style="77" customWidth="1"/>
    <col min="776" max="777" width="13.5703125" style="77" customWidth="1"/>
    <col min="778" max="778" width="9.140625" style="77"/>
    <col min="779" max="779" width="9.42578125" style="77" customWidth="1"/>
    <col min="780" max="780" width="14.85546875" style="77" customWidth="1"/>
    <col min="781" max="791" width="0" style="77" hidden="1" customWidth="1"/>
    <col min="792" max="792" width="17.7109375" style="77" customWidth="1"/>
    <col min="793" max="793" width="25" style="77" customWidth="1"/>
    <col min="794" max="794" width="11.5703125" style="77" customWidth="1"/>
    <col min="795" max="796" width="11" style="77" customWidth="1"/>
    <col min="797" max="797" width="8.42578125" style="77" customWidth="1"/>
    <col min="798" max="800" width="6.28515625" style="77" bestFit="1" customWidth="1"/>
    <col min="801" max="1024" width="9.140625" style="77"/>
    <col min="1025" max="1026" width="9.42578125" style="77" customWidth="1"/>
    <col min="1027" max="1027" width="6.42578125" style="77" customWidth="1"/>
    <col min="1028" max="1028" width="48.85546875" style="77" customWidth="1"/>
    <col min="1029" max="1029" width="21.140625" style="77" customWidth="1"/>
    <col min="1030" max="1030" width="13" style="77" customWidth="1"/>
    <col min="1031" max="1031" width="11.5703125" style="77" customWidth="1"/>
    <col min="1032" max="1033" width="13.5703125" style="77" customWidth="1"/>
    <col min="1034" max="1034" width="9.140625" style="77"/>
    <col min="1035" max="1035" width="9.42578125" style="77" customWidth="1"/>
    <col min="1036" max="1036" width="14.85546875" style="77" customWidth="1"/>
    <col min="1037" max="1047" width="0" style="77" hidden="1" customWidth="1"/>
    <col min="1048" max="1048" width="17.7109375" style="77" customWidth="1"/>
    <col min="1049" max="1049" width="25" style="77" customWidth="1"/>
    <col min="1050" max="1050" width="11.5703125" style="77" customWidth="1"/>
    <col min="1051" max="1052" width="11" style="77" customWidth="1"/>
    <col min="1053" max="1053" width="8.42578125" style="77" customWidth="1"/>
    <col min="1054" max="1056" width="6.28515625" style="77" bestFit="1" customWidth="1"/>
    <col min="1057" max="1280" width="9.140625" style="77"/>
    <col min="1281" max="1282" width="9.42578125" style="77" customWidth="1"/>
    <col min="1283" max="1283" width="6.42578125" style="77" customWidth="1"/>
    <col min="1284" max="1284" width="48.85546875" style="77" customWidth="1"/>
    <col min="1285" max="1285" width="21.140625" style="77" customWidth="1"/>
    <col min="1286" max="1286" width="13" style="77" customWidth="1"/>
    <col min="1287" max="1287" width="11.5703125" style="77" customWidth="1"/>
    <col min="1288" max="1289" width="13.5703125" style="77" customWidth="1"/>
    <col min="1290" max="1290" width="9.140625" style="77"/>
    <col min="1291" max="1291" width="9.42578125" style="77" customWidth="1"/>
    <col min="1292" max="1292" width="14.85546875" style="77" customWidth="1"/>
    <col min="1293" max="1303" width="0" style="77" hidden="1" customWidth="1"/>
    <col min="1304" max="1304" width="17.7109375" style="77" customWidth="1"/>
    <col min="1305" max="1305" width="25" style="77" customWidth="1"/>
    <col min="1306" max="1306" width="11.5703125" style="77" customWidth="1"/>
    <col min="1307" max="1308" width="11" style="77" customWidth="1"/>
    <col min="1309" max="1309" width="8.42578125" style="77" customWidth="1"/>
    <col min="1310" max="1312" width="6.28515625" style="77" bestFit="1" customWidth="1"/>
    <col min="1313" max="1536" width="9.140625" style="77"/>
    <col min="1537" max="1538" width="9.42578125" style="77" customWidth="1"/>
    <col min="1539" max="1539" width="6.42578125" style="77" customWidth="1"/>
    <col min="1540" max="1540" width="48.85546875" style="77" customWidth="1"/>
    <col min="1541" max="1541" width="21.140625" style="77" customWidth="1"/>
    <col min="1542" max="1542" width="13" style="77" customWidth="1"/>
    <col min="1543" max="1543" width="11.5703125" style="77" customWidth="1"/>
    <col min="1544" max="1545" width="13.5703125" style="77" customWidth="1"/>
    <col min="1546" max="1546" width="9.140625" style="77"/>
    <col min="1547" max="1547" width="9.42578125" style="77" customWidth="1"/>
    <col min="1548" max="1548" width="14.85546875" style="77" customWidth="1"/>
    <col min="1549" max="1559" width="0" style="77" hidden="1" customWidth="1"/>
    <col min="1560" max="1560" width="17.7109375" style="77" customWidth="1"/>
    <col min="1561" max="1561" width="25" style="77" customWidth="1"/>
    <col min="1562" max="1562" width="11.5703125" style="77" customWidth="1"/>
    <col min="1563" max="1564" width="11" style="77" customWidth="1"/>
    <col min="1565" max="1565" width="8.42578125" style="77" customWidth="1"/>
    <col min="1566" max="1568" width="6.28515625" style="77" bestFit="1" customWidth="1"/>
    <col min="1569" max="1792" width="9.140625" style="77"/>
    <col min="1793" max="1794" width="9.42578125" style="77" customWidth="1"/>
    <col min="1795" max="1795" width="6.42578125" style="77" customWidth="1"/>
    <col min="1796" max="1796" width="48.85546875" style="77" customWidth="1"/>
    <col min="1797" max="1797" width="21.140625" style="77" customWidth="1"/>
    <col min="1798" max="1798" width="13" style="77" customWidth="1"/>
    <col min="1799" max="1799" width="11.5703125" style="77" customWidth="1"/>
    <col min="1800" max="1801" width="13.5703125" style="77" customWidth="1"/>
    <col min="1802" max="1802" width="9.140625" style="77"/>
    <col min="1803" max="1803" width="9.42578125" style="77" customWidth="1"/>
    <col min="1804" max="1804" width="14.85546875" style="77" customWidth="1"/>
    <col min="1805" max="1815" width="0" style="77" hidden="1" customWidth="1"/>
    <col min="1816" max="1816" width="17.7109375" style="77" customWidth="1"/>
    <col min="1817" max="1817" width="25" style="77" customWidth="1"/>
    <col min="1818" max="1818" width="11.5703125" style="77" customWidth="1"/>
    <col min="1819" max="1820" width="11" style="77" customWidth="1"/>
    <col min="1821" max="1821" width="8.42578125" style="77" customWidth="1"/>
    <col min="1822" max="1824" width="6.28515625" style="77" bestFit="1" customWidth="1"/>
    <col min="1825" max="2048" width="9.140625" style="77"/>
    <col min="2049" max="2050" width="9.42578125" style="77" customWidth="1"/>
    <col min="2051" max="2051" width="6.42578125" style="77" customWidth="1"/>
    <col min="2052" max="2052" width="48.85546875" style="77" customWidth="1"/>
    <col min="2053" max="2053" width="21.140625" style="77" customWidth="1"/>
    <col min="2054" max="2054" width="13" style="77" customWidth="1"/>
    <col min="2055" max="2055" width="11.5703125" style="77" customWidth="1"/>
    <col min="2056" max="2057" width="13.5703125" style="77" customWidth="1"/>
    <col min="2058" max="2058" width="9.140625" style="77"/>
    <col min="2059" max="2059" width="9.42578125" style="77" customWidth="1"/>
    <col min="2060" max="2060" width="14.85546875" style="77" customWidth="1"/>
    <col min="2061" max="2071" width="0" style="77" hidden="1" customWidth="1"/>
    <col min="2072" max="2072" width="17.7109375" style="77" customWidth="1"/>
    <col min="2073" max="2073" width="25" style="77" customWidth="1"/>
    <col min="2074" max="2074" width="11.5703125" style="77" customWidth="1"/>
    <col min="2075" max="2076" width="11" style="77" customWidth="1"/>
    <col min="2077" max="2077" width="8.42578125" style="77" customWidth="1"/>
    <col min="2078" max="2080" width="6.28515625" style="77" bestFit="1" customWidth="1"/>
    <col min="2081" max="2304" width="9.140625" style="77"/>
    <col min="2305" max="2306" width="9.42578125" style="77" customWidth="1"/>
    <col min="2307" max="2307" width="6.42578125" style="77" customWidth="1"/>
    <col min="2308" max="2308" width="48.85546875" style="77" customWidth="1"/>
    <col min="2309" max="2309" width="21.140625" style="77" customWidth="1"/>
    <col min="2310" max="2310" width="13" style="77" customWidth="1"/>
    <col min="2311" max="2311" width="11.5703125" style="77" customWidth="1"/>
    <col min="2312" max="2313" width="13.5703125" style="77" customWidth="1"/>
    <col min="2314" max="2314" width="9.140625" style="77"/>
    <col min="2315" max="2315" width="9.42578125" style="77" customWidth="1"/>
    <col min="2316" max="2316" width="14.85546875" style="77" customWidth="1"/>
    <col min="2317" max="2327" width="0" style="77" hidden="1" customWidth="1"/>
    <col min="2328" max="2328" width="17.7109375" style="77" customWidth="1"/>
    <col min="2329" max="2329" width="25" style="77" customWidth="1"/>
    <col min="2330" max="2330" width="11.5703125" style="77" customWidth="1"/>
    <col min="2331" max="2332" width="11" style="77" customWidth="1"/>
    <col min="2333" max="2333" width="8.42578125" style="77" customWidth="1"/>
    <col min="2334" max="2336" width="6.28515625" style="77" bestFit="1" customWidth="1"/>
    <col min="2337" max="2560" width="9.140625" style="77"/>
    <col min="2561" max="2562" width="9.42578125" style="77" customWidth="1"/>
    <col min="2563" max="2563" width="6.42578125" style="77" customWidth="1"/>
    <col min="2564" max="2564" width="48.85546875" style="77" customWidth="1"/>
    <col min="2565" max="2565" width="21.140625" style="77" customWidth="1"/>
    <col min="2566" max="2566" width="13" style="77" customWidth="1"/>
    <col min="2567" max="2567" width="11.5703125" style="77" customWidth="1"/>
    <col min="2568" max="2569" width="13.5703125" style="77" customWidth="1"/>
    <col min="2570" max="2570" width="9.140625" style="77"/>
    <col min="2571" max="2571" width="9.42578125" style="77" customWidth="1"/>
    <col min="2572" max="2572" width="14.85546875" style="77" customWidth="1"/>
    <col min="2573" max="2583" width="0" style="77" hidden="1" customWidth="1"/>
    <col min="2584" max="2584" width="17.7109375" style="77" customWidth="1"/>
    <col min="2585" max="2585" width="25" style="77" customWidth="1"/>
    <col min="2586" max="2586" width="11.5703125" style="77" customWidth="1"/>
    <col min="2587" max="2588" width="11" style="77" customWidth="1"/>
    <col min="2589" max="2589" width="8.42578125" style="77" customWidth="1"/>
    <col min="2590" max="2592" width="6.28515625" style="77" bestFit="1" customWidth="1"/>
    <col min="2593" max="2816" width="9.140625" style="77"/>
    <col min="2817" max="2818" width="9.42578125" style="77" customWidth="1"/>
    <col min="2819" max="2819" width="6.42578125" style="77" customWidth="1"/>
    <col min="2820" max="2820" width="48.85546875" style="77" customWidth="1"/>
    <col min="2821" max="2821" width="21.140625" style="77" customWidth="1"/>
    <col min="2822" max="2822" width="13" style="77" customWidth="1"/>
    <col min="2823" max="2823" width="11.5703125" style="77" customWidth="1"/>
    <col min="2824" max="2825" width="13.5703125" style="77" customWidth="1"/>
    <col min="2826" max="2826" width="9.140625" style="77"/>
    <col min="2827" max="2827" width="9.42578125" style="77" customWidth="1"/>
    <col min="2828" max="2828" width="14.85546875" style="77" customWidth="1"/>
    <col min="2829" max="2839" width="0" style="77" hidden="1" customWidth="1"/>
    <col min="2840" max="2840" width="17.7109375" style="77" customWidth="1"/>
    <col min="2841" max="2841" width="25" style="77" customWidth="1"/>
    <col min="2842" max="2842" width="11.5703125" style="77" customWidth="1"/>
    <col min="2843" max="2844" width="11" style="77" customWidth="1"/>
    <col min="2845" max="2845" width="8.42578125" style="77" customWidth="1"/>
    <col min="2846" max="2848" width="6.28515625" style="77" bestFit="1" customWidth="1"/>
    <col min="2849" max="3072" width="9.140625" style="77"/>
    <col min="3073" max="3074" width="9.42578125" style="77" customWidth="1"/>
    <col min="3075" max="3075" width="6.42578125" style="77" customWidth="1"/>
    <col min="3076" max="3076" width="48.85546875" style="77" customWidth="1"/>
    <col min="3077" max="3077" width="21.140625" style="77" customWidth="1"/>
    <col min="3078" max="3078" width="13" style="77" customWidth="1"/>
    <col min="3079" max="3079" width="11.5703125" style="77" customWidth="1"/>
    <col min="3080" max="3081" width="13.5703125" style="77" customWidth="1"/>
    <col min="3082" max="3082" width="9.140625" style="77"/>
    <col min="3083" max="3083" width="9.42578125" style="77" customWidth="1"/>
    <col min="3084" max="3084" width="14.85546875" style="77" customWidth="1"/>
    <col min="3085" max="3095" width="0" style="77" hidden="1" customWidth="1"/>
    <col min="3096" max="3096" width="17.7109375" style="77" customWidth="1"/>
    <col min="3097" max="3097" width="25" style="77" customWidth="1"/>
    <col min="3098" max="3098" width="11.5703125" style="77" customWidth="1"/>
    <col min="3099" max="3100" width="11" style="77" customWidth="1"/>
    <col min="3101" max="3101" width="8.42578125" style="77" customWidth="1"/>
    <col min="3102" max="3104" width="6.28515625" style="77" bestFit="1" customWidth="1"/>
    <col min="3105" max="3328" width="9.140625" style="77"/>
    <col min="3329" max="3330" width="9.42578125" style="77" customWidth="1"/>
    <col min="3331" max="3331" width="6.42578125" style="77" customWidth="1"/>
    <col min="3332" max="3332" width="48.85546875" style="77" customWidth="1"/>
    <col min="3333" max="3333" width="21.140625" style="77" customWidth="1"/>
    <col min="3334" max="3334" width="13" style="77" customWidth="1"/>
    <col min="3335" max="3335" width="11.5703125" style="77" customWidth="1"/>
    <col min="3336" max="3337" width="13.5703125" style="77" customWidth="1"/>
    <col min="3338" max="3338" width="9.140625" style="77"/>
    <col min="3339" max="3339" width="9.42578125" style="77" customWidth="1"/>
    <col min="3340" max="3340" width="14.85546875" style="77" customWidth="1"/>
    <col min="3341" max="3351" width="0" style="77" hidden="1" customWidth="1"/>
    <col min="3352" max="3352" width="17.7109375" style="77" customWidth="1"/>
    <col min="3353" max="3353" width="25" style="77" customWidth="1"/>
    <col min="3354" max="3354" width="11.5703125" style="77" customWidth="1"/>
    <col min="3355" max="3356" width="11" style="77" customWidth="1"/>
    <col min="3357" max="3357" width="8.42578125" style="77" customWidth="1"/>
    <col min="3358" max="3360" width="6.28515625" style="77" bestFit="1" customWidth="1"/>
    <col min="3361" max="3584" width="9.140625" style="77"/>
    <col min="3585" max="3586" width="9.42578125" style="77" customWidth="1"/>
    <col min="3587" max="3587" width="6.42578125" style="77" customWidth="1"/>
    <col min="3588" max="3588" width="48.85546875" style="77" customWidth="1"/>
    <col min="3589" max="3589" width="21.140625" style="77" customWidth="1"/>
    <col min="3590" max="3590" width="13" style="77" customWidth="1"/>
    <col min="3591" max="3591" width="11.5703125" style="77" customWidth="1"/>
    <col min="3592" max="3593" width="13.5703125" style="77" customWidth="1"/>
    <col min="3594" max="3594" width="9.140625" style="77"/>
    <col min="3595" max="3595" width="9.42578125" style="77" customWidth="1"/>
    <col min="3596" max="3596" width="14.85546875" style="77" customWidth="1"/>
    <col min="3597" max="3607" width="0" style="77" hidden="1" customWidth="1"/>
    <col min="3608" max="3608" width="17.7109375" style="77" customWidth="1"/>
    <col min="3609" max="3609" width="25" style="77" customWidth="1"/>
    <col min="3610" max="3610" width="11.5703125" style="77" customWidth="1"/>
    <col min="3611" max="3612" width="11" style="77" customWidth="1"/>
    <col min="3613" max="3613" width="8.42578125" style="77" customWidth="1"/>
    <col min="3614" max="3616" width="6.28515625" style="77" bestFit="1" customWidth="1"/>
    <col min="3617" max="3840" width="9.140625" style="77"/>
    <col min="3841" max="3842" width="9.42578125" style="77" customWidth="1"/>
    <col min="3843" max="3843" width="6.42578125" style="77" customWidth="1"/>
    <col min="3844" max="3844" width="48.85546875" style="77" customWidth="1"/>
    <col min="3845" max="3845" width="21.140625" style="77" customWidth="1"/>
    <col min="3846" max="3846" width="13" style="77" customWidth="1"/>
    <col min="3847" max="3847" width="11.5703125" style="77" customWidth="1"/>
    <col min="3848" max="3849" width="13.5703125" style="77" customWidth="1"/>
    <col min="3850" max="3850" width="9.140625" style="77"/>
    <col min="3851" max="3851" width="9.42578125" style="77" customWidth="1"/>
    <col min="3852" max="3852" width="14.85546875" style="77" customWidth="1"/>
    <col min="3853" max="3863" width="0" style="77" hidden="1" customWidth="1"/>
    <col min="3864" max="3864" width="17.7109375" style="77" customWidth="1"/>
    <col min="3865" max="3865" width="25" style="77" customWidth="1"/>
    <col min="3866" max="3866" width="11.5703125" style="77" customWidth="1"/>
    <col min="3867" max="3868" width="11" style="77" customWidth="1"/>
    <col min="3869" max="3869" width="8.42578125" style="77" customWidth="1"/>
    <col min="3870" max="3872" width="6.28515625" style="77" bestFit="1" customWidth="1"/>
    <col min="3873" max="4096" width="9.140625" style="77"/>
    <col min="4097" max="4098" width="9.42578125" style="77" customWidth="1"/>
    <col min="4099" max="4099" width="6.42578125" style="77" customWidth="1"/>
    <col min="4100" max="4100" width="48.85546875" style="77" customWidth="1"/>
    <col min="4101" max="4101" width="21.140625" style="77" customWidth="1"/>
    <col min="4102" max="4102" width="13" style="77" customWidth="1"/>
    <col min="4103" max="4103" width="11.5703125" style="77" customWidth="1"/>
    <col min="4104" max="4105" width="13.5703125" style="77" customWidth="1"/>
    <col min="4106" max="4106" width="9.140625" style="77"/>
    <col min="4107" max="4107" width="9.42578125" style="77" customWidth="1"/>
    <col min="4108" max="4108" width="14.85546875" style="77" customWidth="1"/>
    <col min="4109" max="4119" width="0" style="77" hidden="1" customWidth="1"/>
    <col min="4120" max="4120" width="17.7109375" style="77" customWidth="1"/>
    <col min="4121" max="4121" width="25" style="77" customWidth="1"/>
    <col min="4122" max="4122" width="11.5703125" style="77" customWidth="1"/>
    <col min="4123" max="4124" width="11" style="77" customWidth="1"/>
    <col min="4125" max="4125" width="8.42578125" style="77" customWidth="1"/>
    <col min="4126" max="4128" width="6.28515625" style="77" bestFit="1" customWidth="1"/>
    <col min="4129" max="4352" width="9.140625" style="77"/>
    <col min="4353" max="4354" width="9.42578125" style="77" customWidth="1"/>
    <col min="4355" max="4355" width="6.42578125" style="77" customWidth="1"/>
    <col min="4356" max="4356" width="48.85546875" style="77" customWidth="1"/>
    <col min="4357" max="4357" width="21.140625" style="77" customWidth="1"/>
    <col min="4358" max="4358" width="13" style="77" customWidth="1"/>
    <col min="4359" max="4359" width="11.5703125" style="77" customWidth="1"/>
    <col min="4360" max="4361" width="13.5703125" style="77" customWidth="1"/>
    <col min="4362" max="4362" width="9.140625" style="77"/>
    <col min="4363" max="4363" width="9.42578125" style="77" customWidth="1"/>
    <col min="4364" max="4364" width="14.85546875" style="77" customWidth="1"/>
    <col min="4365" max="4375" width="0" style="77" hidden="1" customWidth="1"/>
    <col min="4376" max="4376" width="17.7109375" style="77" customWidth="1"/>
    <col min="4377" max="4377" width="25" style="77" customWidth="1"/>
    <col min="4378" max="4378" width="11.5703125" style="77" customWidth="1"/>
    <col min="4379" max="4380" width="11" style="77" customWidth="1"/>
    <col min="4381" max="4381" width="8.42578125" style="77" customWidth="1"/>
    <col min="4382" max="4384" width="6.28515625" style="77" bestFit="1" customWidth="1"/>
    <col min="4385" max="4608" width="9.140625" style="77"/>
    <col min="4609" max="4610" width="9.42578125" style="77" customWidth="1"/>
    <col min="4611" max="4611" width="6.42578125" style="77" customWidth="1"/>
    <col min="4612" max="4612" width="48.85546875" style="77" customWidth="1"/>
    <col min="4613" max="4613" width="21.140625" style="77" customWidth="1"/>
    <col min="4614" max="4614" width="13" style="77" customWidth="1"/>
    <col min="4615" max="4615" width="11.5703125" style="77" customWidth="1"/>
    <col min="4616" max="4617" width="13.5703125" style="77" customWidth="1"/>
    <col min="4618" max="4618" width="9.140625" style="77"/>
    <col min="4619" max="4619" width="9.42578125" style="77" customWidth="1"/>
    <col min="4620" max="4620" width="14.85546875" style="77" customWidth="1"/>
    <col min="4621" max="4631" width="0" style="77" hidden="1" customWidth="1"/>
    <col min="4632" max="4632" width="17.7109375" style="77" customWidth="1"/>
    <col min="4633" max="4633" width="25" style="77" customWidth="1"/>
    <col min="4634" max="4634" width="11.5703125" style="77" customWidth="1"/>
    <col min="4635" max="4636" width="11" style="77" customWidth="1"/>
    <col min="4637" max="4637" width="8.42578125" style="77" customWidth="1"/>
    <col min="4638" max="4640" width="6.28515625" style="77" bestFit="1" customWidth="1"/>
    <col min="4641" max="4864" width="9.140625" style="77"/>
    <col min="4865" max="4866" width="9.42578125" style="77" customWidth="1"/>
    <col min="4867" max="4867" width="6.42578125" style="77" customWidth="1"/>
    <col min="4868" max="4868" width="48.85546875" style="77" customWidth="1"/>
    <col min="4869" max="4869" width="21.140625" style="77" customWidth="1"/>
    <col min="4870" max="4870" width="13" style="77" customWidth="1"/>
    <col min="4871" max="4871" width="11.5703125" style="77" customWidth="1"/>
    <col min="4872" max="4873" width="13.5703125" style="77" customWidth="1"/>
    <col min="4874" max="4874" width="9.140625" style="77"/>
    <col min="4875" max="4875" width="9.42578125" style="77" customWidth="1"/>
    <col min="4876" max="4876" width="14.85546875" style="77" customWidth="1"/>
    <col min="4877" max="4887" width="0" style="77" hidden="1" customWidth="1"/>
    <col min="4888" max="4888" width="17.7109375" style="77" customWidth="1"/>
    <col min="4889" max="4889" width="25" style="77" customWidth="1"/>
    <col min="4890" max="4890" width="11.5703125" style="77" customWidth="1"/>
    <col min="4891" max="4892" width="11" style="77" customWidth="1"/>
    <col min="4893" max="4893" width="8.42578125" style="77" customWidth="1"/>
    <col min="4894" max="4896" width="6.28515625" style="77" bestFit="1" customWidth="1"/>
    <col min="4897" max="5120" width="9.140625" style="77"/>
    <col min="5121" max="5122" width="9.42578125" style="77" customWidth="1"/>
    <col min="5123" max="5123" width="6.42578125" style="77" customWidth="1"/>
    <col min="5124" max="5124" width="48.85546875" style="77" customWidth="1"/>
    <col min="5125" max="5125" width="21.140625" style="77" customWidth="1"/>
    <col min="5126" max="5126" width="13" style="77" customWidth="1"/>
    <col min="5127" max="5127" width="11.5703125" style="77" customWidth="1"/>
    <col min="5128" max="5129" width="13.5703125" style="77" customWidth="1"/>
    <col min="5130" max="5130" width="9.140625" style="77"/>
    <col min="5131" max="5131" width="9.42578125" style="77" customWidth="1"/>
    <col min="5132" max="5132" width="14.85546875" style="77" customWidth="1"/>
    <col min="5133" max="5143" width="0" style="77" hidden="1" customWidth="1"/>
    <col min="5144" max="5144" width="17.7109375" style="77" customWidth="1"/>
    <col min="5145" max="5145" width="25" style="77" customWidth="1"/>
    <col min="5146" max="5146" width="11.5703125" style="77" customWidth="1"/>
    <col min="5147" max="5148" width="11" style="77" customWidth="1"/>
    <col min="5149" max="5149" width="8.42578125" style="77" customWidth="1"/>
    <col min="5150" max="5152" width="6.28515625" style="77" bestFit="1" customWidth="1"/>
    <col min="5153" max="5376" width="9.140625" style="77"/>
    <col min="5377" max="5378" width="9.42578125" style="77" customWidth="1"/>
    <col min="5379" max="5379" width="6.42578125" style="77" customWidth="1"/>
    <col min="5380" max="5380" width="48.85546875" style="77" customWidth="1"/>
    <col min="5381" max="5381" width="21.140625" style="77" customWidth="1"/>
    <col min="5382" max="5382" width="13" style="77" customWidth="1"/>
    <col min="5383" max="5383" width="11.5703125" style="77" customWidth="1"/>
    <col min="5384" max="5385" width="13.5703125" style="77" customWidth="1"/>
    <col min="5386" max="5386" width="9.140625" style="77"/>
    <col min="5387" max="5387" width="9.42578125" style="77" customWidth="1"/>
    <col min="5388" max="5388" width="14.85546875" style="77" customWidth="1"/>
    <col min="5389" max="5399" width="0" style="77" hidden="1" customWidth="1"/>
    <col min="5400" max="5400" width="17.7109375" style="77" customWidth="1"/>
    <col min="5401" max="5401" width="25" style="77" customWidth="1"/>
    <col min="5402" max="5402" width="11.5703125" style="77" customWidth="1"/>
    <col min="5403" max="5404" width="11" style="77" customWidth="1"/>
    <col min="5405" max="5405" width="8.42578125" style="77" customWidth="1"/>
    <col min="5406" max="5408" width="6.28515625" style="77" bestFit="1" customWidth="1"/>
    <col min="5409" max="5632" width="9.140625" style="77"/>
    <col min="5633" max="5634" width="9.42578125" style="77" customWidth="1"/>
    <col min="5635" max="5635" width="6.42578125" style="77" customWidth="1"/>
    <col min="5636" max="5636" width="48.85546875" style="77" customWidth="1"/>
    <col min="5637" max="5637" width="21.140625" style="77" customWidth="1"/>
    <col min="5638" max="5638" width="13" style="77" customWidth="1"/>
    <col min="5639" max="5639" width="11.5703125" style="77" customWidth="1"/>
    <col min="5640" max="5641" width="13.5703125" style="77" customWidth="1"/>
    <col min="5642" max="5642" width="9.140625" style="77"/>
    <col min="5643" max="5643" width="9.42578125" style="77" customWidth="1"/>
    <col min="5644" max="5644" width="14.85546875" style="77" customWidth="1"/>
    <col min="5645" max="5655" width="0" style="77" hidden="1" customWidth="1"/>
    <col min="5656" max="5656" width="17.7109375" style="77" customWidth="1"/>
    <col min="5657" max="5657" width="25" style="77" customWidth="1"/>
    <col min="5658" max="5658" width="11.5703125" style="77" customWidth="1"/>
    <col min="5659" max="5660" width="11" style="77" customWidth="1"/>
    <col min="5661" max="5661" width="8.42578125" style="77" customWidth="1"/>
    <col min="5662" max="5664" width="6.28515625" style="77" bestFit="1" customWidth="1"/>
    <col min="5665" max="5888" width="9.140625" style="77"/>
    <col min="5889" max="5890" width="9.42578125" style="77" customWidth="1"/>
    <col min="5891" max="5891" width="6.42578125" style="77" customWidth="1"/>
    <col min="5892" max="5892" width="48.85546875" style="77" customWidth="1"/>
    <col min="5893" max="5893" width="21.140625" style="77" customWidth="1"/>
    <col min="5894" max="5894" width="13" style="77" customWidth="1"/>
    <col min="5895" max="5895" width="11.5703125" style="77" customWidth="1"/>
    <col min="5896" max="5897" width="13.5703125" style="77" customWidth="1"/>
    <col min="5898" max="5898" width="9.140625" style="77"/>
    <col min="5899" max="5899" width="9.42578125" style="77" customWidth="1"/>
    <col min="5900" max="5900" width="14.85546875" style="77" customWidth="1"/>
    <col min="5901" max="5911" width="0" style="77" hidden="1" customWidth="1"/>
    <col min="5912" max="5912" width="17.7109375" style="77" customWidth="1"/>
    <col min="5913" max="5913" width="25" style="77" customWidth="1"/>
    <col min="5914" max="5914" width="11.5703125" style="77" customWidth="1"/>
    <col min="5915" max="5916" width="11" style="77" customWidth="1"/>
    <col min="5917" max="5917" width="8.42578125" style="77" customWidth="1"/>
    <col min="5918" max="5920" width="6.28515625" style="77" bestFit="1" customWidth="1"/>
    <col min="5921" max="6144" width="9.140625" style="77"/>
    <col min="6145" max="6146" width="9.42578125" style="77" customWidth="1"/>
    <col min="6147" max="6147" width="6.42578125" style="77" customWidth="1"/>
    <col min="6148" max="6148" width="48.85546875" style="77" customWidth="1"/>
    <col min="6149" max="6149" width="21.140625" style="77" customWidth="1"/>
    <col min="6150" max="6150" width="13" style="77" customWidth="1"/>
    <col min="6151" max="6151" width="11.5703125" style="77" customWidth="1"/>
    <col min="6152" max="6153" width="13.5703125" style="77" customWidth="1"/>
    <col min="6154" max="6154" width="9.140625" style="77"/>
    <col min="6155" max="6155" width="9.42578125" style="77" customWidth="1"/>
    <col min="6156" max="6156" width="14.85546875" style="77" customWidth="1"/>
    <col min="6157" max="6167" width="0" style="77" hidden="1" customWidth="1"/>
    <col min="6168" max="6168" width="17.7109375" style="77" customWidth="1"/>
    <col min="6169" max="6169" width="25" style="77" customWidth="1"/>
    <col min="6170" max="6170" width="11.5703125" style="77" customWidth="1"/>
    <col min="6171" max="6172" width="11" style="77" customWidth="1"/>
    <col min="6173" max="6173" width="8.42578125" style="77" customWidth="1"/>
    <col min="6174" max="6176" width="6.28515625" style="77" bestFit="1" customWidth="1"/>
    <col min="6177" max="6400" width="9.140625" style="77"/>
    <col min="6401" max="6402" width="9.42578125" style="77" customWidth="1"/>
    <col min="6403" max="6403" width="6.42578125" style="77" customWidth="1"/>
    <col min="6404" max="6404" width="48.85546875" style="77" customWidth="1"/>
    <col min="6405" max="6405" width="21.140625" style="77" customWidth="1"/>
    <col min="6406" max="6406" width="13" style="77" customWidth="1"/>
    <col min="6407" max="6407" width="11.5703125" style="77" customWidth="1"/>
    <col min="6408" max="6409" width="13.5703125" style="77" customWidth="1"/>
    <col min="6410" max="6410" width="9.140625" style="77"/>
    <col min="6411" max="6411" width="9.42578125" style="77" customWidth="1"/>
    <col min="6412" max="6412" width="14.85546875" style="77" customWidth="1"/>
    <col min="6413" max="6423" width="0" style="77" hidden="1" customWidth="1"/>
    <col min="6424" max="6424" width="17.7109375" style="77" customWidth="1"/>
    <col min="6425" max="6425" width="25" style="77" customWidth="1"/>
    <col min="6426" max="6426" width="11.5703125" style="77" customWidth="1"/>
    <col min="6427" max="6428" width="11" style="77" customWidth="1"/>
    <col min="6429" max="6429" width="8.42578125" style="77" customWidth="1"/>
    <col min="6430" max="6432" width="6.28515625" style="77" bestFit="1" customWidth="1"/>
    <col min="6433" max="6656" width="9.140625" style="77"/>
    <col min="6657" max="6658" width="9.42578125" style="77" customWidth="1"/>
    <col min="6659" max="6659" width="6.42578125" style="77" customWidth="1"/>
    <col min="6660" max="6660" width="48.85546875" style="77" customWidth="1"/>
    <col min="6661" max="6661" width="21.140625" style="77" customWidth="1"/>
    <col min="6662" max="6662" width="13" style="77" customWidth="1"/>
    <col min="6663" max="6663" width="11.5703125" style="77" customWidth="1"/>
    <col min="6664" max="6665" width="13.5703125" style="77" customWidth="1"/>
    <col min="6666" max="6666" width="9.140625" style="77"/>
    <col min="6667" max="6667" width="9.42578125" style="77" customWidth="1"/>
    <col min="6668" max="6668" width="14.85546875" style="77" customWidth="1"/>
    <col min="6669" max="6679" width="0" style="77" hidden="1" customWidth="1"/>
    <col min="6680" max="6680" width="17.7109375" style="77" customWidth="1"/>
    <col min="6681" max="6681" width="25" style="77" customWidth="1"/>
    <col min="6682" max="6682" width="11.5703125" style="77" customWidth="1"/>
    <col min="6683" max="6684" width="11" style="77" customWidth="1"/>
    <col min="6685" max="6685" width="8.42578125" style="77" customWidth="1"/>
    <col min="6686" max="6688" width="6.28515625" style="77" bestFit="1" customWidth="1"/>
    <col min="6689" max="6912" width="9.140625" style="77"/>
    <col min="6913" max="6914" width="9.42578125" style="77" customWidth="1"/>
    <col min="6915" max="6915" width="6.42578125" style="77" customWidth="1"/>
    <col min="6916" max="6916" width="48.85546875" style="77" customWidth="1"/>
    <col min="6917" max="6917" width="21.140625" style="77" customWidth="1"/>
    <col min="6918" max="6918" width="13" style="77" customWidth="1"/>
    <col min="6919" max="6919" width="11.5703125" style="77" customWidth="1"/>
    <col min="6920" max="6921" width="13.5703125" style="77" customWidth="1"/>
    <col min="6922" max="6922" width="9.140625" style="77"/>
    <col min="6923" max="6923" width="9.42578125" style="77" customWidth="1"/>
    <col min="6924" max="6924" width="14.85546875" style="77" customWidth="1"/>
    <col min="6925" max="6935" width="0" style="77" hidden="1" customWidth="1"/>
    <col min="6936" max="6936" width="17.7109375" style="77" customWidth="1"/>
    <col min="6937" max="6937" width="25" style="77" customWidth="1"/>
    <col min="6938" max="6938" width="11.5703125" style="77" customWidth="1"/>
    <col min="6939" max="6940" width="11" style="77" customWidth="1"/>
    <col min="6941" max="6941" width="8.42578125" style="77" customWidth="1"/>
    <col min="6942" max="6944" width="6.28515625" style="77" bestFit="1" customWidth="1"/>
    <col min="6945" max="7168" width="9.140625" style="77"/>
    <col min="7169" max="7170" width="9.42578125" style="77" customWidth="1"/>
    <col min="7171" max="7171" width="6.42578125" style="77" customWidth="1"/>
    <col min="7172" max="7172" width="48.85546875" style="77" customWidth="1"/>
    <col min="7173" max="7173" width="21.140625" style="77" customWidth="1"/>
    <col min="7174" max="7174" width="13" style="77" customWidth="1"/>
    <col min="7175" max="7175" width="11.5703125" style="77" customWidth="1"/>
    <col min="7176" max="7177" width="13.5703125" style="77" customWidth="1"/>
    <col min="7178" max="7178" width="9.140625" style="77"/>
    <col min="7179" max="7179" width="9.42578125" style="77" customWidth="1"/>
    <col min="7180" max="7180" width="14.85546875" style="77" customWidth="1"/>
    <col min="7181" max="7191" width="0" style="77" hidden="1" customWidth="1"/>
    <col min="7192" max="7192" width="17.7109375" style="77" customWidth="1"/>
    <col min="7193" max="7193" width="25" style="77" customWidth="1"/>
    <col min="7194" max="7194" width="11.5703125" style="77" customWidth="1"/>
    <col min="7195" max="7196" width="11" style="77" customWidth="1"/>
    <col min="7197" max="7197" width="8.42578125" style="77" customWidth="1"/>
    <col min="7198" max="7200" width="6.28515625" style="77" bestFit="1" customWidth="1"/>
    <col min="7201" max="7424" width="9.140625" style="77"/>
    <col min="7425" max="7426" width="9.42578125" style="77" customWidth="1"/>
    <col min="7427" max="7427" width="6.42578125" style="77" customWidth="1"/>
    <col min="7428" max="7428" width="48.85546875" style="77" customWidth="1"/>
    <col min="7429" max="7429" width="21.140625" style="77" customWidth="1"/>
    <col min="7430" max="7430" width="13" style="77" customWidth="1"/>
    <col min="7431" max="7431" width="11.5703125" style="77" customWidth="1"/>
    <col min="7432" max="7433" width="13.5703125" style="77" customWidth="1"/>
    <col min="7434" max="7434" width="9.140625" style="77"/>
    <col min="7435" max="7435" width="9.42578125" style="77" customWidth="1"/>
    <col min="7436" max="7436" width="14.85546875" style="77" customWidth="1"/>
    <col min="7437" max="7447" width="0" style="77" hidden="1" customWidth="1"/>
    <col min="7448" max="7448" width="17.7109375" style="77" customWidth="1"/>
    <col min="7449" max="7449" width="25" style="77" customWidth="1"/>
    <col min="7450" max="7450" width="11.5703125" style="77" customWidth="1"/>
    <col min="7451" max="7452" width="11" style="77" customWidth="1"/>
    <col min="7453" max="7453" width="8.42578125" style="77" customWidth="1"/>
    <col min="7454" max="7456" width="6.28515625" style="77" bestFit="1" customWidth="1"/>
    <col min="7457" max="7680" width="9.140625" style="77"/>
    <col min="7681" max="7682" width="9.42578125" style="77" customWidth="1"/>
    <col min="7683" max="7683" width="6.42578125" style="77" customWidth="1"/>
    <col min="7684" max="7684" width="48.85546875" style="77" customWidth="1"/>
    <col min="7685" max="7685" width="21.140625" style="77" customWidth="1"/>
    <col min="7686" max="7686" width="13" style="77" customWidth="1"/>
    <col min="7687" max="7687" width="11.5703125" style="77" customWidth="1"/>
    <col min="7688" max="7689" width="13.5703125" style="77" customWidth="1"/>
    <col min="7690" max="7690" width="9.140625" style="77"/>
    <col min="7691" max="7691" width="9.42578125" style="77" customWidth="1"/>
    <col min="7692" max="7692" width="14.85546875" style="77" customWidth="1"/>
    <col min="7693" max="7703" width="0" style="77" hidden="1" customWidth="1"/>
    <col min="7704" max="7704" width="17.7109375" style="77" customWidth="1"/>
    <col min="7705" max="7705" width="25" style="77" customWidth="1"/>
    <col min="7706" max="7706" width="11.5703125" style="77" customWidth="1"/>
    <col min="7707" max="7708" width="11" style="77" customWidth="1"/>
    <col min="7709" max="7709" width="8.42578125" style="77" customWidth="1"/>
    <col min="7710" max="7712" width="6.28515625" style="77" bestFit="1" customWidth="1"/>
    <col min="7713" max="7936" width="9.140625" style="77"/>
    <col min="7937" max="7938" width="9.42578125" style="77" customWidth="1"/>
    <col min="7939" max="7939" width="6.42578125" style="77" customWidth="1"/>
    <col min="7940" max="7940" width="48.85546875" style="77" customWidth="1"/>
    <col min="7941" max="7941" width="21.140625" style="77" customWidth="1"/>
    <col min="7942" max="7942" width="13" style="77" customWidth="1"/>
    <col min="7943" max="7943" width="11.5703125" style="77" customWidth="1"/>
    <col min="7944" max="7945" width="13.5703125" style="77" customWidth="1"/>
    <col min="7946" max="7946" width="9.140625" style="77"/>
    <col min="7947" max="7947" width="9.42578125" style="77" customWidth="1"/>
    <col min="7948" max="7948" width="14.85546875" style="77" customWidth="1"/>
    <col min="7949" max="7959" width="0" style="77" hidden="1" customWidth="1"/>
    <col min="7960" max="7960" width="17.7109375" style="77" customWidth="1"/>
    <col min="7961" max="7961" width="25" style="77" customWidth="1"/>
    <col min="7962" max="7962" width="11.5703125" style="77" customWidth="1"/>
    <col min="7963" max="7964" width="11" style="77" customWidth="1"/>
    <col min="7965" max="7965" width="8.42578125" style="77" customWidth="1"/>
    <col min="7966" max="7968" width="6.28515625" style="77" bestFit="1" customWidth="1"/>
    <col min="7969" max="8192" width="9.140625" style="77"/>
    <col min="8193" max="8194" width="9.42578125" style="77" customWidth="1"/>
    <col min="8195" max="8195" width="6.42578125" style="77" customWidth="1"/>
    <col min="8196" max="8196" width="48.85546875" style="77" customWidth="1"/>
    <col min="8197" max="8197" width="21.140625" style="77" customWidth="1"/>
    <col min="8198" max="8198" width="13" style="77" customWidth="1"/>
    <col min="8199" max="8199" width="11.5703125" style="77" customWidth="1"/>
    <col min="8200" max="8201" width="13.5703125" style="77" customWidth="1"/>
    <col min="8202" max="8202" width="9.140625" style="77"/>
    <col min="8203" max="8203" width="9.42578125" style="77" customWidth="1"/>
    <col min="8204" max="8204" width="14.85546875" style="77" customWidth="1"/>
    <col min="8205" max="8215" width="0" style="77" hidden="1" customWidth="1"/>
    <col min="8216" max="8216" width="17.7109375" style="77" customWidth="1"/>
    <col min="8217" max="8217" width="25" style="77" customWidth="1"/>
    <col min="8218" max="8218" width="11.5703125" style="77" customWidth="1"/>
    <col min="8219" max="8220" width="11" style="77" customWidth="1"/>
    <col min="8221" max="8221" width="8.42578125" style="77" customWidth="1"/>
    <col min="8222" max="8224" width="6.28515625" style="77" bestFit="1" customWidth="1"/>
    <col min="8225" max="8448" width="9.140625" style="77"/>
    <col min="8449" max="8450" width="9.42578125" style="77" customWidth="1"/>
    <col min="8451" max="8451" width="6.42578125" style="77" customWidth="1"/>
    <col min="8452" max="8452" width="48.85546875" style="77" customWidth="1"/>
    <col min="8453" max="8453" width="21.140625" style="77" customWidth="1"/>
    <col min="8454" max="8454" width="13" style="77" customWidth="1"/>
    <col min="8455" max="8455" width="11.5703125" style="77" customWidth="1"/>
    <col min="8456" max="8457" width="13.5703125" style="77" customWidth="1"/>
    <col min="8458" max="8458" width="9.140625" style="77"/>
    <col min="8459" max="8459" width="9.42578125" style="77" customWidth="1"/>
    <col min="8460" max="8460" width="14.85546875" style="77" customWidth="1"/>
    <col min="8461" max="8471" width="0" style="77" hidden="1" customWidth="1"/>
    <col min="8472" max="8472" width="17.7109375" style="77" customWidth="1"/>
    <col min="8473" max="8473" width="25" style="77" customWidth="1"/>
    <col min="8474" max="8474" width="11.5703125" style="77" customWidth="1"/>
    <col min="8475" max="8476" width="11" style="77" customWidth="1"/>
    <col min="8477" max="8477" width="8.42578125" style="77" customWidth="1"/>
    <col min="8478" max="8480" width="6.28515625" style="77" bestFit="1" customWidth="1"/>
    <col min="8481" max="8704" width="9.140625" style="77"/>
    <col min="8705" max="8706" width="9.42578125" style="77" customWidth="1"/>
    <col min="8707" max="8707" width="6.42578125" style="77" customWidth="1"/>
    <col min="8708" max="8708" width="48.85546875" style="77" customWidth="1"/>
    <col min="8709" max="8709" width="21.140625" style="77" customWidth="1"/>
    <col min="8710" max="8710" width="13" style="77" customWidth="1"/>
    <col min="8711" max="8711" width="11.5703125" style="77" customWidth="1"/>
    <col min="8712" max="8713" width="13.5703125" style="77" customWidth="1"/>
    <col min="8714" max="8714" width="9.140625" style="77"/>
    <col min="8715" max="8715" width="9.42578125" style="77" customWidth="1"/>
    <col min="8716" max="8716" width="14.85546875" style="77" customWidth="1"/>
    <col min="8717" max="8727" width="0" style="77" hidden="1" customWidth="1"/>
    <col min="8728" max="8728" width="17.7109375" style="77" customWidth="1"/>
    <col min="8729" max="8729" width="25" style="77" customWidth="1"/>
    <col min="8730" max="8730" width="11.5703125" style="77" customWidth="1"/>
    <col min="8731" max="8732" width="11" style="77" customWidth="1"/>
    <col min="8733" max="8733" width="8.42578125" style="77" customWidth="1"/>
    <col min="8734" max="8736" width="6.28515625" style="77" bestFit="1" customWidth="1"/>
    <col min="8737" max="8960" width="9.140625" style="77"/>
    <col min="8961" max="8962" width="9.42578125" style="77" customWidth="1"/>
    <col min="8963" max="8963" width="6.42578125" style="77" customWidth="1"/>
    <col min="8964" max="8964" width="48.85546875" style="77" customWidth="1"/>
    <col min="8965" max="8965" width="21.140625" style="77" customWidth="1"/>
    <col min="8966" max="8966" width="13" style="77" customWidth="1"/>
    <col min="8967" max="8967" width="11.5703125" style="77" customWidth="1"/>
    <col min="8968" max="8969" width="13.5703125" style="77" customWidth="1"/>
    <col min="8970" max="8970" width="9.140625" style="77"/>
    <col min="8971" max="8971" width="9.42578125" style="77" customWidth="1"/>
    <col min="8972" max="8972" width="14.85546875" style="77" customWidth="1"/>
    <col min="8973" max="8983" width="0" style="77" hidden="1" customWidth="1"/>
    <col min="8984" max="8984" width="17.7109375" style="77" customWidth="1"/>
    <col min="8985" max="8985" width="25" style="77" customWidth="1"/>
    <col min="8986" max="8986" width="11.5703125" style="77" customWidth="1"/>
    <col min="8987" max="8988" width="11" style="77" customWidth="1"/>
    <col min="8989" max="8989" width="8.42578125" style="77" customWidth="1"/>
    <col min="8990" max="8992" width="6.28515625" style="77" bestFit="1" customWidth="1"/>
    <col min="8993" max="9216" width="9.140625" style="77"/>
    <col min="9217" max="9218" width="9.42578125" style="77" customWidth="1"/>
    <col min="9219" max="9219" width="6.42578125" style="77" customWidth="1"/>
    <col min="9220" max="9220" width="48.85546875" style="77" customWidth="1"/>
    <col min="9221" max="9221" width="21.140625" style="77" customWidth="1"/>
    <col min="9222" max="9222" width="13" style="77" customWidth="1"/>
    <col min="9223" max="9223" width="11.5703125" style="77" customWidth="1"/>
    <col min="9224" max="9225" width="13.5703125" style="77" customWidth="1"/>
    <col min="9226" max="9226" width="9.140625" style="77"/>
    <col min="9227" max="9227" width="9.42578125" style="77" customWidth="1"/>
    <col min="9228" max="9228" width="14.85546875" style="77" customWidth="1"/>
    <col min="9229" max="9239" width="0" style="77" hidden="1" customWidth="1"/>
    <col min="9240" max="9240" width="17.7109375" style="77" customWidth="1"/>
    <col min="9241" max="9241" width="25" style="77" customWidth="1"/>
    <col min="9242" max="9242" width="11.5703125" style="77" customWidth="1"/>
    <col min="9243" max="9244" width="11" style="77" customWidth="1"/>
    <col min="9245" max="9245" width="8.42578125" style="77" customWidth="1"/>
    <col min="9246" max="9248" width="6.28515625" style="77" bestFit="1" customWidth="1"/>
    <col min="9249" max="9472" width="9.140625" style="77"/>
    <col min="9473" max="9474" width="9.42578125" style="77" customWidth="1"/>
    <col min="9475" max="9475" width="6.42578125" style="77" customWidth="1"/>
    <col min="9476" max="9476" width="48.85546875" style="77" customWidth="1"/>
    <col min="9477" max="9477" width="21.140625" style="77" customWidth="1"/>
    <col min="9478" max="9478" width="13" style="77" customWidth="1"/>
    <col min="9479" max="9479" width="11.5703125" style="77" customWidth="1"/>
    <col min="9480" max="9481" width="13.5703125" style="77" customWidth="1"/>
    <col min="9482" max="9482" width="9.140625" style="77"/>
    <col min="9483" max="9483" width="9.42578125" style="77" customWidth="1"/>
    <col min="9484" max="9484" width="14.85546875" style="77" customWidth="1"/>
    <col min="9485" max="9495" width="0" style="77" hidden="1" customWidth="1"/>
    <col min="9496" max="9496" width="17.7109375" style="77" customWidth="1"/>
    <col min="9497" max="9497" width="25" style="77" customWidth="1"/>
    <col min="9498" max="9498" width="11.5703125" style="77" customWidth="1"/>
    <col min="9499" max="9500" width="11" style="77" customWidth="1"/>
    <col min="9501" max="9501" width="8.42578125" style="77" customWidth="1"/>
    <col min="9502" max="9504" width="6.28515625" style="77" bestFit="1" customWidth="1"/>
    <col min="9505" max="9728" width="9.140625" style="77"/>
    <col min="9729" max="9730" width="9.42578125" style="77" customWidth="1"/>
    <col min="9731" max="9731" width="6.42578125" style="77" customWidth="1"/>
    <col min="9732" max="9732" width="48.85546875" style="77" customWidth="1"/>
    <col min="9733" max="9733" width="21.140625" style="77" customWidth="1"/>
    <col min="9734" max="9734" width="13" style="77" customWidth="1"/>
    <col min="9735" max="9735" width="11.5703125" style="77" customWidth="1"/>
    <col min="9736" max="9737" width="13.5703125" style="77" customWidth="1"/>
    <col min="9738" max="9738" width="9.140625" style="77"/>
    <col min="9739" max="9739" width="9.42578125" style="77" customWidth="1"/>
    <col min="9740" max="9740" width="14.85546875" style="77" customWidth="1"/>
    <col min="9741" max="9751" width="0" style="77" hidden="1" customWidth="1"/>
    <col min="9752" max="9752" width="17.7109375" style="77" customWidth="1"/>
    <col min="9753" max="9753" width="25" style="77" customWidth="1"/>
    <col min="9754" max="9754" width="11.5703125" style="77" customWidth="1"/>
    <col min="9755" max="9756" width="11" style="77" customWidth="1"/>
    <col min="9757" max="9757" width="8.42578125" style="77" customWidth="1"/>
    <col min="9758" max="9760" width="6.28515625" style="77" bestFit="1" customWidth="1"/>
    <col min="9761" max="9984" width="9.140625" style="77"/>
    <col min="9985" max="9986" width="9.42578125" style="77" customWidth="1"/>
    <col min="9987" max="9987" width="6.42578125" style="77" customWidth="1"/>
    <col min="9988" max="9988" width="48.85546875" style="77" customWidth="1"/>
    <col min="9989" max="9989" width="21.140625" style="77" customWidth="1"/>
    <col min="9990" max="9990" width="13" style="77" customWidth="1"/>
    <col min="9991" max="9991" width="11.5703125" style="77" customWidth="1"/>
    <col min="9992" max="9993" width="13.5703125" style="77" customWidth="1"/>
    <col min="9994" max="9994" width="9.140625" style="77"/>
    <col min="9995" max="9995" width="9.42578125" style="77" customWidth="1"/>
    <col min="9996" max="9996" width="14.85546875" style="77" customWidth="1"/>
    <col min="9997" max="10007" width="0" style="77" hidden="1" customWidth="1"/>
    <col min="10008" max="10008" width="17.7109375" style="77" customWidth="1"/>
    <col min="10009" max="10009" width="25" style="77" customWidth="1"/>
    <col min="10010" max="10010" width="11.5703125" style="77" customWidth="1"/>
    <col min="10011" max="10012" width="11" style="77" customWidth="1"/>
    <col min="10013" max="10013" width="8.42578125" style="77" customWidth="1"/>
    <col min="10014" max="10016" width="6.28515625" style="77" bestFit="1" customWidth="1"/>
    <col min="10017" max="10240" width="9.140625" style="77"/>
    <col min="10241" max="10242" width="9.42578125" style="77" customWidth="1"/>
    <col min="10243" max="10243" width="6.42578125" style="77" customWidth="1"/>
    <col min="10244" max="10244" width="48.85546875" style="77" customWidth="1"/>
    <col min="10245" max="10245" width="21.140625" style="77" customWidth="1"/>
    <col min="10246" max="10246" width="13" style="77" customWidth="1"/>
    <col min="10247" max="10247" width="11.5703125" style="77" customWidth="1"/>
    <col min="10248" max="10249" width="13.5703125" style="77" customWidth="1"/>
    <col min="10250" max="10250" width="9.140625" style="77"/>
    <col min="10251" max="10251" width="9.42578125" style="77" customWidth="1"/>
    <col min="10252" max="10252" width="14.85546875" style="77" customWidth="1"/>
    <col min="10253" max="10263" width="0" style="77" hidden="1" customWidth="1"/>
    <col min="10264" max="10264" width="17.7109375" style="77" customWidth="1"/>
    <col min="10265" max="10265" width="25" style="77" customWidth="1"/>
    <col min="10266" max="10266" width="11.5703125" style="77" customWidth="1"/>
    <col min="10267" max="10268" width="11" style="77" customWidth="1"/>
    <col min="10269" max="10269" width="8.42578125" style="77" customWidth="1"/>
    <col min="10270" max="10272" width="6.28515625" style="77" bestFit="1" customWidth="1"/>
    <col min="10273" max="10496" width="9.140625" style="77"/>
    <col min="10497" max="10498" width="9.42578125" style="77" customWidth="1"/>
    <col min="10499" max="10499" width="6.42578125" style="77" customWidth="1"/>
    <col min="10500" max="10500" width="48.85546875" style="77" customWidth="1"/>
    <col min="10501" max="10501" width="21.140625" style="77" customWidth="1"/>
    <col min="10502" max="10502" width="13" style="77" customWidth="1"/>
    <col min="10503" max="10503" width="11.5703125" style="77" customWidth="1"/>
    <col min="10504" max="10505" width="13.5703125" style="77" customWidth="1"/>
    <col min="10506" max="10506" width="9.140625" style="77"/>
    <col min="10507" max="10507" width="9.42578125" style="77" customWidth="1"/>
    <col min="10508" max="10508" width="14.85546875" style="77" customWidth="1"/>
    <col min="10509" max="10519" width="0" style="77" hidden="1" customWidth="1"/>
    <col min="10520" max="10520" width="17.7109375" style="77" customWidth="1"/>
    <col min="10521" max="10521" width="25" style="77" customWidth="1"/>
    <col min="10522" max="10522" width="11.5703125" style="77" customWidth="1"/>
    <col min="10523" max="10524" width="11" style="77" customWidth="1"/>
    <col min="10525" max="10525" width="8.42578125" style="77" customWidth="1"/>
    <col min="10526" max="10528" width="6.28515625" style="77" bestFit="1" customWidth="1"/>
    <col min="10529" max="10752" width="9.140625" style="77"/>
    <col min="10753" max="10754" width="9.42578125" style="77" customWidth="1"/>
    <col min="10755" max="10755" width="6.42578125" style="77" customWidth="1"/>
    <col min="10756" max="10756" width="48.85546875" style="77" customWidth="1"/>
    <col min="10757" max="10757" width="21.140625" style="77" customWidth="1"/>
    <col min="10758" max="10758" width="13" style="77" customWidth="1"/>
    <col min="10759" max="10759" width="11.5703125" style="77" customWidth="1"/>
    <col min="10760" max="10761" width="13.5703125" style="77" customWidth="1"/>
    <col min="10762" max="10762" width="9.140625" style="77"/>
    <col min="10763" max="10763" width="9.42578125" style="77" customWidth="1"/>
    <col min="10764" max="10764" width="14.85546875" style="77" customWidth="1"/>
    <col min="10765" max="10775" width="0" style="77" hidden="1" customWidth="1"/>
    <col min="10776" max="10776" width="17.7109375" style="77" customWidth="1"/>
    <col min="10777" max="10777" width="25" style="77" customWidth="1"/>
    <col min="10778" max="10778" width="11.5703125" style="77" customWidth="1"/>
    <col min="10779" max="10780" width="11" style="77" customWidth="1"/>
    <col min="10781" max="10781" width="8.42578125" style="77" customWidth="1"/>
    <col min="10782" max="10784" width="6.28515625" style="77" bestFit="1" customWidth="1"/>
    <col min="10785" max="11008" width="9.140625" style="77"/>
    <col min="11009" max="11010" width="9.42578125" style="77" customWidth="1"/>
    <col min="11011" max="11011" width="6.42578125" style="77" customWidth="1"/>
    <col min="11012" max="11012" width="48.85546875" style="77" customWidth="1"/>
    <col min="11013" max="11013" width="21.140625" style="77" customWidth="1"/>
    <col min="11014" max="11014" width="13" style="77" customWidth="1"/>
    <col min="11015" max="11015" width="11.5703125" style="77" customWidth="1"/>
    <col min="11016" max="11017" width="13.5703125" style="77" customWidth="1"/>
    <col min="11018" max="11018" width="9.140625" style="77"/>
    <col min="11019" max="11019" width="9.42578125" style="77" customWidth="1"/>
    <col min="11020" max="11020" width="14.85546875" style="77" customWidth="1"/>
    <col min="11021" max="11031" width="0" style="77" hidden="1" customWidth="1"/>
    <col min="11032" max="11032" width="17.7109375" style="77" customWidth="1"/>
    <col min="11033" max="11033" width="25" style="77" customWidth="1"/>
    <col min="11034" max="11034" width="11.5703125" style="77" customWidth="1"/>
    <col min="11035" max="11036" width="11" style="77" customWidth="1"/>
    <col min="11037" max="11037" width="8.42578125" style="77" customWidth="1"/>
    <col min="11038" max="11040" width="6.28515625" style="77" bestFit="1" customWidth="1"/>
    <col min="11041" max="11264" width="9.140625" style="77"/>
    <col min="11265" max="11266" width="9.42578125" style="77" customWidth="1"/>
    <col min="11267" max="11267" width="6.42578125" style="77" customWidth="1"/>
    <col min="11268" max="11268" width="48.85546875" style="77" customWidth="1"/>
    <col min="11269" max="11269" width="21.140625" style="77" customWidth="1"/>
    <col min="11270" max="11270" width="13" style="77" customWidth="1"/>
    <col min="11271" max="11271" width="11.5703125" style="77" customWidth="1"/>
    <col min="11272" max="11273" width="13.5703125" style="77" customWidth="1"/>
    <col min="11274" max="11274" width="9.140625" style="77"/>
    <col min="11275" max="11275" width="9.42578125" style="77" customWidth="1"/>
    <col min="11276" max="11276" width="14.85546875" style="77" customWidth="1"/>
    <col min="11277" max="11287" width="0" style="77" hidden="1" customWidth="1"/>
    <col min="11288" max="11288" width="17.7109375" style="77" customWidth="1"/>
    <col min="11289" max="11289" width="25" style="77" customWidth="1"/>
    <col min="11290" max="11290" width="11.5703125" style="77" customWidth="1"/>
    <col min="11291" max="11292" width="11" style="77" customWidth="1"/>
    <col min="11293" max="11293" width="8.42578125" style="77" customWidth="1"/>
    <col min="11294" max="11296" width="6.28515625" style="77" bestFit="1" customWidth="1"/>
    <col min="11297" max="11520" width="9.140625" style="77"/>
    <col min="11521" max="11522" width="9.42578125" style="77" customWidth="1"/>
    <col min="11523" max="11523" width="6.42578125" style="77" customWidth="1"/>
    <col min="11524" max="11524" width="48.85546875" style="77" customWidth="1"/>
    <col min="11525" max="11525" width="21.140625" style="77" customWidth="1"/>
    <col min="11526" max="11526" width="13" style="77" customWidth="1"/>
    <col min="11527" max="11527" width="11.5703125" style="77" customWidth="1"/>
    <col min="11528" max="11529" width="13.5703125" style="77" customWidth="1"/>
    <col min="11530" max="11530" width="9.140625" style="77"/>
    <col min="11531" max="11531" width="9.42578125" style="77" customWidth="1"/>
    <col min="11532" max="11532" width="14.85546875" style="77" customWidth="1"/>
    <col min="11533" max="11543" width="0" style="77" hidden="1" customWidth="1"/>
    <col min="11544" max="11544" width="17.7109375" style="77" customWidth="1"/>
    <col min="11545" max="11545" width="25" style="77" customWidth="1"/>
    <col min="11546" max="11546" width="11.5703125" style="77" customWidth="1"/>
    <col min="11547" max="11548" width="11" style="77" customWidth="1"/>
    <col min="11549" max="11549" width="8.42578125" style="77" customWidth="1"/>
    <col min="11550" max="11552" width="6.28515625" style="77" bestFit="1" customWidth="1"/>
    <col min="11553" max="11776" width="9.140625" style="77"/>
    <col min="11777" max="11778" width="9.42578125" style="77" customWidth="1"/>
    <col min="11779" max="11779" width="6.42578125" style="77" customWidth="1"/>
    <col min="11780" max="11780" width="48.85546875" style="77" customWidth="1"/>
    <col min="11781" max="11781" width="21.140625" style="77" customWidth="1"/>
    <col min="11782" max="11782" width="13" style="77" customWidth="1"/>
    <col min="11783" max="11783" width="11.5703125" style="77" customWidth="1"/>
    <col min="11784" max="11785" width="13.5703125" style="77" customWidth="1"/>
    <col min="11786" max="11786" width="9.140625" style="77"/>
    <col min="11787" max="11787" width="9.42578125" style="77" customWidth="1"/>
    <col min="11788" max="11788" width="14.85546875" style="77" customWidth="1"/>
    <col min="11789" max="11799" width="0" style="77" hidden="1" customWidth="1"/>
    <col min="11800" max="11800" width="17.7109375" style="77" customWidth="1"/>
    <col min="11801" max="11801" width="25" style="77" customWidth="1"/>
    <col min="11802" max="11802" width="11.5703125" style="77" customWidth="1"/>
    <col min="11803" max="11804" width="11" style="77" customWidth="1"/>
    <col min="11805" max="11805" width="8.42578125" style="77" customWidth="1"/>
    <col min="11806" max="11808" width="6.28515625" style="77" bestFit="1" customWidth="1"/>
    <col min="11809" max="12032" width="9.140625" style="77"/>
    <col min="12033" max="12034" width="9.42578125" style="77" customWidth="1"/>
    <col min="12035" max="12035" width="6.42578125" style="77" customWidth="1"/>
    <col min="12036" max="12036" width="48.85546875" style="77" customWidth="1"/>
    <col min="12037" max="12037" width="21.140625" style="77" customWidth="1"/>
    <col min="12038" max="12038" width="13" style="77" customWidth="1"/>
    <col min="12039" max="12039" width="11.5703125" style="77" customWidth="1"/>
    <col min="12040" max="12041" width="13.5703125" style="77" customWidth="1"/>
    <col min="12042" max="12042" width="9.140625" style="77"/>
    <col min="12043" max="12043" width="9.42578125" style="77" customWidth="1"/>
    <col min="12044" max="12044" width="14.85546875" style="77" customWidth="1"/>
    <col min="12045" max="12055" width="0" style="77" hidden="1" customWidth="1"/>
    <col min="12056" max="12056" width="17.7109375" style="77" customWidth="1"/>
    <col min="12057" max="12057" width="25" style="77" customWidth="1"/>
    <col min="12058" max="12058" width="11.5703125" style="77" customWidth="1"/>
    <col min="12059" max="12060" width="11" style="77" customWidth="1"/>
    <col min="12061" max="12061" width="8.42578125" style="77" customWidth="1"/>
    <col min="12062" max="12064" width="6.28515625" style="77" bestFit="1" customWidth="1"/>
    <col min="12065" max="12288" width="9.140625" style="77"/>
    <col min="12289" max="12290" width="9.42578125" style="77" customWidth="1"/>
    <col min="12291" max="12291" width="6.42578125" style="77" customWidth="1"/>
    <col min="12292" max="12292" width="48.85546875" style="77" customWidth="1"/>
    <col min="12293" max="12293" width="21.140625" style="77" customWidth="1"/>
    <col min="12294" max="12294" width="13" style="77" customWidth="1"/>
    <col min="12295" max="12295" width="11.5703125" style="77" customWidth="1"/>
    <col min="12296" max="12297" width="13.5703125" style="77" customWidth="1"/>
    <col min="12298" max="12298" width="9.140625" style="77"/>
    <col min="12299" max="12299" width="9.42578125" style="77" customWidth="1"/>
    <col min="12300" max="12300" width="14.85546875" style="77" customWidth="1"/>
    <col min="12301" max="12311" width="0" style="77" hidden="1" customWidth="1"/>
    <col min="12312" max="12312" width="17.7109375" style="77" customWidth="1"/>
    <col min="12313" max="12313" width="25" style="77" customWidth="1"/>
    <col min="12314" max="12314" width="11.5703125" style="77" customWidth="1"/>
    <col min="12315" max="12316" width="11" style="77" customWidth="1"/>
    <col min="12317" max="12317" width="8.42578125" style="77" customWidth="1"/>
    <col min="12318" max="12320" width="6.28515625" style="77" bestFit="1" customWidth="1"/>
    <col min="12321" max="12544" width="9.140625" style="77"/>
    <col min="12545" max="12546" width="9.42578125" style="77" customWidth="1"/>
    <col min="12547" max="12547" width="6.42578125" style="77" customWidth="1"/>
    <col min="12548" max="12548" width="48.85546875" style="77" customWidth="1"/>
    <col min="12549" max="12549" width="21.140625" style="77" customWidth="1"/>
    <col min="12550" max="12550" width="13" style="77" customWidth="1"/>
    <col min="12551" max="12551" width="11.5703125" style="77" customWidth="1"/>
    <col min="12552" max="12553" width="13.5703125" style="77" customWidth="1"/>
    <col min="12554" max="12554" width="9.140625" style="77"/>
    <col min="12555" max="12555" width="9.42578125" style="77" customWidth="1"/>
    <col min="12556" max="12556" width="14.85546875" style="77" customWidth="1"/>
    <col min="12557" max="12567" width="0" style="77" hidden="1" customWidth="1"/>
    <col min="12568" max="12568" width="17.7109375" style="77" customWidth="1"/>
    <col min="12569" max="12569" width="25" style="77" customWidth="1"/>
    <col min="12570" max="12570" width="11.5703125" style="77" customWidth="1"/>
    <col min="12571" max="12572" width="11" style="77" customWidth="1"/>
    <col min="12573" max="12573" width="8.42578125" style="77" customWidth="1"/>
    <col min="12574" max="12576" width="6.28515625" style="77" bestFit="1" customWidth="1"/>
    <col min="12577" max="12800" width="9.140625" style="77"/>
    <col min="12801" max="12802" width="9.42578125" style="77" customWidth="1"/>
    <col min="12803" max="12803" width="6.42578125" style="77" customWidth="1"/>
    <col min="12804" max="12804" width="48.85546875" style="77" customWidth="1"/>
    <col min="12805" max="12805" width="21.140625" style="77" customWidth="1"/>
    <col min="12806" max="12806" width="13" style="77" customWidth="1"/>
    <col min="12807" max="12807" width="11.5703125" style="77" customWidth="1"/>
    <col min="12808" max="12809" width="13.5703125" style="77" customWidth="1"/>
    <col min="12810" max="12810" width="9.140625" style="77"/>
    <col min="12811" max="12811" width="9.42578125" style="77" customWidth="1"/>
    <col min="12812" max="12812" width="14.85546875" style="77" customWidth="1"/>
    <col min="12813" max="12823" width="0" style="77" hidden="1" customWidth="1"/>
    <col min="12824" max="12824" width="17.7109375" style="77" customWidth="1"/>
    <col min="12825" max="12825" width="25" style="77" customWidth="1"/>
    <col min="12826" max="12826" width="11.5703125" style="77" customWidth="1"/>
    <col min="12827" max="12828" width="11" style="77" customWidth="1"/>
    <col min="12829" max="12829" width="8.42578125" style="77" customWidth="1"/>
    <col min="12830" max="12832" width="6.28515625" style="77" bestFit="1" customWidth="1"/>
    <col min="12833" max="13056" width="9.140625" style="77"/>
    <col min="13057" max="13058" width="9.42578125" style="77" customWidth="1"/>
    <col min="13059" max="13059" width="6.42578125" style="77" customWidth="1"/>
    <col min="13060" max="13060" width="48.85546875" style="77" customWidth="1"/>
    <col min="13061" max="13061" width="21.140625" style="77" customWidth="1"/>
    <col min="13062" max="13062" width="13" style="77" customWidth="1"/>
    <col min="13063" max="13063" width="11.5703125" style="77" customWidth="1"/>
    <col min="13064" max="13065" width="13.5703125" style="77" customWidth="1"/>
    <col min="13066" max="13066" width="9.140625" style="77"/>
    <col min="13067" max="13067" width="9.42578125" style="77" customWidth="1"/>
    <col min="13068" max="13068" width="14.85546875" style="77" customWidth="1"/>
    <col min="13069" max="13079" width="0" style="77" hidden="1" customWidth="1"/>
    <col min="13080" max="13080" width="17.7109375" style="77" customWidth="1"/>
    <col min="13081" max="13081" width="25" style="77" customWidth="1"/>
    <col min="13082" max="13082" width="11.5703125" style="77" customWidth="1"/>
    <col min="13083" max="13084" width="11" style="77" customWidth="1"/>
    <col min="13085" max="13085" width="8.42578125" style="77" customWidth="1"/>
    <col min="13086" max="13088" width="6.28515625" style="77" bestFit="1" customWidth="1"/>
    <col min="13089" max="13312" width="9.140625" style="77"/>
    <col min="13313" max="13314" width="9.42578125" style="77" customWidth="1"/>
    <col min="13315" max="13315" width="6.42578125" style="77" customWidth="1"/>
    <col min="13316" max="13316" width="48.85546875" style="77" customWidth="1"/>
    <col min="13317" max="13317" width="21.140625" style="77" customWidth="1"/>
    <col min="13318" max="13318" width="13" style="77" customWidth="1"/>
    <col min="13319" max="13319" width="11.5703125" style="77" customWidth="1"/>
    <col min="13320" max="13321" width="13.5703125" style="77" customWidth="1"/>
    <col min="13322" max="13322" width="9.140625" style="77"/>
    <col min="13323" max="13323" width="9.42578125" style="77" customWidth="1"/>
    <col min="13324" max="13324" width="14.85546875" style="77" customWidth="1"/>
    <col min="13325" max="13335" width="0" style="77" hidden="1" customWidth="1"/>
    <col min="13336" max="13336" width="17.7109375" style="77" customWidth="1"/>
    <col min="13337" max="13337" width="25" style="77" customWidth="1"/>
    <col min="13338" max="13338" width="11.5703125" style="77" customWidth="1"/>
    <col min="13339" max="13340" width="11" style="77" customWidth="1"/>
    <col min="13341" max="13341" width="8.42578125" style="77" customWidth="1"/>
    <col min="13342" max="13344" width="6.28515625" style="77" bestFit="1" customWidth="1"/>
    <col min="13345" max="13568" width="9.140625" style="77"/>
    <col min="13569" max="13570" width="9.42578125" style="77" customWidth="1"/>
    <col min="13571" max="13571" width="6.42578125" style="77" customWidth="1"/>
    <col min="13572" max="13572" width="48.85546875" style="77" customWidth="1"/>
    <col min="13573" max="13573" width="21.140625" style="77" customWidth="1"/>
    <col min="13574" max="13574" width="13" style="77" customWidth="1"/>
    <col min="13575" max="13575" width="11.5703125" style="77" customWidth="1"/>
    <col min="13576" max="13577" width="13.5703125" style="77" customWidth="1"/>
    <col min="13578" max="13578" width="9.140625" style="77"/>
    <col min="13579" max="13579" width="9.42578125" style="77" customWidth="1"/>
    <col min="13580" max="13580" width="14.85546875" style="77" customWidth="1"/>
    <col min="13581" max="13591" width="0" style="77" hidden="1" customWidth="1"/>
    <col min="13592" max="13592" width="17.7109375" style="77" customWidth="1"/>
    <col min="13593" max="13593" width="25" style="77" customWidth="1"/>
    <col min="13594" max="13594" width="11.5703125" style="77" customWidth="1"/>
    <col min="13595" max="13596" width="11" style="77" customWidth="1"/>
    <col min="13597" max="13597" width="8.42578125" style="77" customWidth="1"/>
    <col min="13598" max="13600" width="6.28515625" style="77" bestFit="1" customWidth="1"/>
    <col min="13601" max="13824" width="9.140625" style="77"/>
    <col min="13825" max="13826" width="9.42578125" style="77" customWidth="1"/>
    <col min="13827" max="13827" width="6.42578125" style="77" customWidth="1"/>
    <col min="13828" max="13828" width="48.85546875" style="77" customWidth="1"/>
    <col min="13829" max="13829" width="21.140625" style="77" customWidth="1"/>
    <col min="13830" max="13830" width="13" style="77" customWidth="1"/>
    <col min="13831" max="13831" width="11.5703125" style="77" customWidth="1"/>
    <col min="13832" max="13833" width="13.5703125" style="77" customWidth="1"/>
    <col min="13834" max="13834" width="9.140625" style="77"/>
    <col min="13835" max="13835" width="9.42578125" style="77" customWidth="1"/>
    <col min="13836" max="13836" width="14.85546875" style="77" customWidth="1"/>
    <col min="13837" max="13847" width="0" style="77" hidden="1" customWidth="1"/>
    <col min="13848" max="13848" width="17.7109375" style="77" customWidth="1"/>
    <col min="13849" max="13849" width="25" style="77" customWidth="1"/>
    <col min="13850" max="13850" width="11.5703125" style="77" customWidth="1"/>
    <col min="13851" max="13852" width="11" style="77" customWidth="1"/>
    <col min="13853" max="13853" width="8.42578125" style="77" customWidth="1"/>
    <col min="13854" max="13856" width="6.28515625" style="77" bestFit="1" customWidth="1"/>
    <col min="13857" max="14080" width="9.140625" style="77"/>
    <col min="14081" max="14082" width="9.42578125" style="77" customWidth="1"/>
    <col min="14083" max="14083" width="6.42578125" style="77" customWidth="1"/>
    <col min="14084" max="14084" width="48.85546875" style="77" customWidth="1"/>
    <col min="14085" max="14085" width="21.140625" style="77" customWidth="1"/>
    <col min="14086" max="14086" width="13" style="77" customWidth="1"/>
    <col min="14087" max="14087" width="11.5703125" style="77" customWidth="1"/>
    <col min="14088" max="14089" width="13.5703125" style="77" customWidth="1"/>
    <col min="14090" max="14090" width="9.140625" style="77"/>
    <col min="14091" max="14091" width="9.42578125" style="77" customWidth="1"/>
    <col min="14092" max="14092" width="14.85546875" style="77" customWidth="1"/>
    <col min="14093" max="14103" width="0" style="77" hidden="1" customWidth="1"/>
    <col min="14104" max="14104" width="17.7109375" style="77" customWidth="1"/>
    <col min="14105" max="14105" width="25" style="77" customWidth="1"/>
    <col min="14106" max="14106" width="11.5703125" style="77" customWidth="1"/>
    <col min="14107" max="14108" width="11" style="77" customWidth="1"/>
    <col min="14109" max="14109" width="8.42578125" style="77" customWidth="1"/>
    <col min="14110" max="14112" width="6.28515625" style="77" bestFit="1" customWidth="1"/>
    <col min="14113" max="14336" width="9.140625" style="77"/>
    <col min="14337" max="14338" width="9.42578125" style="77" customWidth="1"/>
    <col min="14339" max="14339" width="6.42578125" style="77" customWidth="1"/>
    <col min="14340" max="14340" width="48.85546875" style="77" customWidth="1"/>
    <col min="14341" max="14341" width="21.140625" style="77" customWidth="1"/>
    <col min="14342" max="14342" width="13" style="77" customWidth="1"/>
    <col min="14343" max="14343" width="11.5703125" style="77" customWidth="1"/>
    <col min="14344" max="14345" width="13.5703125" style="77" customWidth="1"/>
    <col min="14346" max="14346" width="9.140625" style="77"/>
    <col min="14347" max="14347" width="9.42578125" style="77" customWidth="1"/>
    <col min="14348" max="14348" width="14.85546875" style="77" customWidth="1"/>
    <col min="14349" max="14359" width="0" style="77" hidden="1" customWidth="1"/>
    <col min="14360" max="14360" width="17.7109375" style="77" customWidth="1"/>
    <col min="14361" max="14361" width="25" style="77" customWidth="1"/>
    <col min="14362" max="14362" width="11.5703125" style="77" customWidth="1"/>
    <col min="14363" max="14364" width="11" style="77" customWidth="1"/>
    <col min="14365" max="14365" width="8.42578125" style="77" customWidth="1"/>
    <col min="14366" max="14368" width="6.28515625" style="77" bestFit="1" customWidth="1"/>
    <col min="14369" max="14592" width="9.140625" style="77"/>
    <col min="14593" max="14594" width="9.42578125" style="77" customWidth="1"/>
    <col min="14595" max="14595" width="6.42578125" style="77" customWidth="1"/>
    <col min="14596" max="14596" width="48.85546875" style="77" customWidth="1"/>
    <col min="14597" max="14597" width="21.140625" style="77" customWidth="1"/>
    <col min="14598" max="14598" width="13" style="77" customWidth="1"/>
    <col min="14599" max="14599" width="11.5703125" style="77" customWidth="1"/>
    <col min="14600" max="14601" width="13.5703125" style="77" customWidth="1"/>
    <col min="14602" max="14602" width="9.140625" style="77"/>
    <col min="14603" max="14603" width="9.42578125" style="77" customWidth="1"/>
    <col min="14604" max="14604" width="14.85546875" style="77" customWidth="1"/>
    <col min="14605" max="14615" width="0" style="77" hidden="1" customWidth="1"/>
    <col min="14616" max="14616" width="17.7109375" style="77" customWidth="1"/>
    <col min="14617" max="14617" width="25" style="77" customWidth="1"/>
    <col min="14618" max="14618" width="11.5703125" style="77" customWidth="1"/>
    <col min="14619" max="14620" width="11" style="77" customWidth="1"/>
    <col min="14621" max="14621" width="8.42578125" style="77" customWidth="1"/>
    <col min="14622" max="14624" width="6.28515625" style="77" bestFit="1" customWidth="1"/>
    <col min="14625" max="14848" width="9.140625" style="77"/>
    <col min="14849" max="14850" width="9.42578125" style="77" customWidth="1"/>
    <col min="14851" max="14851" width="6.42578125" style="77" customWidth="1"/>
    <col min="14852" max="14852" width="48.85546875" style="77" customWidth="1"/>
    <col min="14853" max="14853" width="21.140625" style="77" customWidth="1"/>
    <col min="14854" max="14854" width="13" style="77" customWidth="1"/>
    <col min="14855" max="14855" width="11.5703125" style="77" customWidth="1"/>
    <col min="14856" max="14857" width="13.5703125" style="77" customWidth="1"/>
    <col min="14858" max="14858" width="9.140625" style="77"/>
    <col min="14859" max="14859" width="9.42578125" style="77" customWidth="1"/>
    <col min="14860" max="14860" width="14.85546875" style="77" customWidth="1"/>
    <col min="14861" max="14871" width="0" style="77" hidden="1" customWidth="1"/>
    <col min="14872" max="14872" width="17.7109375" style="77" customWidth="1"/>
    <col min="14873" max="14873" width="25" style="77" customWidth="1"/>
    <col min="14874" max="14874" width="11.5703125" style="77" customWidth="1"/>
    <col min="14875" max="14876" width="11" style="77" customWidth="1"/>
    <col min="14877" max="14877" width="8.42578125" style="77" customWidth="1"/>
    <col min="14878" max="14880" width="6.28515625" style="77" bestFit="1" customWidth="1"/>
    <col min="14881" max="15104" width="9.140625" style="77"/>
    <col min="15105" max="15106" width="9.42578125" style="77" customWidth="1"/>
    <col min="15107" max="15107" width="6.42578125" style="77" customWidth="1"/>
    <col min="15108" max="15108" width="48.85546875" style="77" customWidth="1"/>
    <col min="15109" max="15109" width="21.140625" style="77" customWidth="1"/>
    <col min="15110" max="15110" width="13" style="77" customWidth="1"/>
    <col min="15111" max="15111" width="11.5703125" style="77" customWidth="1"/>
    <col min="15112" max="15113" width="13.5703125" style="77" customWidth="1"/>
    <col min="15114" max="15114" width="9.140625" style="77"/>
    <col min="15115" max="15115" width="9.42578125" style="77" customWidth="1"/>
    <col min="15116" max="15116" width="14.85546875" style="77" customWidth="1"/>
    <col min="15117" max="15127" width="0" style="77" hidden="1" customWidth="1"/>
    <col min="15128" max="15128" width="17.7109375" style="77" customWidth="1"/>
    <col min="15129" max="15129" width="25" style="77" customWidth="1"/>
    <col min="15130" max="15130" width="11.5703125" style="77" customWidth="1"/>
    <col min="15131" max="15132" width="11" style="77" customWidth="1"/>
    <col min="15133" max="15133" width="8.42578125" style="77" customWidth="1"/>
    <col min="15134" max="15136" width="6.28515625" style="77" bestFit="1" customWidth="1"/>
    <col min="15137" max="15360" width="9.140625" style="77"/>
    <col min="15361" max="15362" width="9.42578125" style="77" customWidth="1"/>
    <col min="15363" max="15363" width="6.42578125" style="77" customWidth="1"/>
    <col min="15364" max="15364" width="48.85546875" style="77" customWidth="1"/>
    <col min="15365" max="15365" width="21.140625" style="77" customWidth="1"/>
    <col min="15366" max="15366" width="13" style="77" customWidth="1"/>
    <col min="15367" max="15367" width="11.5703125" style="77" customWidth="1"/>
    <col min="15368" max="15369" width="13.5703125" style="77" customWidth="1"/>
    <col min="15370" max="15370" width="9.140625" style="77"/>
    <col min="15371" max="15371" width="9.42578125" style="77" customWidth="1"/>
    <col min="15372" max="15372" width="14.85546875" style="77" customWidth="1"/>
    <col min="15373" max="15383" width="0" style="77" hidden="1" customWidth="1"/>
    <col min="15384" max="15384" width="17.7109375" style="77" customWidth="1"/>
    <col min="15385" max="15385" width="25" style="77" customWidth="1"/>
    <col min="15386" max="15386" width="11.5703125" style="77" customWidth="1"/>
    <col min="15387" max="15388" width="11" style="77" customWidth="1"/>
    <col min="15389" max="15389" width="8.42578125" style="77" customWidth="1"/>
    <col min="15390" max="15392" width="6.28515625" style="77" bestFit="1" customWidth="1"/>
    <col min="15393" max="15616" width="9.140625" style="77"/>
    <col min="15617" max="15618" width="9.42578125" style="77" customWidth="1"/>
    <col min="15619" max="15619" width="6.42578125" style="77" customWidth="1"/>
    <col min="15620" max="15620" width="48.85546875" style="77" customWidth="1"/>
    <col min="15621" max="15621" width="21.140625" style="77" customWidth="1"/>
    <col min="15622" max="15622" width="13" style="77" customWidth="1"/>
    <col min="15623" max="15623" width="11.5703125" style="77" customWidth="1"/>
    <col min="15624" max="15625" width="13.5703125" style="77" customWidth="1"/>
    <col min="15626" max="15626" width="9.140625" style="77"/>
    <col min="15627" max="15627" width="9.42578125" style="77" customWidth="1"/>
    <col min="15628" max="15628" width="14.85546875" style="77" customWidth="1"/>
    <col min="15629" max="15639" width="0" style="77" hidden="1" customWidth="1"/>
    <col min="15640" max="15640" width="17.7109375" style="77" customWidth="1"/>
    <col min="15641" max="15641" width="25" style="77" customWidth="1"/>
    <col min="15642" max="15642" width="11.5703125" style="77" customWidth="1"/>
    <col min="15643" max="15644" width="11" style="77" customWidth="1"/>
    <col min="15645" max="15645" width="8.42578125" style="77" customWidth="1"/>
    <col min="15646" max="15648" width="6.28515625" style="77" bestFit="1" customWidth="1"/>
    <col min="15649" max="15872" width="9.140625" style="77"/>
    <col min="15873" max="15874" width="9.42578125" style="77" customWidth="1"/>
    <col min="15875" max="15875" width="6.42578125" style="77" customWidth="1"/>
    <col min="15876" max="15876" width="48.85546875" style="77" customWidth="1"/>
    <col min="15877" max="15877" width="21.140625" style="77" customWidth="1"/>
    <col min="15878" max="15878" width="13" style="77" customWidth="1"/>
    <col min="15879" max="15879" width="11.5703125" style="77" customWidth="1"/>
    <col min="15880" max="15881" width="13.5703125" style="77" customWidth="1"/>
    <col min="15882" max="15882" width="9.140625" style="77"/>
    <col min="15883" max="15883" width="9.42578125" style="77" customWidth="1"/>
    <col min="15884" max="15884" width="14.85546875" style="77" customWidth="1"/>
    <col min="15885" max="15895" width="0" style="77" hidden="1" customWidth="1"/>
    <col min="15896" max="15896" width="17.7109375" style="77" customWidth="1"/>
    <col min="15897" max="15897" width="25" style="77" customWidth="1"/>
    <col min="15898" max="15898" width="11.5703125" style="77" customWidth="1"/>
    <col min="15899" max="15900" width="11" style="77" customWidth="1"/>
    <col min="15901" max="15901" width="8.42578125" style="77" customWidth="1"/>
    <col min="15902" max="15904" width="6.28515625" style="77" bestFit="1" customWidth="1"/>
    <col min="15905" max="16128" width="9.140625" style="77"/>
    <col min="16129" max="16130" width="9.42578125" style="77" customWidth="1"/>
    <col min="16131" max="16131" width="6.42578125" style="77" customWidth="1"/>
    <col min="16132" max="16132" width="48.85546875" style="77" customWidth="1"/>
    <col min="16133" max="16133" width="21.140625" style="77" customWidth="1"/>
    <col min="16134" max="16134" width="13" style="77" customWidth="1"/>
    <col min="16135" max="16135" width="11.5703125" style="77" customWidth="1"/>
    <col min="16136" max="16137" width="13.5703125" style="77" customWidth="1"/>
    <col min="16138" max="16138" width="9.140625" style="77"/>
    <col min="16139" max="16139" width="9.42578125" style="77" customWidth="1"/>
    <col min="16140" max="16140" width="14.85546875" style="77" customWidth="1"/>
    <col min="16141" max="16151" width="0" style="77" hidden="1" customWidth="1"/>
    <col min="16152" max="16152" width="17.7109375" style="77" customWidth="1"/>
    <col min="16153" max="16153" width="25" style="77" customWidth="1"/>
    <col min="16154" max="16154" width="11.5703125" style="77" customWidth="1"/>
    <col min="16155" max="16156" width="11" style="77" customWidth="1"/>
    <col min="16157" max="16157" width="8.42578125" style="77" customWidth="1"/>
    <col min="16158" max="16160" width="6.28515625" style="77" bestFit="1" customWidth="1"/>
    <col min="16161" max="16384" width="9.140625" style="77"/>
  </cols>
  <sheetData>
    <row r="1" spans="1:23" s="64" customFormat="1" x14ac:dyDescent="0.2">
      <c r="A1" s="58"/>
      <c r="B1" s="58"/>
      <c r="C1" s="59"/>
      <c r="D1" s="60" t="s">
        <v>100</v>
      </c>
      <c r="E1" s="60" t="s">
        <v>101</v>
      </c>
      <c r="F1" s="61"/>
      <c r="G1" s="61"/>
      <c r="H1" s="62" t="s">
        <v>102</v>
      </c>
      <c r="I1" s="58"/>
      <c r="J1" s="63"/>
      <c r="K1" s="63"/>
      <c r="L1" s="63"/>
      <c r="M1" s="63"/>
      <c r="N1" s="63"/>
      <c r="O1" s="63"/>
      <c r="P1" s="63"/>
      <c r="Q1" s="63"/>
      <c r="R1" s="63"/>
      <c r="S1" s="63"/>
      <c r="T1" s="63"/>
      <c r="U1" s="63"/>
      <c r="V1" s="63"/>
      <c r="W1" s="63"/>
    </row>
    <row r="2" spans="1:23" s="64" customFormat="1" ht="14.25" x14ac:dyDescent="0.2">
      <c r="A2" s="58"/>
      <c r="B2" s="58"/>
      <c r="C2" s="59"/>
      <c r="D2" s="65" t="s">
        <v>103</v>
      </c>
      <c r="E2" s="364"/>
      <c r="F2" s="365"/>
      <c r="G2" s="366"/>
      <c r="H2" s="66" t="s">
        <v>102</v>
      </c>
      <c r="I2" s="63"/>
      <c r="J2" s="63"/>
      <c r="K2" s="63"/>
      <c r="L2" s="63"/>
      <c r="M2" s="63"/>
      <c r="N2" s="63"/>
      <c r="O2" s="63"/>
      <c r="P2" s="63"/>
      <c r="Q2" s="63"/>
      <c r="R2" s="63"/>
      <c r="S2" s="63"/>
      <c r="T2" s="63"/>
      <c r="U2" s="63"/>
      <c r="V2" s="63"/>
      <c r="W2" s="63"/>
    </row>
    <row r="3" spans="1:23" s="64" customFormat="1" x14ac:dyDescent="0.2">
      <c r="A3" s="58"/>
      <c r="B3" s="58"/>
      <c r="C3" s="59"/>
      <c r="D3" s="67" t="s">
        <v>104</v>
      </c>
      <c r="E3" s="68"/>
      <c r="F3" s="61"/>
      <c r="G3" s="61"/>
      <c r="H3" s="62" t="s">
        <v>102</v>
      </c>
      <c r="I3" s="63"/>
      <c r="J3" s="63"/>
      <c r="K3" s="63"/>
      <c r="L3" s="63"/>
      <c r="M3" s="63"/>
      <c r="N3" s="63"/>
      <c r="O3" s="63"/>
      <c r="P3" s="63"/>
      <c r="Q3" s="63"/>
      <c r="R3" s="63"/>
      <c r="S3" s="63"/>
      <c r="T3" s="63"/>
      <c r="U3" s="63"/>
      <c r="V3" s="63"/>
      <c r="W3" s="63"/>
    </row>
    <row r="4" spans="1:23" s="64" customFormat="1" ht="14.25" x14ac:dyDescent="0.2">
      <c r="A4" s="69"/>
      <c r="B4" s="69"/>
      <c r="C4" s="59"/>
      <c r="D4" s="364" t="s">
        <v>304</v>
      </c>
      <c r="E4" s="367"/>
      <c r="F4" s="367"/>
      <c r="G4" s="368"/>
      <c r="H4" s="66" t="s">
        <v>102</v>
      </c>
      <c r="I4" s="63"/>
      <c r="J4" s="63"/>
      <c r="K4" s="63"/>
      <c r="L4" s="63"/>
      <c r="M4" s="63"/>
      <c r="N4" s="63"/>
      <c r="O4" s="63"/>
      <c r="P4" s="63"/>
      <c r="Q4" s="63"/>
      <c r="R4" s="63"/>
      <c r="S4" s="63"/>
      <c r="T4" s="63"/>
      <c r="U4" s="63"/>
      <c r="V4" s="63"/>
      <c r="W4" s="63"/>
    </row>
    <row r="5" spans="1:23" s="64" customFormat="1" x14ac:dyDescent="0.2">
      <c r="A5" s="58"/>
      <c r="B5" s="58"/>
      <c r="C5" s="59"/>
      <c r="D5" s="67" t="s">
        <v>105</v>
      </c>
      <c r="E5" s="70" t="s">
        <v>106</v>
      </c>
      <c r="F5" s="61"/>
      <c r="G5" s="61"/>
      <c r="H5" s="62" t="s">
        <v>102</v>
      </c>
      <c r="I5" s="63"/>
      <c r="J5" s="63"/>
      <c r="K5" s="63"/>
      <c r="L5" s="63"/>
      <c r="M5" s="63"/>
      <c r="N5" s="63"/>
      <c r="O5" s="63"/>
      <c r="P5" s="63"/>
      <c r="Q5" s="63"/>
      <c r="R5" s="63"/>
      <c r="S5" s="63"/>
      <c r="T5" s="63"/>
      <c r="U5" s="63"/>
      <c r="V5" s="63"/>
      <c r="W5" s="63"/>
    </row>
    <row r="6" spans="1:23" s="64" customFormat="1" ht="14.25" x14ac:dyDescent="0.2">
      <c r="A6" s="58"/>
      <c r="B6" s="58"/>
      <c r="C6" s="59"/>
      <c r="D6" s="65" t="s">
        <v>218</v>
      </c>
      <c r="E6" s="364"/>
      <c r="F6" s="367"/>
      <c r="G6" s="368"/>
      <c r="H6" s="66" t="s">
        <v>102</v>
      </c>
      <c r="I6" s="63"/>
      <c r="J6" s="71"/>
      <c r="K6" s="63"/>
      <c r="L6" s="72" t="s">
        <v>107</v>
      </c>
      <c r="M6" s="63"/>
      <c r="N6" s="73"/>
      <c r="O6" s="63"/>
      <c r="P6" s="63"/>
      <c r="Q6" s="63"/>
      <c r="R6" s="63"/>
      <c r="S6" s="63"/>
      <c r="T6" s="63"/>
      <c r="U6" s="63"/>
      <c r="V6" s="63"/>
      <c r="W6" s="63"/>
    </row>
    <row r="7" spans="1:23" ht="6" customHeight="1" thickBot="1" x14ac:dyDescent="0.25">
      <c r="A7" s="74"/>
      <c r="B7" s="74"/>
      <c r="C7" s="75"/>
      <c r="D7" s="74"/>
      <c r="E7" s="74"/>
      <c r="F7" s="74"/>
      <c r="G7" s="76"/>
      <c r="H7" s="74"/>
      <c r="I7" s="74"/>
      <c r="J7" s="74"/>
      <c r="K7" s="74"/>
      <c r="L7" s="74"/>
    </row>
    <row r="8" spans="1:23" s="80" customFormat="1" ht="18" customHeight="1" thickBot="1" x14ac:dyDescent="0.25">
      <c r="A8" s="369" t="str">
        <f>IF(N24=1,N26,N25)</f>
        <v>Composição do BDI para obras com mão-de-obra desonerada (conforme Lei 13.161 de 2015)</v>
      </c>
      <c r="B8" s="370"/>
      <c r="C8" s="370"/>
      <c r="D8" s="370"/>
      <c r="E8" s="370"/>
      <c r="F8" s="370"/>
      <c r="G8" s="370"/>
      <c r="H8" s="370"/>
      <c r="I8" s="370"/>
      <c r="J8" s="370"/>
      <c r="K8" s="370"/>
      <c r="L8" s="371"/>
      <c r="M8" s="78"/>
      <c r="N8" s="79" t="b">
        <v>1</v>
      </c>
      <c r="O8" s="78"/>
      <c r="P8" s="78"/>
      <c r="Q8" s="78"/>
      <c r="R8" s="78"/>
      <c r="S8" s="78"/>
      <c r="T8" s="78"/>
      <c r="U8" s="78"/>
      <c r="V8" s="78"/>
      <c r="W8" s="78"/>
    </row>
    <row r="9" spans="1:23" ht="2.1" customHeight="1" x14ac:dyDescent="0.2">
      <c r="A9" s="81"/>
      <c r="B9" s="81"/>
      <c r="C9" s="82"/>
      <c r="D9" s="83"/>
      <c r="E9" s="84"/>
      <c r="F9" s="84"/>
      <c r="G9" s="84"/>
      <c r="H9" s="84"/>
      <c r="I9" s="84"/>
      <c r="J9" s="84"/>
      <c r="K9" s="74"/>
      <c r="L9" s="74"/>
      <c r="O9" s="85"/>
    </row>
    <row r="10" spans="1:23" s="90" customFormat="1" x14ac:dyDescent="0.2">
      <c r="A10" s="81"/>
      <c r="B10" s="81"/>
      <c r="C10" s="82"/>
      <c r="D10" s="86" t="s">
        <v>108</v>
      </c>
      <c r="E10" s="84"/>
      <c r="F10" s="86"/>
      <c r="G10" s="372"/>
      <c r="H10" s="87"/>
      <c r="I10" s="87"/>
      <c r="J10" s="84"/>
      <c r="K10" s="85"/>
      <c r="L10" s="85"/>
      <c r="M10" s="85"/>
      <c r="N10" s="88" t="s">
        <v>109</v>
      </c>
      <c r="O10" s="89">
        <v>1</v>
      </c>
      <c r="P10" s="85" t="str">
        <f>IF(O10=1,N10,IF(O10=2,N11,IF(O10=3,N12,IF(O10=4,N13,IF(O10=5,N14,IF(O10=6,N15," "))))))</f>
        <v>Construção de Edifícios</v>
      </c>
      <c r="Q10" s="85"/>
      <c r="R10" s="85"/>
      <c r="S10" s="85"/>
      <c r="T10" s="85"/>
      <c r="U10" s="85"/>
      <c r="V10" s="85"/>
      <c r="W10" s="85"/>
    </row>
    <row r="11" spans="1:23" s="90" customFormat="1" x14ac:dyDescent="0.2">
      <c r="A11" s="81"/>
      <c r="B11" s="81"/>
      <c r="C11" s="82"/>
      <c r="D11" s="86"/>
      <c r="E11" s="84"/>
      <c r="F11" s="84"/>
      <c r="G11" s="372"/>
      <c r="H11" s="91"/>
      <c r="I11" s="91"/>
      <c r="J11" s="84"/>
      <c r="K11" s="85"/>
      <c r="L11" s="85"/>
      <c r="M11" s="85"/>
      <c r="N11" s="88" t="s">
        <v>110</v>
      </c>
      <c r="O11" s="85"/>
      <c r="P11" s="85"/>
      <c r="Q11" s="85"/>
      <c r="R11" s="88"/>
      <c r="S11" s="85"/>
      <c r="T11" s="85"/>
      <c r="U11" s="85"/>
      <c r="V11" s="85"/>
      <c r="W11" s="85"/>
    </row>
    <row r="12" spans="1:23" s="90" customFormat="1" ht="13.5" thickBot="1" x14ac:dyDescent="0.25">
      <c r="A12" s="81"/>
      <c r="B12" s="81"/>
      <c r="C12" s="82"/>
      <c r="D12" s="86"/>
      <c r="E12" s="84"/>
      <c r="F12" s="84"/>
      <c r="G12" s="84"/>
      <c r="H12" s="84"/>
      <c r="I12" s="84"/>
      <c r="J12" s="84"/>
      <c r="K12" s="85"/>
      <c r="L12" s="85"/>
      <c r="M12" s="85"/>
      <c r="N12" s="88" t="s">
        <v>111</v>
      </c>
      <c r="O12" s="85"/>
      <c r="P12" s="85"/>
      <c r="Q12" s="85"/>
      <c r="R12" s="88"/>
      <c r="S12" s="85"/>
      <c r="T12" s="85"/>
      <c r="U12" s="85"/>
      <c r="V12" s="85"/>
      <c r="W12" s="85"/>
    </row>
    <row r="13" spans="1:23" s="90" customFormat="1" ht="14.1" customHeight="1" thickBot="1" x14ac:dyDescent="0.25">
      <c r="A13" s="81"/>
      <c r="B13" s="81"/>
      <c r="C13" s="361" t="str">
        <f>"COMPOSIÇÃO - BDI para "&amp;P10</f>
        <v>COMPOSIÇÃO - BDI para Construção de Edifícios</v>
      </c>
      <c r="D13" s="362"/>
      <c r="E13" s="362"/>
      <c r="F13" s="362"/>
      <c r="G13" s="362"/>
      <c r="H13" s="362"/>
      <c r="I13" s="363"/>
      <c r="J13" s="74"/>
      <c r="K13" s="85"/>
      <c r="L13" s="85"/>
      <c r="M13" s="85"/>
      <c r="N13" s="88" t="s">
        <v>112</v>
      </c>
      <c r="O13" s="85"/>
      <c r="P13" s="85"/>
      <c r="Q13" s="85"/>
      <c r="R13" s="88"/>
      <c r="S13" s="85"/>
      <c r="T13" s="85"/>
      <c r="U13" s="85"/>
      <c r="V13" s="85"/>
      <c r="W13" s="85"/>
    </row>
    <row r="14" spans="1:23" s="90" customFormat="1" ht="27.95" customHeight="1" x14ac:dyDescent="0.2">
      <c r="A14" s="81"/>
      <c r="B14" s="81"/>
      <c r="C14" s="92" t="s">
        <v>0</v>
      </c>
      <c r="D14" s="93" t="s">
        <v>113</v>
      </c>
      <c r="E14" s="93" t="s">
        <v>114</v>
      </c>
      <c r="F14" s="93" t="s">
        <v>115</v>
      </c>
      <c r="G14" s="93" t="s">
        <v>116</v>
      </c>
      <c r="H14" s="94" t="s">
        <v>117</v>
      </c>
      <c r="I14" s="94" t="s">
        <v>118</v>
      </c>
      <c r="J14" s="74"/>
      <c r="K14" s="85"/>
      <c r="L14" s="85"/>
      <c r="M14" s="85"/>
      <c r="N14" s="88" t="s">
        <v>119</v>
      </c>
      <c r="O14" s="85"/>
      <c r="P14" s="85"/>
      <c r="Q14" s="85"/>
      <c r="R14" s="88"/>
      <c r="S14" s="85"/>
      <c r="T14" s="85"/>
      <c r="U14" s="85"/>
      <c r="V14" s="85"/>
      <c r="W14" s="85"/>
    </row>
    <row r="15" spans="1:23" s="90" customFormat="1" ht="14.1" customHeight="1" x14ac:dyDescent="0.2">
      <c r="A15" s="81"/>
      <c r="B15" s="81"/>
      <c r="C15" s="95">
        <v>1</v>
      </c>
      <c r="D15" s="96" t="s">
        <v>120</v>
      </c>
      <c r="E15" s="97" t="s">
        <v>121</v>
      </c>
      <c r="F15" s="98">
        <v>3.2000000000000001E-2</v>
      </c>
      <c r="G15" s="99" t="str">
        <f>IF(F15="","",IF(AND(F15&gt;=H15,F15&lt;=I15),"OK",""))</f>
        <v>OK</v>
      </c>
      <c r="H15" s="100">
        <f>INDEX(matriz,$W17,$O$10)</f>
        <v>0.03</v>
      </c>
      <c r="I15" s="100">
        <f>INDEX(matriz2,$W23,$O$10)</f>
        <v>5.5E-2</v>
      </c>
      <c r="J15" s="74"/>
      <c r="K15" s="85"/>
      <c r="L15" s="85"/>
      <c r="M15" s="85"/>
      <c r="N15" s="85" t="s">
        <v>122</v>
      </c>
      <c r="O15" s="85"/>
      <c r="P15" s="85"/>
      <c r="Q15" s="85"/>
      <c r="R15" s="88"/>
      <c r="S15" s="85"/>
      <c r="T15" s="85"/>
      <c r="U15" s="85"/>
      <c r="V15" s="85"/>
      <c r="W15" s="85"/>
    </row>
    <row r="16" spans="1:23" s="90" customFormat="1" ht="14.1" customHeight="1" x14ac:dyDescent="0.2">
      <c r="A16" s="81"/>
      <c r="B16" s="81"/>
      <c r="C16" s="101">
        <v>2</v>
      </c>
      <c r="D16" s="102" t="s">
        <v>123</v>
      </c>
      <c r="E16" s="103" t="s">
        <v>124</v>
      </c>
      <c r="F16" s="104">
        <v>9.4000000000000004E-3</v>
      </c>
      <c r="G16" s="105" t="str">
        <f t="shared" ref="G16:G24" si="0">IF(F16="","",IF(AND(F16&gt;=H16,F16&lt;=I16),"OK",""))</f>
        <v>OK</v>
      </c>
      <c r="H16" s="100">
        <f>INDEX(matriz,$W18,$O$10)</f>
        <v>8.0000000000000002E-3</v>
      </c>
      <c r="I16" s="100">
        <f>INDEX(matriz2,$W24,$O$10)</f>
        <v>0.01</v>
      </c>
      <c r="J16" s="74"/>
      <c r="K16" s="85"/>
      <c r="L16" s="85"/>
      <c r="M16" s="85"/>
      <c r="N16" s="88"/>
      <c r="O16" s="85"/>
      <c r="P16" s="88" t="s">
        <v>125</v>
      </c>
      <c r="Q16" s="88">
        <v>1</v>
      </c>
      <c r="R16" s="85">
        <v>2</v>
      </c>
      <c r="S16" s="85">
        <v>3</v>
      </c>
      <c r="T16" s="85">
        <v>4</v>
      </c>
      <c r="U16" s="85">
        <v>5</v>
      </c>
      <c r="V16" s="85">
        <v>6</v>
      </c>
      <c r="W16" s="85"/>
    </row>
    <row r="17" spans="1:23" s="90" customFormat="1" ht="14.1" customHeight="1" x14ac:dyDescent="0.2">
      <c r="A17" s="81"/>
      <c r="B17" s="81"/>
      <c r="C17" s="101">
        <v>3</v>
      </c>
      <c r="D17" s="102" t="s">
        <v>126</v>
      </c>
      <c r="E17" s="103" t="s">
        <v>127</v>
      </c>
      <c r="F17" s="104">
        <v>1.2E-2</v>
      </c>
      <c r="G17" s="105" t="str">
        <f t="shared" si="0"/>
        <v>OK</v>
      </c>
      <c r="H17" s="100">
        <f>INDEX(matriz,$W19,$O$10)</f>
        <v>9.7000000000000003E-3</v>
      </c>
      <c r="I17" s="100">
        <f>INDEX(matriz2,$W25,$O$10)</f>
        <v>1.2699999999999999E-2</v>
      </c>
      <c r="J17" s="74"/>
      <c r="K17" s="106"/>
      <c r="L17" s="85"/>
      <c r="M17" s="85"/>
      <c r="N17" s="107"/>
      <c r="O17" s="85"/>
      <c r="P17" s="85"/>
      <c r="Q17" s="108">
        <v>0.03</v>
      </c>
      <c r="R17" s="108">
        <v>3.7999999999999999E-2</v>
      </c>
      <c r="S17" s="108">
        <v>3.4299999999999997E-2</v>
      </c>
      <c r="T17" s="108">
        <v>5.2900000000000003E-2</v>
      </c>
      <c r="U17" s="108">
        <v>0.04</v>
      </c>
      <c r="V17" s="108">
        <v>1.4999999999999999E-2</v>
      </c>
      <c r="W17" s="85">
        <v>1</v>
      </c>
    </row>
    <row r="18" spans="1:23" s="90" customFormat="1" ht="14.1" customHeight="1" x14ac:dyDescent="0.2">
      <c r="A18" s="81"/>
      <c r="B18" s="81"/>
      <c r="C18" s="101">
        <v>4</v>
      </c>
      <c r="D18" s="102" t="s">
        <v>128</v>
      </c>
      <c r="E18" s="103" t="s">
        <v>129</v>
      </c>
      <c r="F18" s="104">
        <v>0.01</v>
      </c>
      <c r="G18" s="105" t="str">
        <f t="shared" si="0"/>
        <v>OK</v>
      </c>
      <c r="H18" s="100">
        <f>INDEX(matriz,$W20,$O$10)</f>
        <v>5.8999999999999999E-3</v>
      </c>
      <c r="I18" s="100">
        <f>INDEX(matriz2,$W26,$O$10)</f>
        <v>1.3899999999999999E-2</v>
      </c>
      <c r="J18" s="74"/>
      <c r="K18" s="106"/>
      <c r="L18" s="85"/>
      <c r="M18" s="85"/>
      <c r="N18" s="109">
        <f>((((1+F15+F16+F17)*(1+F18)*(1+F19))/(1-(F20-0.045))-1))</f>
        <v>0.21494766363149465</v>
      </c>
      <c r="O18" s="85"/>
      <c r="P18" s="85"/>
      <c r="Q18" s="108">
        <v>8.0000000000000002E-3</v>
      </c>
      <c r="R18" s="108">
        <v>3.2000000000000002E-3</v>
      </c>
      <c r="S18" s="108">
        <v>2.8E-3</v>
      </c>
      <c r="T18" s="108">
        <v>2.5000000000000001E-3</v>
      </c>
      <c r="U18" s="108">
        <v>8.0999999999999996E-3</v>
      </c>
      <c r="V18" s="108">
        <v>3.0000000000000001E-3</v>
      </c>
      <c r="W18" s="85">
        <v>2</v>
      </c>
    </row>
    <row r="19" spans="1:23" s="90" customFormat="1" ht="14.1" customHeight="1" x14ac:dyDescent="0.2">
      <c r="A19" s="81"/>
      <c r="B19" s="81"/>
      <c r="C19" s="101">
        <v>5</v>
      </c>
      <c r="D19" s="102" t="s">
        <v>130</v>
      </c>
      <c r="E19" s="103" t="s">
        <v>131</v>
      </c>
      <c r="F19" s="104">
        <v>6.6000000000000003E-2</v>
      </c>
      <c r="G19" s="105" t="str">
        <f t="shared" si="0"/>
        <v>OK</v>
      </c>
      <c r="H19" s="100">
        <f>INDEX(matriz,$W21,$O$10)</f>
        <v>6.1600000000000002E-2</v>
      </c>
      <c r="I19" s="100">
        <f>INDEX(matriz2,$W27,$O$10)</f>
        <v>8.9599999999999999E-2</v>
      </c>
      <c r="J19" s="74"/>
      <c r="K19" s="106"/>
      <c r="L19" s="85"/>
      <c r="M19" s="85"/>
      <c r="N19" s="107" t="str">
        <f>"Percentual de BDI superior ao limite estipulado pelo Acórdão TCU 2.622/2013 devido a soma de 4,5% (CPRB, conforme LEI 13.161/2015) no item Tributos, referente a desoneração na Contribuição Previdenciária. O cálculo dessa composição onerada resulta em " &amp;N22</f>
        <v>Percentual de BDI superior ao limite estipulado pelo Acórdão TCU 2.622/2013 devido a soma de 4,5% (CPRB, conforme LEI 13.161/2015) no item Tributos, referente a desoneração na Contribuição Previdenciária. O cálculo dessa composição onerada resulta em 21,49%</v>
      </c>
      <c r="O19" s="85"/>
      <c r="P19" s="85"/>
      <c r="Q19" s="108">
        <v>9.7000000000000003E-3</v>
      </c>
      <c r="R19" s="108">
        <v>5.0000000000000001E-3</v>
      </c>
      <c r="S19" s="108">
        <v>0.01</v>
      </c>
      <c r="T19" s="108">
        <v>0.01</v>
      </c>
      <c r="U19" s="108">
        <v>1.46E-2</v>
      </c>
      <c r="V19" s="108">
        <v>5.5999999999999999E-3</v>
      </c>
      <c r="W19" s="85">
        <v>3</v>
      </c>
    </row>
    <row r="20" spans="1:23" s="90" customFormat="1" ht="14.1" customHeight="1" x14ac:dyDescent="0.2">
      <c r="A20" s="81"/>
      <c r="B20" s="81"/>
      <c r="C20" s="101">
        <v>6</v>
      </c>
      <c r="D20" s="102" t="s">
        <v>132</v>
      </c>
      <c r="E20" s="103" t="s">
        <v>133</v>
      </c>
      <c r="F20" s="110">
        <f>SUM(F21:F24)</f>
        <v>0.11149999999999999</v>
      </c>
      <c r="G20" s="105" t="str">
        <f t="shared" si="0"/>
        <v>OK</v>
      </c>
      <c r="H20" s="100">
        <f>IF(N24=1,0.0365,0.0815)</f>
        <v>8.1500000000000003E-2</v>
      </c>
      <c r="I20" s="100">
        <f>IF(N24=1,0.0865,0.1315)</f>
        <v>0.13150000000000001</v>
      </c>
      <c r="J20" s="74"/>
      <c r="K20" s="85"/>
      <c r="L20" s="85"/>
      <c r="M20" s="85"/>
      <c r="N20" s="111">
        <f>ROUND(N18*100,2)</f>
        <v>21.49</v>
      </c>
      <c r="O20" s="85"/>
      <c r="P20" s="85"/>
      <c r="Q20" s="108">
        <v>5.8999999999999999E-3</v>
      </c>
      <c r="R20" s="108">
        <v>1.0200000000000001E-2</v>
      </c>
      <c r="S20" s="108">
        <v>9.4000000000000004E-3</v>
      </c>
      <c r="T20" s="108">
        <v>1.01E-2</v>
      </c>
      <c r="U20" s="108">
        <v>9.4000000000000004E-3</v>
      </c>
      <c r="V20" s="108">
        <v>8.5000000000000006E-3</v>
      </c>
      <c r="W20" s="85">
        <v>4</v>
      </c>
    </row>
    <row r="21" spans="1:23" s="90" customFormat="1" ht="14.1" customHeight="1" thickBot="1" x14ac:dyDescent="0.25">
      <c r="A21" s="375"/>
      <c r="B21" s="375"/>
      <c r="C21" s="101" t="s">
        <v>78</v>
      </c>
      <c r="D21" s="102" t="s">
        <v>134</v>
      </c>
      <c r="E21" s="103" t="s">
        <v>134</v>
      </c>
      <c r="F21" s="110">
        <v>6.4999999999999997E-3</v>
      </c>
      <c r="G21" s="105" t="str">
        <f t="shared" si="0"/>
        <v>OK</v>
      </c>
      <c r="H21" s="100">
        <v>6.4999999999999997E-3</v>
      </c>
      <c r="I21" s="100">
        <v>6.4999999999999997E-3</v>
      </c>
      <c r="J21" s="376" t="str">
        <f>IF(N24=2,"Foi incluída a CPRB com a alíquota de 4,50% sobre a Receita Bruta"," ")</f>
        <v>Foi incluída a CPRB com a alíquota de 4,50% sobre a Receita Bruta</v>
      </c>
      <c r="K21" s="376"/>
      <c r="L21" s="376"/>
      <c r="M21" s="85"/>
      <c r="N21" s="107" t="s">
        <v>135</v>
      </c>
      <c r="O21" s="85"/>
      <c r="P21" s="85"/>
      <c r="Q21" s="108">
        <v>6.1600000000000002E-2</v>
      </c>
      <c r="R21" s="108">
        <v>6.6400000000000001E-2</v>
      </c>
      <c r="S21" s="108">
        <v>6.7400000000000002E-2</v>
      </c>
      <c r="T21" s="108">
        <v>0.08</v>
      </c>
      <c r="U21" s="108">
        <v>7.1400000000000005E-2</v>
      </c>
      <c r="V21" s="108">
        <v>3.5000000000000003E-2</v>
      </c>
      <c r="W21" s="85">
        <v>5</v>
      </c>
    </row>
    <row r="22" spans="1:23" ht="14.1" customHeight="1" x14ac:dyDescent="0.2">
      <c r="A22" s="377" t="s">
        <v>136</v>
      </c>
      <c r="B22" s="379" t="s">
        <v>137</v>
      </c>
      <c r="C22" s="101" t="s">
        <v>79</v>
      </c>
      <c r="D22" s="102" t="s">
        <v>138</v>
      </c>
      <c r="E22" s="103" t="s">
        <v>138</v>
      </c>
      <c r="F22" s="110">
        <v>0.03</v>
      </c>
      <c r="G22" s="105" t="str">
        <f t="shared" si="0"/>
        <v>OK</v>
      </c>
      <c r="H22" s="100">
        <v>0.03</v>
      </c>
      <c r="I22" s="100">
        <v>0.03</v>
      </c>
      <c r="J22" s="376"/>
      <c r="K22" s="376"/>
      <c r="L22" s="376"/>
      <c r="N22" s="112" t="str">
        <f>N20&amp;N21</f>
        <v>21,49%</v>
      </c>
      <c r="P22" s="113" t="s">
        <v>139</v>
      </c>
      <c r="Q22" s="113">
        <v>1</v>
      </c>
      <c r="R22" s="74">
        <v>2</v>
      </c>
      <c r="S22" s="74">
        <v>3</v>
      </c>
      <c r="T22" s="74">
        <v>4</v>
      </c>
      <c r="U22" s="74">
        <v>5</v>
      </c>
      <c r="V22" s="74">
        <v>6</v>
      </c>
    </row>
    <row r="23" spans="1:23" ht="14.1" customHeight="1" thickBot="1" x14ac:dyDescent="0.25">
      <c r="A23" s="378"/>
      <c r="B23" s="380"/>
      <c r="C23" s="114" t="s">
        <v>80</v>
      </c>
      <c r="D23" s="115" t="s">
        <v>140</v>
      </c>
      <c r="E23" s="116" t="s">
        <v>141</v>
      </c>
      <c r="F23" s="117">
        <f>IF(N24=1,0,0.045)</f>
        <v>4.4999999999999998E-2</v>
      </c>
      <c r="G23" s="105" t="str">
        <f t="shared" si="0"/>
        <v>OK</v>
      </c>
      <c r="H23" s="118">
        <f>IF(N24=1,0,0.045)</f>
        <v>4.4999999999999998E-2</v>
      </c>
      <c r="I23" s="118">
        <f>IF(N24=1,0,0.045)</f>
        <v>4.4999999999999998E-2</v>
      </c>
      <c r="J23" s="119"/>
      <c r="K23" s="119"/>
      <c r="L23" s="119"/>
      <c r="N23" s="112"/>
      <c r="Q23" s="108">
        <v>5.5E-2</v>
      </c>
      <c r="R23" s="108">
        <v>4.6699999999999998E-2</v>
      </c>
      <c r="S23" s="108">
        <v>6.7100000000000007E-2</v>
      </c>
      <c r="T23" s="108">
        <v>7.9299999999999995E-2</v>
      </c>
      <c r="U23" s="108">
        <v>7.85E-2</v>
      </c>
      <c r="V23" s="108">
        <v>4.4900000000000002E-2</v>
      </c>
      <c r="W23" s="74">
        <v>1</v>
      </c>
    </row>
    <row r="24" spans="1:23" ht="14.1" customHeight="1" thickBot="1" x14ac:dyDescent="0.25">
      <c r="A24" s="120">
        <v>0.03</v>
      </c>
      <c r="B24" s="121">
        <v>1</v>
      </c>
      <c r="C24" s="122" t="s">
        <v>142</v>
      </c>
      <c r="D24" s="123" t="s">
        <v>143</v>
      </c>
      <c r="E24" s="124" t="s">
        <v>143</v>
      </c>
      <c r="F24" s="125">
        <f>A24*B24</f>
        <v>0.03</v>
      </c>
      <c r="G24" s="126" t="str">
        <f t="shared" si="0"/>
        <v>OK</v>
      </c>
      <c r="H24" s="127">
        <f>IF(B24=0,0.02,0.02*B24)</f>
        <v>0.02</v>
      </c>
      <c r="I24" s="127">
        <f>IF(B24=0,0.05,0.05*B24)</f>
        <v>0.05</v>
      </c>
      <c r="J24" s="128"/>
      <c r="K24" s="128"/>
      <c r="L24" s="128"/>
      <c r="N24" s="129">
        <f>IF(N8=TRUE,2,1)</f>
        <v>2</v>
      </c>
      <c r="Q24" s="108">
        <v>0.01</v>
      </c>
      <c r="R24" s="108">
        <v>7.4000000000000003E-3</v>
      </c>
      <c r="S24" s="108">
        <v>7.4999999999999997E-3</v>
      </c>
      <c r="T24" s="108">
        <v>5.5999999999999999E-3</v>
      </c>
      <c r="U24" s="108">
        <v>1.9900000000000001E-2</v>
      </c>
      <c r="V24" s="108">
        <v>8.2000000000000007E-3</v>
      </c>
      <c r="W24" s="74">
        <v>2</v>
      </c>
    </row>
    <row r="25" spans="1:23" ht="14.1" customHeight="1" x14ac:dyDescent="0.25">
      <c r="A25" s="81"/>
      <c r="B25" s="81"/>
      <c r="C25" s="82"/>
      <c r="D25" s="86"/>
      <c r="E25" s="381" t="s">
        <v>144</v>
      </c>
      <c r="F25" s="382"/>
      <c r="G25" s="383"/>
      <c r="H25" s="384" t="str">
        <f>IF(O10=1,S30,IF(O10=2,S31,IF(O10=3,S32,IF(O10=4,S33,IF(O10=5,S34,IF(O10=6,S35," "))))))</f>
        <v>de 20,34% a 25,00%</v>
      </c>
      <c r="I25" s="385"/>
      <c r="J25" s="130"/>
      <c r="K25" s="130"/>
      <c r="L25" s="130"/>
      <c r="N25" s="113" t="s">
        <v>145</v>
      </c>
      <c r="Q25" s="108">
        <v>1.2699999999999999E-2</v>
      </c>
      <c r="R25" s="108">
        <v>9.7000000000000003E-3</v>
      </c>
      <c r="S25" s="108">
        <v>1.7399999999999999E-2</v>
      </c>
      <c r="T25" s="108">
        <v>1.9699999999999999E-2</v>
      </c>
      <c r="U25" s="108">
        <v>3.1600000000000003E-2</v>
      </c>
      <c r="V25" s="108">
        <v>8.8999999999999999E-3</v>
      </c>
      <c r="W25" s="74">
        <v>3</v>
      </c>
    </row>
    <row r="26" spans="1:23" ht="12.75" customHeight="1" thickBot="1" x14ac:dyDescent="0.25">
      <c r="A26" s="81"/>
      <c r="B26" s="386" t="s">
        <v>146</v>
      </c>
      <c r="C26" s="387"/>
      <c r="D26" s="388"/>
      <c r="E26" s="84"/>
      <c r="F26" s="84"/>
      <c r="G26" s="84"/>
      <c r="H26" s="84"/>
      <c r="I26" s="85"/>
      <c r="J26" s="131"/>
      <c r="K26" s="131"/>
      <c r="L26" s="132"/>
      <c r="N26" s="113" t="s">
        <v>147</v>
      </c>
      <c r="Q26" s="108">
        <v>1.3899999999999999E-2</v>
      </c>
      <c r="R26" s="108">
        <v>1.21E-2</v>
      </c>
      <c r="S26" s="108">
        <v>1.17E-2</v>
      </c>
      <c r="T26" s="108">
        <v>1.11E-2</v>
      </c>
      <c r="U26" s="108">
        <v>1.3299999999999999E-2</v>
      </c>
      <c r="V26" s="108">
        <v>1.11E-2</v>
      </c>
      <c r="W26" s="74">
        <v>4</v>
      </c>
    </row>
    <row r="27" spans="1:23" ht="18" customHeight="1" x14ac:dyDescent="0.2">
      <c r="A27" s="133"/>
      <c r="B27" s="134"/>
      <c r="C27" s="135"/>
      <c r="D27" s="86"/>
      <c r="E27" s="389" t="s">
        <v>15</v>
      </c>
      <c r="F27" s="391">
        <f>((((1+F15+F16+F17)*(1+F18)*(1+F19))/(1-F20))-1)</f>
        <v>0.27648131007315713</v>
      </c>
      <c r="G27" s="392" t="str">
        <f>N54</f>
        <v>OK! Percentual do BDI quando calculado sem desoneração atende ao limite estipulado pelo Acórdão TCU 2.622/2013.</v>
      </c>
      <c r="H27" s="393"/>
      <c r="I27" s="394"/>
      <c r="J27" s="85"/>
      <c r="K27" s="85"/>
      <c r="L27" s="85"/>
      <c r="N27" s="74" t="str">
        <f>IF(Q44=2,N44,IF(Q44=3,N45,IF(Q44=4,N46,IF(Q44=5,N47,IF(Q44=6,O48,"Erro")))))</f>
        <v>OK! Percentual do BDI quando calculado sem desoneração atende ao limite estipulado pelo Acórdão TCU 2.622/2013.</v>
      </c>
      <c r="Q27" s="108">
        <v>8.9599999999999999E-2</v>
      </c>
      <c r="R27" s="108">
        <v>8.6900000000000005E-2</v>
      </c>
      <c r="S27" s="108">
        <v>9.4E-2</v>
      </c>
      <c r="T27" s="108">
        <v>9.5100000000000004E-2</v>
      </c>
      <c r="U27" s="108">
        <v>0.1043</v>
      </c>
      <c r="V27" s="108">
        <v>6.2199999999999998E-2</v>
      </c>
      <c r="W27" s="74">
        <v>5</v>
      </c>
    </row>
    <row r="28" spans="1:23" ht="18" customHeight="1" thickBot="1" x14ac:dyDescent="0.25">
      <c r="A28" s="133"/>
      <c r="B28" s="134"/>
      <c r="C28" s="135"/>
      <c r="D28" s="86"/>
      <c r="E28" s="390"/>
      <c r="F28" s="390"/>
      <c r="G28" s="395"/>
      <c r="H28" s="395"/>
      <c r="I28" s="396"/>
      <c r="J28" s="85"/>
      <c r="K28" s="85"/>
      <c r="L28" s="85"/>
      <c r="N28" s="113" t="str">
        <f>IF(R44=2,N44,IF(R44=3,N46,IF(R44=4,O48,"Erro")))</f>
        <v>Percentual do BDI superior ao limite estipulado pelo Acórdão TCU 2.622/2013.</v>
      </c>
    </row>
    <row r="29" spans="1:23" ht="18" customHeight="1" x14ac:dyDescent="0.2">
      <c r="A29" s="136"/>
      <c r="B29" s="137"/>
      <c r="C29" s="138"/>
      <c r="D29" s="139"/>
      <c r="E29" s="84"/>
      <c r="F29" s="84"/>
      <c r="G29" s="397"/>
      <c r="H29" s="398"/>
      <c r="I29" s="399"/>
      <c r="J29" s="85"/>
      <c r="K29" s="85"/>
      <c r="L29" s="85"/>
    </row>
    <row r="30" spans="1:23" ht="12.75" customHeight="1" x14ac:dyDescent="0.2">
      <c r="A30" s="136"/>
      <c r="B30" s="81"/>
      <c r="C30" s="86"/>
      <c r="D30" s="85"/>
      <c r="E30" s="84"/>
      <c r="F30" s="84"/>
      <c r="G30" s="84"/>
      <c r="H30" s="84"/>
      <c r="I30" s="84"/>
      <c r="J30" s="85"/>
      <c r="K30" s="85"/>
      <c r="L30" s="85"/>
      <c r="N30" s="74" t="str">
        <f>(B24*100)&amp;N21</f>
        <v>100%</v>
      </c>
      <c r="P30" s="88" t="s">
        <v>109</v>
      </c>
      <c r="Q30" s="140">
        <v>0.2034</v>
      </c>
      <c r="R30" s="140">
        <v>0.25</v>
      </c>
      <c r="S30" s="113" t="s">
        <v>148</v>
      </c>
      <c r="W30" s="74">
        <v>1</v>
      </c>
    </row>
    <row r="31" spans="1:23" ht="12.75" customHeight="1" x14ac:dyDescent="0.2">
      <c r="A31" s="81"/>
      <c r="B31" s="141" t="s">
        <v>149</v>
      </c>
      <c r="C31" s="142"/>
      <c r="D31" s="143"/>
      <c r="E31" s="143"/>
      <c r="F31" s="143"/>
      <c r="G31" s="143"/>
      <c r="H31" s="143"/>
      <c r="I31" s="143"/>
      <c r="J31" s="85"/>
      <c r="K31" s="85"/>
      <c r="L31" s="85"/>
      <c r="N31" s="74" t="str">
        <f>(A24*100)&amp;N21</f>
        <v>3%</v>
      </c>
      <c r="P31" s="88" t="s">
        <v>110</v>
      </c>
      <c r="Q31" s="140">
        <v>0.19600000000000001</v>
      </c>
      <c r="R31" s="140">
        <v>0.24229999999999999</v>
      </c>
      <c r="S31" s="113" t="s">
        <v>150</v>
      </c>
      <c r="W31" s="74">
        <v>2</v>
      </c>
    </row>
    <row r="32" spans="1:23" ht="12.75" customHeight="1" x14ac:dyDescent="0.2">
      <c r="A32" s="81"/>
      <c r="B32" s="141"/>
      <c r="C32" s="142"/>
      <c r="D32" s="143"/>
      <c r="E32" s="143"/>
      <c r="F32" s="143"/>
      <c r="G32" s="143"/>
      <c r="H32" s="143"/>
      <c r="I32" s="143"/>
      <c r="J32" s="85"/>
      <c r="K32" s="85"/>
      <c r="L32" s="85"/>
      <c r="N32" s="74" t="str">
        <f>" e a sua base de cálculo é de "&amp;N30</f>
        <v xml:space="preserve"> e a sua base de cálculo é de 100%</v>
      </c>
      <c r="P32" s="88" t="s">
        <v>111</v>
      </c>
      <c r="Q32" s="140">
        <v>0.20760000000000001</v>
      </c>
      <c r="R32" s="140">
        <v>0.26440000000000002</v>
      </c>
      <c r="S32" s="113" t="s">
        <v>151</v>
      </c>
      <c r="W32" s="74">
        <v>3</v>
      </c>
    </row>
    <row r="33" spans="1:24" ht="12.75" customHeight="1" x14ac:dyDescent="0.2">
      <c r="A33" s="143"/>
      <c r="B33" s="144"/>
      <c r="C33" s="145"/>
      <c r="D33" s="144"/>
      <c r="E33" s="144"/>
      <c r="F33" s="144"/>
      <c r="G33" s="144"/>
      <c r="H33" s="144"/>
      <c r="I33" s="144"/>
      <c r="J33" s="143"/>
      <c r="K33" s="143"/>
      <c r="L33" s="143"/>
      <c r="N33" s="74" t="str">
        <f>N31&amp;N32</f>
        <v>3% e a sua base de cálculo é de 100%</v>
      </c>
      <c r="P33" s="88" t="s">
        <v>112</v>
      </c>
      <c r="Q33" s="140">
        <v>0.24</v>
      </c>
      <c r="R33" s="140">
        <v>0.27860000000000001</v>
      </c>
      <c r="S33" s="113" t="s">
        <v>152</v>
      </c>
      <c r="W33" s="74">
        <v>4</v>
      </c>
    </row>
    <row r="34" spans="1:24" ht="12.75" customHeight="1" x14ac:dyDescent="0.2">
      <c r="A34" s="144"/>
      <c r="B34" s="144"/>
      <c r="C34" s="145"/>
      <c r="D34" s="144"/>
      <c r="E34" s="144"/>
      <c r="F34" s="144"/>
      <c r="G34" s="146"/>
      <c r="H34" s="144"/>
      <c r="I34" s="144"/>
      <c r="J34" s="144"/>
      <c r="K34" s="144"/>
      <c r="L34" s="144"/>
      <c r="M34" s="85"/>
      <c r="N34" s="88" t="str">
        <f>" sobre o valor total do orçamento."</f>
        <v xml:space="preserve"> sobre o valor total do orçamento.</v>
      </c>
      <c r="O34" s="85"/>
      <c r="P34" s="88" t="s">
        <v>119</v>
      </c>
      <c r="Q34" s="108">
        <v>0.22800000000000001</v>
      </c>
      <c r="R34" s="108">
        <v>0.3095</v>
      </c>
      <c r="S34" s="113" t="s">
        <v>153</v>
      </c>
      <c r="T34" s="85"/>
      <c r="U34" s="85"/>
      <c r="V34" s="85"/>
      <c r="W34" s="85">
        <v>5</v>
      </c>
      <c r="X34" s="90"/>
    </row>
    <row r="35" spans="1:24" s="90" customFormat="1" ht="12.75" customHeight="1" x14ac:dyDescent="0.2">
      <c r="A35" s="144"/>
      <c r="B35" s="144"/>
      <c r="C35" s="145"/>
      <c r="D35" s="144"/>
      <c r="E35" s="144"/>
      <c r="F35" s="144"/>
      <c r="G35" s="146"/>
      <c r="H35" s="144"/>
      <c r="I35" s="144"/>
      <c r="J35" s="144"/>
      <c r="K35" s="144"/>
      <c r="L35" s="144"/>
      <c r="M35" s="85"/>
      <c r="N35" s="85" t="str">
        <f>N33&amp;N34</f>
        <v>3% e a sua base de cálculo é de 100% sobre o valor total do orçamento.</v>
      </c>
      <c r="O35" s="85"/>
      <c r="P35" s="85" t="s">
        <v>122</v>
      </c>
      <c r="Q35" s="108">
        <v>0.111</v>
      </c>
      <c r="R35" s="108">
        <v>0.16800000000000001</v>
      </c>
      <c r="S35" s="113" t="s">
        <v>154</v>
      </c>
      <c r="T35" s="85"/>
      <c r="U35" s="85"/>
      <c r="V35" s="85"/>
      <c r="W35" s="85">
        <v>6</v>
      </c>
    </row>
    <row r="36" spans="1:24" s="90" customFormat="1" ht="12.75" customHeight="1" x14ac:dyDescent="0.2">
      <c r="A36" s="76"/>
      <c r="B36" s="400" t="str">
        <f>IF(N24=2,(IF(Q44=5,N19," "))," ")</f>
        <v>Percentual de BDI superior ao limite estipulado pelo Acórdão TCU 2.622/2013 devido a soma de 4,5% (CPRB, conforme LEI 13.161/2015) no item Tributos, referente a desoneração na Contribuição Previdenciária. O cálculo dessa composição onerada resulta em 21,49%</v>
      </c>
      <c r="C36" s="401"/>
      <c r="D36" s="401"/>
      <c r="E36" s="401"/>
      <c r="F36" s="401"/>
      <c r="G36" s="401"/>
      <c r="H36" s="401"/>
      <c r="I36" s="401"/>
      <c r="J36" s="401"/>
      <c r="K36" s="402"/>
      <c r="L36" s="76"/>
      <c r="M36" s="85"/>
      <c r="N36" s="85"/>
      <c r="O36" s="85"/>
      <c r="P36" s="85"/>
      <c r="Q36" s="85"/>
      <c r="R36" s="85"/>
      <c r="S36" s="85"/>
      <c r="T36" s="85"/>
      <c r="U36" s="85"/>
      <c r="V36" s="85"/>
      <c r="W36" s="85"/>
    </row>
    <row r="37" spans="1:24" s="90" customFormat="1" ht="12.75" customHeight="1" x14ac:dyDescent="0.2">
      <c r="A37" s="76"/>
      <c r="B37" s="403"/>
      <c r="C37" s="404"/>
      <c r="D37" s="404"/>
      <c r="E37" s="404"/>
      <c r="F37" s="404"/>
      <c r="G37" s="404"/>
      <c r="H37" s="404"/>
      <c r="I37" s="404"/>
      <c r="J37" s="404"/>
      <c r="K37" s="405"/>
      <c r="L37" s="76"/>
      <c r="M37" s="85"/>
      <c r="N37" s="85"/>
      <c r="O37" s="85"/>
      <c r="P37" s="88" t="s">
        <v>155</v>
      </c>
      <c r="Q37" s="108">
        <f>INDEX(Q30:R35,O10,1)</f>
        <v>0.2034</v>
      </c>
      <c r="R37" s="108">
        <f>INDEX(Q30:R35,O10,2)</f>
        <v>0.25</v>
      </c>
      <c r="S37" s="85"/>
      <c r="T37" s="85"/>
      <c r="U37" s="85"/>
      <c r="V37" s="85"/>
      <c r="W37" s="85"/>
    </row>
    <row r="38" spans="1:24" s="90" customFormat="1" ht="12.75" customHeight="1" x14ac:dyDescent="0.2">
      <c r="A38" s="76"/>
      <c r="B38" s="147" t="s">
        <v>156</v>
      </c>
      <c r="C38" s="148"/>
      <c r="D38" s="148"/>
      <c r="E38" s="148"/>
      <c r="F38" s="148"/>
      <c r="G38" s="149"/>
      <c r="H38" s="149"/>
      <c r="I38" s="149"/>
      <c r="J38" s="149"/>
      <c r="K38" s="149"/>
      <c r="L38" s="76"/>
      <c r="M38" s="85"/>
      <c r="N38" s="85"/>
      <c r="O38" s="85"/>
      <c r="P38" s="85"/>
      <c r="Q38" s="108"/>
      <c r="R38" s="85"/>
      <c r="S38" s="85"/>
      <c r="T38" s="85"/>
      <c r="U38" s="85"/>
      <c r="V38" s="85"/>
      <c r="W38" s="85"/>
    </row>
    <row r="39" spans="1:24" s="90" customFormat="1" ht="12.75" customHeight="1" x14ac:dyDescent="0.2">
      <c r="A39" s="76"/>
      <c r="B39" s="147" t="str">
        <f>IF(N24=2,"Obs²: O cálculo desta composição de BDI considera a desoneração da contribuição previdenciária, conforme Lei 13.161/2015."," ")</f>
        <v>Obs²: O cálculo desta composição de BDI considera a desoneração da contribuição previdenciária, conforme Lei 13.161/2015.</v>
      </c>
      <c r="C39" s="150"/>
      <c r="D39" s="141"/>
      <c r="E39" s="151"/>
      <c r="F39" s="151"/>
      <c r="G39" s="149"/>
      <c r="H39" s="149"/>
      <c r="I39" s="149"/>
      <c r="J39" s="149"/>
      <c r="K39" s="149"/>
      <c r="L39" s="76"/>
      <c r="M39" s="85"/>
      <c r="N39" s="85"/>
      <c r="O39" s="85"/>
      <c r="P39" s="88" t="s">
        <v>157</v>
      </c>
      <c r="Q39" s="108">
        <f>IF(N24=1,F27,N20/100)</f>
        <v>0.21489999999999998</v>
      </c>
      <c r="R39" s="85"/>
      <c r="S39" s="85"/>
      <c r="T39" s="85"/>
      <c r="U39" s="85"/>
      <c r="V39" s="85"/>
      <c r="W39" s="85"/>
    </row>
    <row r="40" spans="1:24" s="90" customFormat="1" ht="36" customHeight="1" thickBot="1" x14ac:dyDescent="0.25">
      <c r="A40" s="76"/>
      <c r="B40" s="373" t="str">
        <f>IF(N24=2,N50,N51)</f>
        <v>Eu, responsável técnico pelo orçamento, declaro para os devidos fins, que a opção pela desoneração sobre a folha de pagamento é mais adequada para a administração pública.</v>
      </c>
      <c r="C40" s="374"/>
      <c r="D40" s="374"/>
      <c r="E40" s="374"/>
      <c r="F40" s="374"/>
      <c r="G40" s="374"/>
      <c r="H40" s="374"/>
      <c r="I40" s="374"/>
      <c r="J40" s="374"/>
      <c r="K40" s="374"/>
      <c r="L40" s="76"/>
      <c r="M40" s="85"/>
      <c r="N40" s="85"/>
      <c r="O40" s="85"/>
      <c r="P40" s="88"/>
      <c r="Q40" s="85"/>
      <c r="R40" s="85"/>
      <c r="S40" s="108"/>
      <c r="T40" s="108"/>
      <c r="U40" s="85"/>
      <c r="V40" s="85"/>
      <c r="W40" s="85"/>
    </row>
    <row r="41" spans="1:24" s="90" customFormat="1" ht="12.75" customHeight="1" thickTop="1" thickBot="1" x14ac:dyDescent="0.25">
      <c r="A41" s="76"/>
      <c r="B41" s="147"/>
      <c r="C41" s="150"/>
      <c r="D41" s="141"/>
      <c r="E41" s="151"/>
      <c r="F41" s="151"/>
      <c r="G41" s="408" t="s">
        <v>158</v>
      </c>
      <c r="H41" s="409"/>
      <c r="I41" s="409"/>
      <c r="J41" s="409"/>
      <c r="K41" s="410"/>
      <c r="L41" s="85"/>
      <c r="M41" s="85"/>
      <c r="N41" s="85"/>
      <c r="O41" s="88"/>
      <c r="P41" s="85"/>
      <c r="Q41" s="88" t="s">
        <v>159</v>
      </c>
      <c r="R41" s="88" t="s">
        <v>160</v>
      </c>
      <c r="S41" s="88" t="s">
        <v>161</v>
      </c>
      <c r="T41" s="85"/>
      <c r="U41" s="85"/>
      <c r="V41" s="85"/>
      <c r="W41" s="85"/>
    </row>
    <row r="42" spans="1:24" s="90" customFormat="1" ht="13.5" customHeight="1" thickTop="1" x14ac:dyDescent="0.2">
      <c r="A42" s="76"/>
      <c r="B42" s="76"/>
      <c r="C42" s="150"/>
      <c r="D42" s="141"/>
      <c r="E42" s="76"/>
      <c r="F42" s="76"/>
      <c r="G42" s="411" t="str">
        <f>"        Declaro, conforme legislação tributária municipal, que a alíquota do ISS é de "&amp;N35</f>
        <v xml:space="preserve">        Declaro, conforme legislação tributária municipal, que a alíquota do ISS é de 3% e a sua base de cálculo é de 100% sobre o valor total do orçamento.</v>
      </c>
      <c r="H42" s="412"/>
      <c r="I42" s="412"/>
      <c r="J42" s="412"/>
      <c r="K42" s="413"/>
      <c r="L42" s="85"/>
      <c r="M42" s="85"/>
      <c r="N42" s="85"/>
      <c r="O42" s="88"/>
      <c r="P42" s="88" t="s">
        <v>162</v>
      </c>
      <c r="Q42" s="152">
        <f>IF(N18&lt;Q37,1,IF(N18&gt;R37,3,2))</f>
        <v>2</v>
      </c>
      <c r="R42" s="85">
        <f>IF(F27&lt;Q37,1,2)</f>
        <v>2</v>
      </c>
      <c r="S42" s="85"/>
      <c r="T42" s="85"/>
      <c r="U42" s="85"/>
      <c r="V42" s="85"/>
      <c r="W42" s="85"/>
    </row>
    <row r="43" spans="1:24" s="90" customFormat="1" x14ac:dyDescent="0.2">
      <c r="A43" s="417">
        <f ca="1">TODAY()</f>
        <v>45404</v>
      </c>
      <c r="B43" s="417"/>
      <c r="C43" s="417"/>
      <c r="D43" s="141"/>
      <c r="E43" s="85"/>
      <c r="F43" s="153"/>
      <c r="G43" s="414"/>
      <c r="H43" s="415"/>
      <c r="I43" s="415"/>
      <c r="J43" s="415"/>
      <c r="K43" s="416"/>
      <c r="L43" s="143"/>
      <c r="M43" s="143"/>
      <c r="N43" s="143"/>
      <c r="O43" s="143" t="s">
        <v>163</v>
      </c>
      <c r="P43" s="143" t="s">
        <v>164</v>
      </c>
      <c r="Q43" s="154">
        <f>IF(F27&lt;Q37,1,IF(F27&gt;R37,3,2))</f>
        <v>3</v>
      </c>
      <c r="R43" s="143">
        <f>IF(F27&lt;R37,1,2)</f>
        <v>2</v>
      </c>
      <c r="S43" s="143"/>
      <c r="T43" s="143"/>
      <c r="U43" s="143"/>
      <c r="V43" s="143"/>
      <c r="W43" s="143"/>
    </row>
    <row r="44" spans="1:24" s="157" customFormat="1" ht="12.75" customHeight="1" x14ac:dyDescent="0.2">
      <c r="A44" s="418" t="s">
        <v>165</v>
      </c>
      <c r="B44" s="418"/>
      <c r="C44" s="418"/>
      <c r="D44" s="141"/>
      <c r="E44" s="155"/>
      <c r="F44" s="155"/>
      <c r="G44" s="414"/>
      <c r="H44" s="415"/>
      <c r="I44" s="415"/>
      <c r="J44" s="415"/>
      <c r="K44" s="416"/>
      <c r="L44" s="144"/>
      <c r="M44" s="144">
        <v>2</v>
      </c>
      <c r="N44" s="144" t="s">
        <v>166</v>
      </c>
      <c r="O44" s="144" t="s">
        <v>167</v>
      </c>
      <c r="P44" s="156"/>
      <c r="Q44" s="154">
        <f>SUM(Q42:Q43)</f>
        <v>5</v>
      </c>
      <c r="R44" s="144">
        <f>SUM(R42:R43)</f>
        <v>4</v>
      </c>
      <c r="S44" s="144"/>
      <c r="T44" s="144"/>
      <c r="U44" s="144"/>
      <c r="V44" s="144"/>
      <c r="W44" s="144"/>
    </row>
    <row r="45" spans="1:24" s="162" customFormat="1" ht="12.75" customHeight="1" x14ac:dyDescent="0.2">
      <c r="A45" s="74"/>
      <c r="B45" s="74"/>
      <c r="C45" s="75"/>
      <c r="D45" s="151"/>
      <c r="E45" s="158"/>
      <c r="F45" s="159"/>
      <c r="G45" s="160"/>
      <c r="H45" s="153"/>
      <c r="I45" s="151"/>
      <c r="J45" s="153"/>
      <c r="K45" s="161"/>
      <c r="L45" s="144"/>
      <c r="M45" s="144"/>
      <c r="N45" s="144" t="s">
        <v>168</v>
      </c>
      <c r="O45" s="144" t="s">
        <v>169</v>
      </c>
      <c r="P45" s="156"/>
      <c r="Q45" s="144"/>
      <c r="R45" s="144"/>
      <c r="S45" s="144"/>
      <c r="T45" s="144"/>
      <c r="U45" s="144"/>
      <c r="V45" s="144"/>
      <c r="W45" s="144"/>
    </row>
    <row r="46" spans="1:24" s="162" customFormat="1" ht="12.75" customHeight="1" x14ac:dyDescent="0.2">
      <c r="A46" s="74"/>
      <c r="B46" s="74"/>
      <c r="C46" s="75"/>
      <c r="D46" s="76"/>
      <c r="E46" s="163"/>
      <c r="F46" s="164"/>
      <c r="G46" s="160"/>
      <c r="H46" s="153"/>
      <c r="I46" s="151"/>
      <c r="J46" s="153"/>
      <c r="K46" s="161"/>
      <c r="L46" s="144"/>
      <c r="M46" s="144">
        <v>3</v>
      </c>
      <c r="N46" s="144" t="s">
        <v>170</v>
      </c>
      <c r="O46" s="144" t="s">
        <v>171</v>
      </c>
      <c r="P46" s="144"/>
      <c r="Q46" s="144"/>
      <c r="R46" s="144"/>
      <c r="S46" s="144"/>
      <c r="T46" s="144"/>
      <c r="U46" s="144"/>
      <c r="V46" s="144"/>
      <c r="W46" s="144"/>
    </row>
    <row r="47" spans="1:24" s="162" customFormat="1" ht="12.75" customHeight="1" thickBot="1" x14ac:dyDescent="0.25">
      <c r="A47" s="74"/>
      <c r="B47" s="74"/>
      <c r="C47" s="165"/>
      <c r="D47" s="166"/>
      <c r="E47" s="163"/>
      <c r="F47" s="164"/>
      <c r="G47" s="167"/>
      <c r="H47" s="85"/>
      <c r="I47" s="85"/>
      <c r="J47" s="85"/>
      <c r="K47" s="168"/>
      <c r="L47" s="144"/>
      <c r="M47" s="144"/>
      <c r="N47" s="144" t="s">
        <v>172</v>
      </c>
      <c r="O47" s="144" t="s">
        <v>173</v>
      </c>
      <c r="P47" s="144"/>
      <c r="Q47" s="144"/>
      <c r="R47" s="144"/>
      <c r="S47" s="144"/>
      <c r="T47" s="144"/>
      <c r="U47" s="144"/>
      <c r="V47" s="144"/>
      <c r="W47" s="144"/>
    </row>
    <row r="48" spans="1:24" s="162" customFormat="1" ht="14.25" customHeight="1" x14ac:dyDescent="0.2">
      <c r="A48" s="74"/>
      <c r="B48" s="74"/>
      <c r="C48" s="165"/>
      <c r="D48" s="169" t="s">
        <v>174</v>
      </c>
      <c r="E48" s="74"/>
      <c r="F48" s="74"/>
      <c r="G48" s="167"/>
      <c r="H48" s="419" t="s">
        <v>175</v>
      </c>
      <c r="I48" s="419"/>
      <c r="J48" s="419"/>
      <c r="K48" s="168"/>
      <c r="L48" s="74"/>
      <c r="M48" s="144"/>
      <c r="N48" s="144">
        <v>4</v>
      </c>
      <c r="O48" s="144" t="s">
        <v>176</v>
      </c>
      <c r="P48" s="144" t="s">
        <v>177</v>
      </c>
      <c r="Q48" s="144"/>
      <c r="R48" s="144"/>
      <c r="S48" s="144"/>
      <c r="T48" s="144"/>
      <c r="U48" s="144"/>
      <c r="V48" s="144"/>
      <c r="W48" s="144"/>
    </row>
    <row r="49" spans="1:24" s="162" customFormat="1" x14ac:dyDescent="0.2">
      <c r="A49" s="74"/>
      <c r="B49" s="74"/>
      <c r="C49" s="165" t="s">
        <v>178</v>
      </c>
      <c r="D49" s="170" t="s">
        <v>240</v>
      </c>
      <c r="E49" s="74"/>
      <c r="F49" s="74"/>
      <c r="G49" s="171" t="s">
        <v>179</v>
      </c>
      <c r="H49" s="420"/>
      <c r="I49" s="420"/>
      <c r="J49" s="420"/>
      <c r="K49" s="168"/>
      <c r="L49" s="74"/>
      <c r="M49" s="74"/>
      <c r="N49" s="74"/>
      <c r="O49" s="74"/>
      <c r="P49" s="113"/>
      <c r="Q49" s="74"/>
      <c r="R49" s="74"/>
      <c r="S49" s="74"/>
      <c r="T49" s="74"/>
      <c r="U49" s="74"/>
      <c r="V49" s="74"/>
      <c r="W49" s="74"/>
      <c r="X49" s="77"/>
    </row>
    <row r="50" spans="1:24" x14ac:dyDescent="0.2">
      <c r="A50" s="74"/>
      <c r="B50" s="74"/>
      <c r="C50" s="165" t="s">
        <v>180</v>
      </c>
      <c r="D50" s="172" t="s">
        <v>241</v>
      </c>
      <c r="E50" s="74"/>
      <c r="F50" s="74"/>
      <c r="G50" s="173" t="s">
        <v>181</v>
      </c>
      <c r="H50" s="406"/>
      <c r="I50" s="406"/>
      <c r="J50" s="406"/>
      <c r="K50" s="168"/>
      <c r="L50" s="74"/>
      <c r="M50" s="76"/>
      <c r="N50" s="174" t="s">
        <v>182</v>
      </c>
      <c r="O50" s="76"/>
      <c r="P50" s="76"/>
      <c r="Q50" s="76"/>
      <c r="R50" s="76"/>
      <c r="S50" s="76"/>
      <c r="T50" s="76"/>
      <c r="U50" s="76"/>
      <c r="V50" s="76"/>
      <c r="W50" s="76"/>
    </row>
    <row r="51" spans="1:24" ht="13.5" thickBot="1" x14ac:dyDescent="0.25">
      <c r="A51" s="74"/>
      <c r="B51" s="74"/>
      <c r="C51" s="165" t="s">
        <v>183</v>
      </c>
      <c r="D51" s="175"/>
      <c r="E51" s="74"/>
      <c r="F51" s="74"/>
      <c r="G51" s="176" t="s">
        <v>184</v>
      </c>
      <c r="H51" s="407"/>
      <c r="I51" s="407"/>
      <c r="J51" s="407"/>
      <c r="K51" s="177"/>
      <c r="L51" s="74"/>
      <c r="M51" s="76"/>
      <c r="N51" s="174" t="s">
        <v>185</v>
      </c>
      <c r="O51" s="76"/>
      <c r="P51" s="76"/>
      <c r="Q51" s="76"/>
      <c r="R51" s="76"/>
      <c r="S51" s="76"/>
      <c r="T51" s="76"/>
      <c r="U51" s="76"/>
      <c r="V51" s="76"/>
      <c r="W51" s="76"/>
    </row>
    <row r="52" spans="1:24" ht="9.75" customHeight="1" thickTop="1" x14ac:dyDescent="0.2">
      <c r="A52" s="74"/>
      <c r="B52" s="74"/>
      <c r="C52" s="75"/>
      <c r="D52" s="74"/>
      <c r="E52" s="74"/>
      <c r="F52" s="74"/>
      <c r="G52" s="164"/>
      <c r="H52" s="164"/>
      <c r="I52" s="74"/>
      <c r="J52" s="74"/>
      <c r="K52" s="74"/>
      <c r="L52" s="74"/>
    </row>
    <row r="53" spans="1:24" ht="30.75" customHeight="1" x14ac:dyDescent="0.2"/>
    <row r="54" spans="1:24" ht="11.1" customHeight="1" x14ac:dyDescent="0.2">
      <c r="N54" s="179" t="str">
        <f>IF(N24=1,N57,N58)</f>
        <v>OK! Percentual do BDI quando calculado sem desoneração atende ao limite estipulado pelo Acórdão TCU 2.622/2013.</v>
      </c>
    </row>
    <row r="55" spans="1:24" ht="11.1" customHeight="1" x14ac:dyDescent="0.2">
      <c r="N55" s="179"/>
    </row>
    <row r="56" spans="1:24" ht="11.1" customHeight="1" x14ac:dyDescent="0.2">
      <c r="N56" s="179"/>
    </row>
    <row r="57" spans="1:24" ht="11.1" customHeight="1" x14ac:dyDescent="0.2">
      <c r="N57" s="179" t="str">
        <f>IF(Q39&lt;Q37,N44,IF(Q39&gt;R37,O48,N46))</f>
        <v>OK!</v>
      </c>
      <c r="R57" s="113" t="s">
        <v>186</v>
      </c>
    </row>
    <row r="58" spans="1:24" x14ac:dyDescent="0.2">
      <c r="N58" s="179" t="str">
        <f>IF(Q39&lt;Q37,N44,IF(Q39&gt;R37,O48,N59))</f>
        <v>OK! Percentual do BDI quando calculado sem desoneração atende ao limite estipulado pelo Acórdão TCU 2.622/2013.</v>
      </c>
      <c r="R58" s="113" t="s">
        <v>187</v>
      </c>
    </row>
    <row r="59" spans="1:24" x14ac:dyDescent="0.2">
      <c r="N59" s="179" t="str">
        <f>IF(F27&gt;R37,N47,N46)</f>
        <v>OK! Percentual do BDI quando calculado sem desoneração atende ao limite estipulado pelo Acórdão TCU 2.622/2013.</v>
      </c>
      <c r="R59" s="113" t="s">
        <v>187</v>
      </c>
    </row>
  </sheetData>
  <sheetProtection password="CCED" sheet="1" selectLockedCells="1"/>
  <mergeCells count="26">
    <mergeCell ref="H50:J50"/>
    <mergeCell ref="H51:J51"/>
    <mergeCell ref="G41:K41"/>
    <mergeCell ref="G42:K44"/>
    <mergeCell ref="A43:C43"/>
    <mergeCell ref="A44:C44"/>
    <mergeCell ref="H48:J48"/>
    <mergeCell ref="H49:J49"/>
    <mergeCell ref="B40:K40"/>
    <mergeCell ref="A21:B21"/>
    <mergeCell ref="J21:L22"/>
    <mergeCell ref="A22:A23"/>
    <mergeCell ref="B22:B23"/>
    <mergeCell ref="E25:G25"/>
    <mergeCell ref="H25:I25"/>
    <mergeCell ref="B26:D26"/>
    <mergeCell ref="E27:E28"/>
    <mergeCell ref="F27:F28"/>
    <mergeCell ref="G27:I29"/>
    <mergeCell ref="B36:K37"/>
    <mergeCell ref="C13:I13"/>
    <mergeCell ref="E2:G2"/>
    <mergeCell ref="D4:G4"/>
    <mergeCell ref="E6:G6"/>
    <mergeCell ref="A8:L8"/>
    <mergeCell ref="G10:G11"/>
  </mergeCells>
  <conditionalFormatting sqref="A43 D6:G6 D2:G2 D4:G4 D49:D51 E45:F47 G50:G52 H52">
    <cfRule type="cellIs" dxfId="6" priority="1" stopIfTrue="1" operator="notEqual">
      <formula>""</formula>
    </cfRule>
  </conditionalFormatting>
  <conditionalFormatting sqref="G26">
    <cfRule type="cellIs" dxfId="5" priority="2" stopIfTrue="1" operator="equal">
      <formula>"NÃO OK"</formula>
    </cfRule>
    <cfRule type="cellIs" dxfId="4" priority="3" stopIfTrue="1" operator="equal">
      <formula>"OK"</formula>
    </cfRule>
  </conditionalFormatting>
  <conditionalFormatting sqref="F15:F19 A24:B24 H49:J51">
    <cfRule type="cellIs" dxfId="3" priority="4" stopIfTrue="1" operator="equal">
      <formula>""</formula>
    </cfRule>
  </conditionalFormatting>
  <conditionalFormatting sqref="G27:I29">
    <cfRule type="cellIs" dxfId="2" priority="5" stopIfTrue="1" operator="equal">
      <formula>"OK! Percentual do BDI quando calculado sem desoneração atende ao limite estipulado pelo Acórdão TCU 2.622/2013."</formula>
    </cfRule>
    <cfRule type="cellIs" dxfId="1" priority="6" stopIfTrue="1" operator="equal">
      <formula>"OK!"</formula>
    </cfRule>
    <cfRule type="cellIs" dxfId="0" priority="7" stopIfTrue="1" operator="notEqual">
      <formula>"OK!"</formula>
    </cfRule>
  </conditionalFormatting>
  <dataValidations count="3">
    <dataValidation type="list" allowBlank="1" showInputMessage="1" showErrorMessage="1" promptTitle="Escolha" prompt="o tipo de obra"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$N$10:$N$14</formula1>
    </dataValidation>
    <dataValidation allowBlank="1" showInputMessage="1" showErrorMessage="1" promptTitle="Data" prompt="Indique a data da assinatura do documento" sqref="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dataValidation type="custom" allowBlank="1" showInputMessage="1" showErrorMessage="1"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formula1>A1</formula1>
    </dataValidation>
  </dataValidations>
  <printOptions horizontalCentered="1"/>
  <pageMargins left="0.98425196850393704" right="0.51181102362204722" top="0.78740157480314965" bottom="0.78740157480314965" header="0.31496062992125984" footer="0.31496062992125984"/>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locked="0" defaultSize="0" autoLine="0" autoPict="0" altText="teste">
                <anchor moveWithCells="1">
                  <from>
                    <xdr:col>3</xdr:col>
                    <xdr:colOff>28575</xdr:colOff>
                    <xdr:row>10</xdr:row>
                    <xdr:rowOff>9525</xdr:rowOff>
                  </from>
                  <to>
                    <xdr:col>5</xdr:col>
                    <xdr:colOff>485775</xdr:colOff>
                    <xdr:row>11</xdr:row>
                    <xdr:rowOff>47625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9</xdr:col>
                    <xdr:colOff>19050</xdr:colOff>
                    <xdr:row>21</xdr:row>
                    <xdr:rowOff>142875</xdr:rowOff>
                  </from>
                  <to>
                    <xdr:col>11</xdr:col>
                    <xdr:colOff>819150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3</vt:i4>
      </vt:variant>
    </vt:vector>
  </HeadingPairs>
  <TitlesOfParts>
    <vt:vector size="8" baseType="lpstr">
      <vt:lpstr>ORÇAMENTO EMEB DOM DANIEL</vt:lpstr>
      <vt:lpstr>COMPOSIÇÃO</vt:lpstr>
      <vt:lpstr>CRONOGRAMA</vt:lpstr>
      <vt:lpstr>CURVA ABC</vt:lpstr>
      <vt:lpstr>BDI</vt:lpstr>
      <vt:lpstr>BDI!Area_de_impressao</vt:lpstr>
      <vt:lpstr>matriz</vt:lpstr>
      <vt:lpstr>matriz2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Francieli Reis</dc:creator>
  <cp:lastModifiedBy>Ricardo Kazuiti Omura Junior</cp:lastModifiedBy>
  <cp:lastPrinted>2024-04-22T12:23:53Z</cp:lastPrinted>
  <dcterms:created xsi:type="dcterms:W3CDTF">2017-01-30T11:28:28Z</dcterms:created>
  <dcterms:modified xsi:type="dcterms:W3CDTF">2024-04-22T12:40:04Z</dcterms:modified>
</cp:coreProperties>
</file>