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40.5\users$\ricardo.omura\Desktop\Ricardo\Obras\13. CAIC NSP - Cobertura\"/>
    </mc:Choice>
  </mc:AlternateContent>
  <bookViews>
    <workbookView xWindow="0" yWindow="0" windowWidth="28800" windowHeight="12435"/>
  </bookViews>
  <sheets>
    <sheet name="PLANILHA ORÇAMENTÁRIA" sheetId="6" r:id="rId1"/>
    <sheet name="CRONOGRAMA" sheetId="2" r:id="rId2"/>
    <sheet name="ABC" sheetId="3" r:id="rId3"/>
    <sheet name="INCC-M" sheetId="4" r:id="rId4"/>
    <sheet name="BDI" sheetId="5" r:id="rId5"/>
  </sheets>
  <definedNames>
    <definedName name="_xlnm.Print_Area" localSheetId="2">ABC!$A$1:$J$40</definedName>
    <definedName name="_xlnm.Print_Area" localSheetId="4">BDI!$A$1:$L$52</definedName>
    <definedName name="_xlnm.Print_Area" localSheetId="1">CRONOGRAMA!$A$1:$H$35</definedName>
    <definedName name="_xlnm.Print_Area" localSheetId="3">'INCC-M'!$A$1:$I$32</definedName>
    <definedName name="_xlnm.Print_Area" localSheetId="0">'PLANILHA ORÇAMENTÁRIA'!$A$1:$I$63</definedName>
    <definedName name="matriz" localSheetId="4">BDI!$Q$17:$V$21</definedName>
    <definedName name="matriz">#REF!</definedName>
    <definedName name="matriz2" localSheetId="4">BDI!$Q$23:$V$27</definedName>
    <definedName name="matriz2">#REF!</definedName>
    <definedName name="TESTE" localSheetId="4">BDI!XEV:XEV*BDI!XEW:XEW</definedName>
    <definedName name="TESTE">#REF!*#REF!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6" l="1"/>
  <c r="I15" i="6"/>
  <c r="I21" i="6"/>
  <c r="I29" i="6"/>
  <c r="I35" i="6"/>
  <c r="I41" i="6"/>
  <c r="I45" i="6"/>
  <c r="I44" i="6"/>
  <c r="H44" i="6"/>
  <c r="I40" i="6"/>
  <c r="H40" i="6"/>
  <c r="I39" i="6"/>
  <c r="H39" i="6"/>
  <c r="I38" i="6"/>
  <c r="H38" i="6"/>
  <c r="I34" i="6"/>
  <c r="H34" i="6"/>
  <c r="I33" i="6"/>
  <c r="H33" i="6"/>
  <c r="I32" i="6"/>
  <c r="H32" i="6"/>
  <c r="I28" i="6"/>
  <c r="H28" i="6"/>
  <c r="I27" i="6"/>
  <c r="H27" i="6"/>
  <c r="I26" i="6"/>
  <c r="H26" i="6"/>
  <c r="I25" i="6"/>
  <c r="H25" i="6"/>
  <c r="I24" i="6"/>
  <c r="H24" i="6"/>
  <c r="I20" i="6"/>
  <c r="H20" i="6"/>
  <c r="I19" i="6"/>
  <c r="H19" i="6"/>
  <c r="I18" i="6"/>
  <c r="H18" i="6"/>
  <c r="I14" i="6"/>
  <c r="H14" i="6"/>
  <c r="I13" i="6"/>
  <c r="H13" i="6"/>
  <c r="I9" i="6"/>
  <c r="H9" i="6"/>
  <c r="D17" i="3"/>
  <c r="H17" i="2"/>
  <c r="C17" i="2"/>
  <c r="G18" i="2" s="1"/>
  <c r="H18" i="2" s="1"/>
  <c r="E4" i="4" l="1"/>
  <c r="E3" i="4"/>
  <c r="E4" i="3"/>
  <c r="E3" i="3"/>
  <c r="E4" i="2"/>
  <c r="E3" i="2"/>
  <c r="H13" i="2"/>
  <c r="H15" i="2"/>
  <c r="G44" i="6"/>
  <c r="D16" i="3" l="1"/>
  <c r="I18" i="3" s="1"/>
  <c r="C15" i="2"/>
  <c r="G16" i="2" s="1"/>
  <c r="H16" i="2" s="1"/>
  <c r="G3" i="4"/>
  <c r="F4" i="4"/>
  <c r="F3" i="4"/>
  <c r="H11" i="2" l="1"/>
  <c r="G3" i="3"/>
  <c r="G3" i="2"/>
  <c r="F4" i="2"/>
  <c r="F3" i="2"/>
  <c r="F4" i="3"/>
  <c r="F3" i="3"/>
  <c r="C19" i="2" l="1"/>
  <c r="G20" i="2" s="1"/>
  <c r="H20" i="2" s="1"/>
  <c r="D18" i="3"/>
  <c r="I16" i="3" s="1"/>
  <c r="I47" i="6" l="1"/>
  <c r="D11" i="3" l="1"/>
  <c r="I9" i="3" s="1"/>
  <c r="C7" i="2"/>
  <c r="D7" i="3"/>
  <c r="C13" i="2" l="1"/>
  <c r="G14" i="2" s="1"/>
  <c r="H14" i="2" s="1"/>
  <c r="D13" i="3"/>
  <c r="I13" i="3" s="1"/>
  <c r="C11" i="2"/>
  <c r="F12" i="2" l="1"/>
  <c r="G12" i="2"/>
  <c r="G21" i="2" s="1"/>
  <c r="H12" i="2" l="1"/>
  <c r="A4" i="2" l="1"/>
  <c r="R37" i="5" l="1"/>
  <c r="Q37" i="5"/>
  <c r="N34" i="5"/>
  <c r="N32" i="5"/>
  <c r="N31" i="5"/>
  <c r="N33" i="5" s="1"/>
  <c r="N35" i="5" s="1"/>
  <c r="G42" i="5" s="1"/>
  <c r="N30" i="5"/>
  <c r="H25" i="5"/>
  <c r="N24" i="5"/>
  <c r="B39" i="5" s="1"/>
  <c r="I24" i="5"/>
  <c r="H24" i="5"/>
  <c r="F24" i="5"/>
  <c r="G24" i="5" s="1"/>
  <c r="I23" i="5"/>
  <c r="F23" i="5"/>
  <c r="G22" i="5"/>
  <c r="G21" i="5"/>
  <c r="F20" i="5"/>
  <c r="F27" i="5" s="1"/>
  <c r="I19" i="5"/>
  <c r="H19" i="5"/>
  <c r="G19" i="5" s="1"/>
  <c r="I18" i="5"/>
  <c r="H18" i="5"/>
  <c r="G18" i="5" s="1"/>
  <c r="I17" i="5"/>
  <c r="H17" i="5"/>
  <c r="I16" i="5"/>
  <c r="H16" i="5"/>
  <c r="I15" i="5"/>
  <c r="H15" i="5"/>
  <c r="G15" i="5" s="1"/>
  <c r="P10" i="5"/>
  <c r="C13" i="5" s="1"/>
  <c r="A8" i="5"/>
  <c r="F14" i="4"/>
  <c r="F29" i="4"/>
  <c r="A4" i="4"/>
  <c r="A3" i="4"/>
  <c r="A2" i="4"/>
  <c r="F29" i="3"/>
  <c r="A4" i="3"/>
  <c r="A3" i="3"/>
  <c r="A2" i="3"/>
  <c r="G17" i="5" l="1"/>
  <c r="G16" i="5"/>
  <c r="D8" i="2"/>
  <c r="N59" i="5"/>
  <c r="R43" i="5"/>
  <c r="Q43" i="5"/>
  <c r="R42" i="5"/>
  <c r="H20" i="5"/>
  <c r="G20" i="5" s="1"/>
  <c r="J21" i="5"/>
  <c r="B40" i="5"/>
  <c r="N18" i="5"/>
  <c r="I20" i="5"/>
  <c r="H23" i="5"/>
  <c r="G23" i="5" s="1"/>
  <c r="H8" i="2" l="1"/>
  <c r="Q42" i="5"/>
  <c r="Q44" i="5" s="1"/>
  <c r="N20" i="5"/>
  <c r="R44" i="5"/>
  <c r="N28" i="5" s="1"/>
  <c r="N22" i="5" l="1"/>
  <c r="N19" i="5" s="1"/>
  <c r="B36" i="5" s="1"/>
  <c r="Q39" i="5"/>
  <c r="N27" i="5"/>
  <c r="N58" i="5" l="1"/>
  <c r="N54" i="5" s="1"/>
  <c r="G27" i="5" s="1"/>
  <c r="N57" i="5"/>
  <c r="F32" i="2" l="1"/>
  <c r="A3" i="2" l="1"/>
  <c r="A2" i="2"/>
  <c r="D9" i="3" l="1"/>
  <c r="I7" i="3"/>
  <c r="I21" i="3" s="1"/>
  <c r="C9" i="2"/>
  <c r="E10" i="2" s="1"/>
  <c r="E21" i="2" s="1"/>
  <c r="H3" i="6"/>
  <c r="H3" i="2" s="1"/>
  <c r="F10" i="2" l="1"/>
  <c r="F21" i="2" s="1"/>
  <c r="C21" i="2"/>
  <c r="H3" i="4"/>
  <c r="D10" i="2"/>
  <c r="H3" i="3"/>
  <c r="J17" i="3" s="1"/>
  <c r="J18" i="3" l="1"/>
  <c r="J16" i="3"/>
  <c r="D21" i="2"/>
  <c r="D22" i="2" s="1"/>
  <c r="E22" i="2" s="1"/>
  <c r="F22" i="2" s="1"/>
  <c r="G22" i="2" s="1"/>
  <c r="H10" i="2"/>
  <c r="H21" i="2" s="1"/>
  <c r="J9" i="3"/>
  <c r="J7" i="3"/>
  <c r="J21" i="3" l="1"/>
  <c r="H24" i="2"/>
  <c r="H19" i="2" l="1"/>
  <c r="H9" i="2"/>
  <c r="H7" i="2"/>
</calcChain>
</file>

<file path=xl/sharedStrings.xml><?xml version="1.0" encoding="utf-8"?>
<sst xmlns="http://schemas.openxmlformats.org/spreadsheetml/2006/main" count="301" uniqueCount="197">
  <si>
    <t>PLANILHA ORÇAMENTÁRIA</t>
  </si>
  <si>
    <t>BDI</t>
  </si>
  <si>
    <t>DATA</t>
  </si>
  <si>
    <t>VALOR DA OBRA C/ BDI:</t>
  </si>
  <si>
    <t>ITEM</t>
  </si>
  <si>
    <t>CÓDIGO</t>
  </si>
  <si>
    <t>FONTE</t>
  </si>
  <si>
    <t>DESCRIÇÃO DOS SERVIÇOS</t>
  </si>
  <si>
    <t>UND</t>
  </si>
  <si>
    <t>QTDADE</t>
  </si>
  <si>
    <t>PR. UNIT. S/ BDI  (R$)</t>
  </si>
  <si>
    <t>PREÇO UNIT. C/ BDI (R$)</t>
  </si>
  <si>
    <t>VALOR (R$)</t>
  </si>
  <si>
    <t>1.</t>
  </si>
  <si>
    <t>SERVIÇOS PRELIMINARES</t>
  </si>
  <si>
    <t>1.1</t>
  </si>
  <si>
    <t>6.1</t>
  </si>
  <si>
    <t>6.2</t>
  </si>
  <si>
    <t>6.3</t>
  </si>
  <si>
    <t>6.4</t>
  </si>
  <si>
    <t xml:space="preserve">TOTAL COM BDI </t>
  </si>
  <si>
    <t>_______________________________________</t>
  </si>
  <si>
    <t>RICARDO KAZUITI OMURA JUNIOR</t>
  </si>
  <si>
    <t>ENGENHEIRO CIVIL</t>
  </si>
  <si>
    <t>SECRETÁRIA DA EDUCAÇÃO</t>
  </si>
  <si>
    <t>IVANA ELENA MICHALTCHUK</t>
  </si>
  <si>
    <t>CURVA ABC</t>
  </si>
  <si>
    <t>Acumulado 2021</t>
  </si>
  <si>
    <t>Acumulado 2022</t>
  </si>
  <si>
    <t>Acumulado 2023</t>
  </si>
  <si>
    <t>Agente Promotor</t>
  </si>
  <si>
    <t>Número do Contrato</t>
  </si>
  <si>
    <t>.</t>
  </si>
  <si>
    <t>SECRETARIA DA EDUCAÇÃO DO MUNICÍPIO LAGES</t>
  </si>
  <si>
    <t>Empreendimento</t>
  </si>
  <si>
    <t>Localização</t>
  </si>
  <si>
    <t>Programa</t>
  </si>
  <si>
    <t>VERSÃO 1.18 (Dez/2015)</t>
  </si>
  <si>
    <t>TIPO DE OBRA</t>
  </si>
  <si>
    <t>Construção de Edifícios</t>
  </si>
  <si>
    <t>Construção de Rodovias e Ferrovias</t>
  </si>
  <si>
    <t>Construção de Redes de Abastecimento de Água, Coleta de Esgoto e Construções Correlatas</t>
  </si>
  <si>
    <t>Construção e Manutenção de Estações e Redes de Distribuição de Energia Elétrica</t>
  </si>
  <si>
    <t>DESCRIÇÃO ANALÍTICA</t>
  </si>
  <si>
    <t>SIGLAS</t>
  </si>
  <si>
    <t>PERCENTUAL</t>
  </si>
  <si>
    <t>SITUAÇÃO</t>
  </si>
  <si>
    <t>1º QUARTIL (MÍNIMO)</t>
  </si>
  <si>
    <t>3º QUARTIL (MÁXIMO)</t>
  </si>
  <si>
    <t>Obras Portuárias, Marítimas e Fluviais</t>
  </si>
  <si>
    <t>ADMINISTRAÇÃO CENTRAL</t>
  </si>
  <si>
    <t>AC</t>
  </si>
  <si>
    <t>Fornecimento de Materiais e Equipamentos</t>
  </si>
  <si>
    <t>SEGURO E GARANTIA</t>
  </si>
  <si>
    <t>S + G</t>
  </si>
  <si>
    <t>minimos</t>
  </si>
  <si>
    <t>RISCO</t>
  </si>
  <si>
    <t>R</t>
  </si>
  <si>
    <t>DESPESAS FINANCEIRAS</t>
  </si>
  <si>
    <t>DF</t>
  </si>
  <si>
    <t>LUCRO</t>
  </si>
  <si>
    <t>L</t>
  </si>
  <si>
    <t>TAXA REPRESENTATIVA DE TRIBUTOS</t>
  </si>
  <si>
    <t>I = PIS+COFINS+ISS+CPRB</t>
  </si>
  <si>
    <t>PIS</t>
  </si>
  <si>
    <t>%</t>
  </si>
  <si>
    <t>Alíquota ISS:</t>
  </si>
  <si>
    <t>Base de cálculo:</t>
  </si>
  <si>
    <t>COFINS</t>
  </si>
  <si>
    <t>maximos</t>
  </si>
  <si>
    <t>CONTRIBUIÇÃO PREVIDENCIÁRIA SOBRE A RECEITA BRUTA</t>
  </si>
  <si>
    <t>CPRB</t>
  </si>
  <si>
    <t>ISS</t>
  </si>
  <si>
    <t>LIMITE CONFORME ACÓRDÃO TCU 2.622/2013</t>
  </si>
  <si>
    <t>Composição do BDI para obras com mão-de-obra desonerada (conforme Lei 13.161 de 2015)</t>
  </si>
  <si>
    <t>Fórmula - Acórdão TCU 2.622/2013:</t>
  </si>
  <si>
    <t>Composição do BDI para obras com mão-de-obra onerada</t>
  </si>
  <si>
    <t>de 20,34% a 25,00%</t>
  </si>
  <si>
    <t>Justificativas e Observações:</t>
  </si>
  <si>
    <t>de 19,60% a 24,23%</t>
  </si>
  <si>
    <t>de 20,76% a 26,44%</t>
  </si>
  <si>
    <t>de 24,00% a 27,86%</t>
  </si>
  <si>
    <t>de 22,80% a 30,95%</t>
  </si>
  <si>
    <t>de 11,10% a 16,80%</t>
  </si>
  <si>
    <t>LIMITES DE BDI</t>
  </si>
  <si>
    <t>Obs¹: Para pagamento de material em canteiro, quando possível nos programas do Gestor, o BDI de Materiais deve ser limitado a 12,00%.</t>
  </si>
  <si>
    <t>Calculo real:</t>
  </si>
  <si>
    <t>Declaração do Tomador dos Recursos:</t>
  </si>
  <si>
    <t>1= abaixo</t>
  </si>
  <si>
    <t>2= dentro</t>
  </si>
  <si>
    <t>3= acima</t>
  </si>
  <si>
    <t>real</t>
  </si>
  <si>
    <t>OK</t>
  </si>
  <si>
    <t>final</t>
  </si>
  <si>
    <t>Data</t>
  </si>
  <si>
    <t>Percentual do BDI inferior ao limite estipulado pelo Acórdão TCU 2.622/2013.</t>
  </si>
  <si>
    <t>2= final abaixo</t>
  </si>
  <si>
    <t>Percentual do BDI quando calculado sem desoneração é inferior ao limite estipulado pelo Acórdão TCU 2.622/2013.</t>
  </si>
  <si>
    <t>3= final dentro real abaixo</t>
  </si>
  <si>
    <t>OK!</t>
  </si>
  <si>
    <t>4= final dentro real dentro</t>
  </si>
  <si>
    <t>OK! Percentual do BDI quando calculado sem desoneração atende ao limite estipulado pelo Acórdão TCU 2.622/2013.</t>
  </si>
  <si>
    <t>5= final acima real dentro</t>
  </si>
  <si>
    <t>Responsável Técnico pela Composição do BDI</t>
  </si>
  <si>
    <t>Responsável indicado pelo Tomador</t>
  </si>
  <si>
    <t>Percentual do BDI superior ao limite estipulado pelo Acórdão TCU 2.622/2013.</t>
  </si>
  <si>
    <t>6= final acima real acima</t>
  </si>
  <si>
    <t xml:space="preserve">Nome: </t>
  </si>
  <si>
    <t>ENGº RICARDO KAZUITI OMURA JUNIOR</t>
  </si>
  <si>
    <t>Nome:</t>
  </si>
  <si>
    <t>Registro:</t>
  </si>
  <si>
    <t>CREA/SC 157160-2</t>
  </si>
  <si>
    <t>Cargo:</t>
  </si>
  <si>
    <t>Eu, responsável técnico pelo orçamento, declaro para os devidos fins, que a opção pela desoneração sobre a folha de pagamento é mais adequada para a administração pública.</t>
  </si>
  <si>
    <t>ART/RRT:</t>
  </si>
  <si>
    <t>CPF:</t>
  </si>
  <si>
    <t>Eu, responsável técnico pelo orçamento, declaro para os devidos fins, que a opção pela oneração sobre a folha de pagamento é mais adequada para a administração pública.</t>
  </si>
  <si>
    <t>onerado</t>
  </si>
  <si>
    <t>desonerado</t>
  </si>
  <si>
    <t>ART:</t>
  </si>
  <si>
    <t xml:space="preserve">Responsável Técnico: Ricardo Kazuiti Omura Junior     </t>
  </si>
  <si>
    <t>Endereço:</t>
  </si>
  <si>
    <t>m²</t>
  </si>
  <si>
    <t>m</t>
  </si>
  <si>
    <t>SINAPI</t>
  </si>
  <si>
    <t>DESCRIÇÃO</t>
  </si>
  <si>
    <t>VALOR</t>
  </si>
  <si>
    <t>MÊS 1</t>
  </si>
  <si>
    <t>MÊS 2</t>
  </si>
  <si>
    <t>MÊS 3</t>
  </si>
  <si>
    <t>MÊS 4</t>
  </si>
  <si>
    <t>TOTAL PARCELA</t>
  </si>
  <si>
    <t>INCC-M</t>
  </si>
  <si>
    <t>% ACUMULADA</t>
  </si>
  <si>
    <t>Índice de reajuste aplicado sobre os preços do DEINFRA</t>
  </si>
  <si>
    <t>Calha em chapa de aço galvanizado número 24, desenvolvimento de 33 cm, incluso transporte vertical</t>
  </si>
  <si>
    <t>MERCADO</t>
  </si>
  <si>
    <t>Exaustor eólico 600mm - Fornecimento e instalação</t>
  </si>
  <si>
    <t>uni</t>
  </si>
  <si>
    <t>Alvenaria de vedação de blocos cerâmicos furados na vertical de 9x19x39cm (espessura 9 cm) e argamassa de assentamento com preparo em betoneira</t>
  </si>
  <si>
    <t xml:space="preserve">Chapisco aplicado em alvenarias e estruturas de concreto </t>
  </si>
  <si>
    <t>Reboco traço 1:2:8, preparo mecânico, aplicada manualmente</t>
  </si>
  <si>
    <t>Obra: Construção ampliação, manutenção e reforma CAIC Nossa Senhora dos Prazeres.</t>
  </si>
  <si>
    <t>Telhamento com telha de aço/alumínio E=0,5MM, com até 2 águas</t>
  </si>
  <si>
    <t>Placa de obra em chapa zincada, estrutura em madeira, instalada - 1,0 x 3,00 m</t>
  </si>
  <si>
    <t>DEINFRA</t>
  </si>
  <si>
    <t>Limpeza final de obra</t>
  </si>
  <si>
    <t>Rua Dr. Aujor da Luz, S/N, Bairro Santa Catarina, Lages, SC</t>
  </si>
  <si>
    <t>COBERTURA</t>
  </si>
  <si>
    <t>2.</t>
  </si>
  <si>
    <t>CALHAS</t>
  </si>
  <si>
    <t>3.</t>
  </si>
  <si>
    <t>3.2</t>
  </si>
  <si>
    <t>3.1</t>
  </si>
  <si>
    <t>ALVENARIA</t>
  </si>
  <si>
    <t>4.</t>
  </si>
  <si>
    <t>LIMPEZA</t>
  </si>
  <si>
    <t>5.</t>
  </si>
  <si>
    <t>4.1</t>
  </si>
  <si>
    <t>4.2</t>
  </si>
  <si>
    <t>4.3</t>
  </si>
  <si>
    <t>2.1</t>
  </si>
  <si>
    <t>2.2</t>
  </si>
  <si>
    <t>2.3</t>
  </si>
  <si>
    <t>Rufo externo/interno em chapa de aço galvanizado número 26, corte de 33 cm, incluso içamento</t>
  </si>
  <si>
    <t>Construção ampliação, manutenção e reforma CAIC Nossa Senhora dos Prazeres.</t>
  </si>
  <si>
    <t>Rua Aujor da Luz, S/N, Santa Catarina, Lages, SC</t>
  </si>
  <si>
    <t>Preço base:  SINAPI SET/2024 - DEINFRA JAN/2021 - SEINFRA TABELA 028.1</t>
  </si>
  <si>
    <t>OBS: Todos os referenciais de preços constantes nesta planilha foram retirados na tabela SINAPI do mês de Setembro de 2024, conforme o Decreto nº 7.983, Art. 3o, de 8 de abril de 2013. Quando não constante em tabela SINAPI, a referência de preço foi retirada da tabela DEINFRA (acrescido o INCC-M) e SEINFRA.</t>
  </si>
  <si>
    <t>Trama de aço composta por terças para telhados de até 2 águas para telha ondulada de fibrocimento, metálica plástica ou termoacústica</t>
  </si>
  <si>
    <t>4.4</t>
  </si>
  <si>
    <t>Concretagem de lajes em edificações multifamiliares feitas com sistema de fôrmas manuseáveis, com concreto usinado bombeável FCK 25 Mpa - Lançamento, adensamento e acabamento.</t>
  </si>
  <si>
    <t>m³</t>
  </si>
  <si>
    <t>4.5</t>
  </si>
  <si>
    <t>C1400</t>
  </si>
  <si>
    <t>SEINFRA</t>
  </si>
  <si>
    <t>Forma de tábuas de 1" 5 reaproveitamentos</t>
  </si>
  <si>
    <t>PINTURA</t>
  </si>
  <si>
    <t>Pintura tinta de acabamento (pigmentada) esmalte sintético fosco em madeira 1 demão</t>
  </si>
  <si>
    <t>5.1.</t>
  </si>
  <si>
    <t>ALVENARIA E CONCRETO</t>
  </si>
  <si>
    <t>6.</t>
  </si>
  <si>
    <t>Acumulado até OUTUBRO/2024</t>
  </si>
  <si>
    <t>ESQUADRIAS</t>
  </si>
  <si>
    <t>Porta de ferro, de abrir, tipo grade com chapa, com guarnições</t>
  </si>
  <si>
    <t>Fechadura de embutir com cilindro, externa, completa, acabamento padrão médio</t>
  </si>
  <si>
    <t>um</t>
  </si>
  <si>
    <t>Pintura com tinta alquídica de fundo e acabamento (esmalte sintético grafite) pulverizada sobre superfície metálicas (exceto perfil) executado em obra (por demão)</t>
  </si>
  <si>
    <t>7.</t>
  </si>
  <si>
    <t>7.1</t>
  </si>
  <si>
    <t>9557148-4</t>
  </si>
  <si>
    <t>5.2</t>
  </si>
  <si>
    <t>SINAPÌ</t>
  </si>
  <si>
    <t>Aplicação manual de fundo selador acrílico em paredes externas de casas</t>
  </si>
  <si>
    <t>5.3</t>
  </si>
  <si>
    <t>Pintura látex acrílica premium, aplicação manual em paredes, duas demãos</t>
  </si>
  <si>
    <t>ART:9557148-4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</si>
</sst>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0.00_-;\-&quot;R$&quot;* #,##0.00_-;_-&quot;R$&quot;* &quot;-&quot;??_-;_-@_-"/>
    <numFmt numFmtId="164" formatCode="_-&quot;R$&quot;\ * #,##0.00_-;\-&quot;R$&quot;\ * #,##0.00_-;_-&quot;R$&quot;\ * &quot;-&quot;??_-;_-@_-"/>
    <numFmt numFmtId="165" formatCode="_(* #,##0.00_);_(* \(#,##0.00\);_(* &quot;-&quot;??_);_(@_)"/>
    <numFmt numFmtId="166" formatCode="_-&quot;R$&quot;\ * #,##0.00_-;\-&quot;R$&quot;\ * #,##0.00_-;_-&quot;R$&quot;\ * &quot;-&quot;??_-;_-@"/>
    <numFmt numFmtId="168" formatCode="&quot;R$&quot;#,##0.00"/>
  </numFmts>
  <fonts count="44" x14ac:knownFonts="1">
    <font>
      <sz val="11"/>
      <color theme="1"/>
      <name val="Calibri"/>
      <family val="2"/>
      <scheme val="minor"/>
    </font>
    <font>
      <sz val="11"/>
      <color theme="1"/>
      <name val="Calibri"/>
      <family val="2"/>
      <scheme val="minor"/>
    </font>
    <font>
      <b/>
      <sz val="16"/>
      <color theme="1"/>
      <name val="Arial"/>
      <family val="2"/>
    </font>
    <font>
      <b/>
      <sz val="11"/>
      <color theme="1"/>
      <name val="Arial"/>
      <family val="2"/>
    </font>
    <font>
      <b/>
      <sz val="11"/>
      <name val="Arial"/>
      <family val="2"/>
    </font>
    <font>
      <b/>
      <sz val="12"/>
      <name val="Arial"/>
      <family val="2"/>
    </font>
    <font>
      <b/>
      <sz val="20"/>
      <color theme="1"/>
      <name val="Arial"/>
      <family val="2"/>
    </font>
    <font>
      <sz val="11"/>
      <name val="Arial"/>
      <family val="2"/>
    </font>
    <font>
      <sz val="10"/>
      <name val="Arial"/>
      <family val="2"/>
    </font>
    <font>
      <sz val="11"/>
      <color theme="1"/>
      <name val="Arial"/>
      <family val="2"/>
    </font>
    <font>
      <sz val="12"/>
      <color theme="1"/>
      <name val="Calibri"/>
      <family val="2"/>
      <scheme val="minor"/>
    </font>
    <font>
      <b/>
      <sz val="12"/>
      <color theme="1"/>
      <name val="Calibri"/>
      <family val="2"/>
      <scheme val="minor"/>
    </font>
    <font>
      <sz val="9"/>
      <name val="Arial"/>
      <family val="2"/>
    </font>
    <font>
      <b/>
      <sz val="9"/>
      <color theme="1"/>
      <name val="Arial"/>
      <family val="2"/>
    </font>
    <font>
      <b/>
      <sz val="9"/>
      <name val="Arial"/>
      <family val="2"/>
    </font>
    <font>
      <sz val="8"/>
      <color rgb="FF000000"/>
      <name val="Tahoma"/>
      <family val="2"/>
    </font>
    <font>
      <b/>
      <sz val="7"/>
      <name val="Arial"/>
      <family val="2"/>
    </font>
    <font>
      <sz val="7"/>
      <name val="Arial"/>
      <family val="2"/>
    </font>
    <font>
      <sz val="11"/>
      <color indexed="8"/>
      <name val="Arial"/>
      <family val="2"/>
    </font>
    <font>
      <sz val="7"/>
      <color indexed="9"/>
      <name val="Arial"/>
      <family val="2"/>
    </font>
    <font>
      <sz val="7.5"/>
      <name val="Arial"/>
      <family val="2"/>
    </font>
    <font>
      <sz val="7.5"/>
      <color indexed="9"/>
      <name val="Arial"/>
      <family val="2"/>
    </font>
    <font>
      <sz val="10"/>
      <color indexed="41"/>
      <name val="Arial"/>
      <family val="2"/>
    </font>
    <font>
      <b/>
      <sz val="12"/>
      <color indexed="9"/>
      <name val="Arial"/>
      <family val="2"/>
    </font>
    <font>
      <sz val="10"/>
      <color indexed="9"/>
      <name val="Arial"/>
      <family val="2"/>
    </font>
    <font>
      <b/>
      <sz val="8"/>
      <name val="Arial"/>
      <family val="2"/>
    </font>
    <font>
      <sz val="8"/>
      <name val="Arial"/>
      <family val="2"/>
    </font>
    <font>
      <sz val="8"/>
      <color indexed="10"/>
      <name val="Arial"/>
      <family val="2"/>
    </font>
    <font>
      <b/>
      <sz val="10"/>
      <name val="Arial"/>
      <family val="2"/>
    </font>
    <font>
      <b/>
      <sz val="11"/>
      <color indexed="8"/>
      <name val="Arial"/>
      <family val="2"/>
    </font>
    <font>
      <b/>
      <sz val="14"/>
      <name val="Arial"/>
      <family val="2"/>
    </font>
    <font>
      <sz val="10"/>
      <color indexed="8"/>
      <name val="Arial"/>
      <family val="2"/>
    </font>
    <font>
      <sz val="8"/>
      <color indexed="8"/>
      <name val="Arial"/>
      <family val="2"/>
    </font>
    <font>
      <b/>
      <sz val="10"/>
      <color indexed="9"/>
      <name val="Arial"/>
      <family val="2"/>
    </font>
    <font>
      <sz val="9"/>
      <color indexed="8"/>
      <name val="Arial"/>
      <family val="2"/>
    </font>
    <font>
      <sz val="12"/>
      <name val="Arial"/>
      <family val="2"/>
    </font>
    <font>
      <sz val="12"/>
      <color rgb="FF000000"/>
      <name val="Arial"/>
      <family val="2"/>
    </font>
    <font>
      <sz val="11"/>
      <color rgb="FF000000"/>
      <name val="Arial"/>
      <family val="2"/>
    </font>
    <font>
      <sz val="12"/>
      <color theme="1"/>
      <name val="Arial"/>
      <family val="2"/>
    </font>
    <font>
      <sz val="11"/>
      <color theme="1"/>
      <name val="Verdana"/>
      <family val="2"/>
    </font>
    <font>
      <b/>
      <sz val="12"/>
      <color rgb="FF000000"/>
      <name val="Arial"/>
      <family val="2"/>
    </font>
    <font>
      <b/>
      <sz val="11"/>
      <color theme="1"/>
      <name val="Verdana"/>
      <family val="2"/>
    </font>
    <font>
      <b/>
      <sz val="11"/>
      <color rgb="FF000000"/>
      <name val="Arial"/>
      <family val="2"/>
    </font>
    <font>
      <b/>
      <sz val="11"/>
      <color theme="1"/>
      <name val="Calibri"/>
      <family val="2"/>
      <scheme val="minor"/>
    </font>
  </fonts>
  <fills count="20">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64"/>
      </patternFill>
    </fill>
    <fill>
      <patternFill patternType="solid">
        <fgColor indexed="17"/>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10"/>
        <bgColor indexed="64"/>
      </patternFill>
    </fill>
    <fill>
      <patternFill patternType="solid">
        <fgColor rgb="FFFFFFFF"/>
        <bgColor rgb="FFFFFFFF"/>
      </patternFill>
    </fill>
    <fill>
      <patternFill patternType="solid">
        <fgColor rgb="FF92D05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54"/>
      </left>
      <right style="hair">
        <color indexed="64"/>
      </right>
      <top style="medium">
        <color indexed="54"/>
      </top>
      <bottom style="hair">
        <color indexed="64"/>
      </bottom>
      <diagonal/>
    </border>
    <border>
      <left style="hair">
        <color indexed="64"/>
      </left>
      <right style="medium">
        <color indexed="54"/>
      </right>
      <top style="medium">
        <color indexed="54"/>
      </top>
      <bottom style="hair">
        <color indexed="64"/>
      </bottom>
      <diagonal/>
    </border>
    <border>
      <left style="medium">
        <color indexed="54"/>
      </left>
      <right style="hair">
        <color indexed="64"/>
      </right>
      <top style="hair">
        <color indexed="64"/>
      </top>
      <bottom style="hair">
        <color indexed="64"/>
      </bottom>
      <diagonal/>
    </border>
    <border>
      <left style="hair">
        <color indexed="64"/>
      </left>
      <right style="medium">
        <color indexed="5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diagonal/>
    </border>
    <border>
      <left style="medium">
        <color indexed="54"/>
      </left>
      <right style="hair">
        <color indexed="64"/>
      </right>
      <top style="hair">
        <color indexed="64"/>
      </top>
      <bottom style="medium">
        <color indexed="54"/>
      </bottom>
      <diagonal/>
    </border>
    <border>
      <left style="hair">
        <color indexed="64"/>
      </left>
      <right/>
      <top style="hair">
        <color indexed="64"/>
      </top>
      <bottom style="medium">
        <color indexed="54"/>
      </bottom>
      <diagonal/>
    </border>
    <border>
      <left/>
      <right/>
      <top style="medium">
        <color indexed="54"/>
      </top>
      <bottom style="medium">
        <color indexed="54"/>
      </bottom>
      <diagonal/>
    </border>
    <border>
      <left/>
      <right style="hair">
        <color indexed="64"/>
      </right>
      <top style="medium">
        <color indexed="54"/>
      </top>
      <bottom style="medium">
        <color indexed="54"/>
      </bottom>
      <diagonal/>
    </border>
    <border>
      <left style="hair">
        <color indexed="64"/>
      </left>
      <right style="medium">
        <color indexed="54"/>
      </right>
      <top style="medium">
        <color indexed="54"/>
      </top>
      <bottom style="medium">
        <color indexed="5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medium">
        <color indexed="64"/>
      </bottom>
      <diagonal/>
    </border>
    <border>
      <left/>
      <right/>
      <top style="medium">
        <color indexed="64"/>
      </top>
      <bottom/>
      <diagonal/>
    </border>
    <border>
      <left/>
      <right/>
      <top style="hair">
        <color indexed="64"/>
      </top>
      <bottom style="hair">
        <color indexed="64"/>
      </bottom>
      <diagonal/>
    </border>
    <border>
      <left style="thick">
        <color indexed="64"/>
      </left>
      <right/>
      <top/>
      <bottom style="thick">
        <color indexed="64"/>
      </bottom>
      <diagonal/>
    </border>
    <border>
      <left/>
      <right/>
      <top style="hair">
        <color indexed="64"/>
      </top>
      <bottom style="thick">
        <color indexed="64"/>
      </bottom>
      <diagonal/>
    </border>
    <border>
      <left/>
      <right style="thick">
        <color indexed="64"/>
      </right>
      <top/>
      <bottom style="thick">
        <color indexed="64"/>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165" fontId="8" fillId="0" borderId="0" applyFont="0" applyFill="0" applyBorder="0" applyAlignment="0" applyProtection="0"/>
    <xf numFmtId="0" fontId="8" fillId="0" borderId="0"/>
    <xf numFmtId="0" fontId="8" fillId="0" borderId="0"/>
    <xf numFmtId="0" fontId="18" fillId="0" borderId="0"/>
    <xf numFmtId="0" fontId="12" fillId="0" borderId="0"/>
    <xf numFmtId="0" fontId="8" fillId="0" borderId="0"/>
    <xf numFmtId="0" fontId="8" fillId="0" borderId="0"/>
    <xf numFmtId="9" fontId="18" fillId="0" borderId="0" applyFont="0" applyFill="0" applyBorder="0" applyAlignment="0" applyProtection="0"/>
    <xf numFmtId="165" fontId="8" fillId="0" borderId="0" applyFont="0" applyFill="0" applyBorder="0" applyAlignment="0" applyProtection="0"/>
  </cellStyleXfs>
  <cellXfs count="426">
    <xf numFmtId="0" fontId="0" fillId="0" borderId="0" xfId="0"/>
    <xf numFmtId="0" fontId="3" fillId="3" borderId="1" xfId="0" applyFont="1" applyFill="1" applyBorder="1" applyAlignment="1">
      <alignment horizontal="center" vertical="center"/>
    </xf>
    <xf numFmtId="0" fontId="7" fillId="0" borderId="1" xfId="0" applyFont="1" applyBorder="1" applyAlignment="1">
      <alignment horizontal="center" vertical="center"/>
    </xf>
    <xf numFmtId="164" fontId="3" fillId="5" borderId="1" xfId="0" applyNumberFormat="1" applyFont="1" applyFill="1" applyBorder="1" applyAlignment="1">
      <alignment vertical="center"/>
    </xf>
    <xf numFmtId="0" fontId="1" fillId="0" borderId="0" xfId="0" applyFont="1"/>
    <xf numFmtId="164" fontId="1" fillId="0" borderId="0" xfId="0" applyNumberFormat="1" applyFont="1"/>
    <xf numFmtId="0" fontId="10" fillId="0" borderId="0" xfId="0" applyFont="1" applyAlignment="1">
      <alignment vertical="center"/>
    </xf>
    <xf numFmtId="0" fontId="11" fillId="0" borderId="0" xfId="0" applyFont="1" applyAlignment="1">
      <alignment vertical="center"/>
    </xf>
    <xf numFmtId="0" fontId="3" fillId="4" borderId="3" xfId="0" applyFont="1" applyFill="1" applyBorder="1" applyAlignment="1">
      <alignment horizontal="center" vertical="center"/>
    </xf>
    <xf numFmtId="0" fontId="3" fillId="0" borderId="0" xfId="0" applyFont="1" applyFill="1" applyBorder="1" applyAlignment="1">
      <alignment vertical="center"/>
    </xf>
    <xf numFmtId="164" fontId="12" fillId="0" borderId="0" xfId="1" applyFont="1" applyFill="1" applyBorder="1" applyAlignment="1">
      <alignment horizontal="left"/>
    </xf>
    <xf numFmtId="0" fontId="0" fillId="0" borderId="0" xfId="0" applyFont="1" applyAlignment="1"/>
    <xf numFmtId="0" fontId="13" fillId="0" borderId="0" xfId="0" applyFont="1" applyFill="1" applyBorder="1" applyAlignment="1">
      <alignment horizontal="center" vertical="center"/>
    </xf>
    <xf numFmtId="9" fontId="12" fillId="0" borderId="0" xfId="2" applyFont="1" applyFill="1" applyBorder="1" applyAlignment="1">
      <alignment horizontal="center" vertical="center"/>
    </xf>
    <xf numFmtId="0" fontId="8" fillId="0" borderId="0" xfId="5" applyBorder="1" applyAlignment="1" applyProtection="1"/>
    <xf numFmtId="0" fontId="8" fillId="0" borderId="0" xfId="5" applyNumberFormat="1" applyBorder="1" applyAlignment="1" applyProtection="1"/>
    <xf numFmtId="0" fontId="16" fillId="0" borderId="0" xfId="6" applyNumberFormat="1" applyFont="1" applyBorder="1" applyAlignment="1" applyProtection="1">
      <protection hidden="1"/>
    </xf>
    <xf numFmtId="0" fontId="17" fillId="0" borderId="0" xfId="6" applyNumberFormat="1" applyFont="1" applyBorder="1" applyAlignment="1" applyProtection="1">
      <protection hidden="1"/>
    </xf>
    <xf numFmtId="0" fontId="19" fillId="0" borderId="0" xfId="7" applyFont="1" applyBorder="1" applyAlignment="1" applyProtection="1">
      <alignment horizontal="center"/>
    </xf>
    <xf numFmtId="0" fontId="8" fillId="0" borderId="0" xfId="5" applyAlignment="1" applyProtection="1"/>
    <xf numFmtId="0" fontId="8" fillId="8" borderId="0" xfId="5" applyFill="1" applyAlignment="1" applyProtection="1"/>
    <xf numFmtId="2" fontId="20" fillId="9" borderId="16" xfId="8" applyNumberFormat="1" applyFont="1" applyFill="1" applyBorder="1" applyAlignment="1" applyProtection="1">
      <alignment horizontal="left"/>
      <protection locked="0"/>
    </xf>
    <xf numFmtId="0" fontId="21" fillId="0" borderId="0" xfId="7" applyFont="1" applyBorder="1" applyAlignment="1" applyProtection="1">
      <alignment horizontal="center"/>
    </xf>
    <xf numFmtId="0" fontId="16" fillId="0" borderId="0" xfId="6" applyNumberFormat="1" applyFont="1" applyFill="1" applyAlignment="1" applyProtection="1">
      <protection hidden="1"/>
    </xf>
    <xf numFmtId="0" fontId="17" fillId="0" borderId="0" xfId="6" applyNumberFormat="1" applyFont="1" applyFill="1" applyAlignment="1" applyProtection="1">
      <protection hidden="1"/>
    </xf>
    <xf numFmtId="0" fontId="8" fillId="0" borderId="0" xfId="5" applyFont="1" applyBorder="1" applyAlignment="1" applyProtection="1"/>
    <xf numFmtId="0" fontId="16" fillId="0" borderId="0" xfId="6" applyNumberFormat="1" applyFont="1" applyAlignment="1" applyProtection="1">
      <protection hidden="1"/>
    </xf>
    <xf numFmtId="0" fontId="8" fillId="0" borderId="0" xfId="5" applyFont="1" applyAlignment="1" applyProtection="1">
      <alignment horizontal="left"/>
    </xf>
    <xf numFmtId="0" fontId="22" fillId="0" borderId="0" xfId="5" applyFont="1" applyAlignment="1" applyProtection="1">
      <alignment horizontal="right"/>
    </xf>
    <xf numFmtId="0" fontId="8" fillId="0" borderId="0" xfId="5" applyBorder="1" applyAlignment="1" applyProtection="1">
      <alignment horizontal="left"/>
    </xf>
    <xf numFmtId="0" fontId="8" fillId="0" borderId="0" xfId="5" applyProtection="1"/>
    <xf numFmtId="0" fontId="8" fillId="0" borderId="0" xfId="5" applyNumberFormat="1" applyAlignment="1" applyProtection="1"/>
    <xf numFmtId="0" fontId="8" fillId="0" borderId="0" xfId="5" applyFill="1" applyProtection="1"/>
    <xf numFmtId="0" fontId="8" fillId="8" borderId="0" xfId="5" applyFill="1" applyProtection="1"/>
    <xf numFmtId="0" fontId="24" fillId="0" borderId="0" xfId="5" applyFont="1" applyFill="1" applyProtection="1"/>
    <xf numFmtId="0" fontId="24" fillId="0" borderId="0" xfId="5" applyFont="1" applyFill="1" applyAlignment="1" applyProtection="1">
      <alignment horizontal="left"/>
      <protection locked="0"/>
    </xf>
    <xf numFmtId="0" fontId="24" fillId="8" borderId="0" xfId="5" applyFont="1" applyFill="1" applyProtection="1"/>
    <xf numFmtId="14" fontId="25" fillId="0" borderId="0" xfId="9" applyNumberFormat="1" applyFont="1" applyBorder="1" applyAlignment="1" applyProtection="1">
      <alignment horizontal="center" vertical="center" textRotation="180" wrapText="1"/>
      <protection hidden="1"/>
    </xf>
    <xf numFmtId="0" fontId="25" fillId="0" borderId="0" xfId="9" applyNumberFormat="1" applyFont="1" applyBorder="1" applyAlignment="1" applyProtection="1">
      <alignment horizontal="center" vertical="center" wrapText="1"/>
      <protection hidden="1"/>
    </xf>
    <xf numFmtId="14" fontId="25" fillId="0" borderId="0" xfId="9" applyNumberFormat="1" applyFont="1" applyBorder="1" applyAlignment="1" applyProtection="1">
      <alignment vertical="center" textRotation="180" wrapText="1"/>
      <protection hidden="1"/>
    </xf>
    <xf numFmtId="0" fontId="8" fillId="0" borderId="0" xfId="5" applyBorder="1" applyAlignment="1" applyProtection="1">
      <alignment horizontal="left" wrapText="1"/>
    </xf>
    <xf numFmtId="0" fontId="8" fillId="0" borderId="0" xfId="5" applyBorder="1" applyProtection="1"/>
    <xf numFmtId="14" fontId="25" fillId="0" borderId="0" xfId="9" applyNumberFormat="1" applyFont="1" applyBorder="1" applyAlignment="1" applyProtection="1">
      <alignment vertical="center" wrapText="1"/>
      <protection hidden="1"/>
    </xf>
    <xf numFmtId="14" fontId="25" fillId="0" borderId="0" xfId="9" applyNumberFormat="1" applyFont="1" applyFill="1" applyBorder="1" applyAlignment="1" applyProtection="1">
      <alignment horizontal="center" vertical="center" wrapText="1"/>
      <protection hidden="1"/>
    </xf>
    <xf numFmtId="0" fontId="8" fillId="0" borderId="0" xfId="5" applyFont="1" applyBorder="1" applyProtection="1"/>
    <xf numFmtId="0" fontId="8" fillId="0" borderId="7" xfId="5" applyFill="1" applyBorder="1" applyProtection="1">
      <protection locked="0"/>
    </xf>
    <xf numFmtId="0" fontId="8" fillId="8" borderId="0" xfId="5" applyFill="1" applyBorder="1" applyProtection="1"/>
    <xf numFmtId="10" fontId="8" fillId="0" borderId="0" xfId="5" applyNumberFormat="1" applyFill="1" applyBorder="1" applyAlignment="1" applyProtection="1">
      <alignment horizontal="center" wrapText="1"/>
    </xf>
    <xf numFmtId="0" fontId="25" fillId="0" borderId="12" xfId="9" applyNumberFormat="1" applyFont="1" applyBorder="1" applyAlignment="1" applyProtection="1">
      <alignment horizontal="center" vertical="center" wrapText="1"/>
      <protection hidden="1"/>
    </xf>
    <xf numFmtId="14" fontId="25" fillId="0" borderId="12" xfId="9" applyNumberFormat="1" applyFont="1" applyBorder="1" applyAlignment="1" applyProtection="1">
      <alignment horizontal="center" vertical="center" wrapText="1"/>
      <protection hidden="1"/>
    </xf>
    <xf numFmtId="14" fontId="25" fillId="0" borderId="23" xfId="9" applyNumberFormat="1" applyFont="1" applyBorder="1" applyAlignment="1" applyProtection="1">
      <alignment horizontal="center" vertical="center" wrapText="1"/>
      <protection hidden="1"/>
    </xf>
    <xf numFmtId="0" fontId="26" fillId="0" borderId="24" xfId="9" applyNumberFormat="1" applyFont="1" applyBorder="1" applyAlignment="1" applyProtection="1">
      <alignment horizontal="center" vertical="center" wrapText="1"/>
      <protection hidden="1"/>
    </xf>
    <xf numFmtId="14" fontId="26" fillId="0" borderId="25" xfId="9" applyNumberFormat="1" applyFont="1" applyBorder="1" applyAlignment="1" applyProtection="1">
      <alignment vertical="center" wrapText="1"/>
      <protection hidden="1"/>
    </xf>
    <xf numFmtId="0" fontId="26" fillId="0" borderId="25" xfId="5" applyFont="1" applyBorder="1" applyAlignment="1" applyProtection="1">
      <alignment horizontal="center" wrapText="1"/>
    </xf>
    <xf numFmtId="10" fontId="8" fillId="0" borderId="25" xfId="5" applyNumberFormat="1" applyFill="1" applyBorder="1" applyAlignment="1" applyProtection="1">
      <alignment horizontal="center" wrapText="1"/>
      <protection locked="0"/>
    </xf>
    <xf numFmtId="0" fontId="8" fillId="0" borderId="25" xfId="5" applyBorder="1" applyAlignment="1" applyProtection="1">
      <alignment horizontal="center" wrapText="1"/>
    </xf>
    <xf numFmtId="10" fontId="7" fillId="11" borderId="26" xfId="7" applyNumberFormat="1" applyFont="1" applyFill="1" applyBorder="1" applyAlignment="1" applyProtection="1">
      <alignment horizontal="center" wrapText="1"/>
    </xf>
    <xf numFmtId="0" fontId="26" fillId="0" borderId="27" xfId="9" applyNumberFormat="1" applyFont="1" applyBorder="1" applyAlignment="1" applyProtection="1">
      <alignment horizontal="center" vertical="center" wrapText="1"/>
      <protection hidden="1"/>
    </xf>
    <xf numFmtId="14" fontId="26" fillId="0" borderId="28" xfId="9" applyNumberFormat="1" applyFont="1" applyBorder="1" applyAlignment="1" applyProtection="1">
      <alignment vertical="center" wrapText="1"/>
      <protection hidden="1"/>
    </xf>
    <xf numFmtId="0" fontId="26" fillId="0" borderId="28" xfId="5" applyFont="1" applyBorder="1" applyAlignment="1" applyProtection="1">
      <alignment horizontal="center" wrapText="1"/>
    </xf>
    <xf numFmtId="10" fontId="8" fillId="0" borderId="28" xfId="5" applyNumberFormat="1" applyFill="1" applyBorder="1" applyAlignment="1" applyProtection="1">
      <alignment horizontal="center" wrapText="1"/>
      <protection locked="0"/>
    </xf>
    <xf numFmtId="0" fontId="8" fillId="0" borderId="28" xfId="5" applyBorder="1" applyAlignment="1" applyProtection="1">
      <alignment horizontal="center" wrapText="1"/>
    </xf>
    <xf numFmtId="10" fontId="18" fillId="0" borderId="0" xfId="7" applyNumberFormat="1" applyFill="1" applyBorder="1" applyAlignment="1" applyProtection="1">
      <alignment horizontal="left" wrapText="1"/>
    </xf>
    <xf numFmtId="0" fontId="8" fillId="0" borderId="0" xfId="5" applyFont="1" applyBorder="1" applyAlignment="1" applyProtection="1">
      <alignment horizontal="left"/>
    </xf>
    <xf numFmtId="10" fontId="8" fillId="0" borderId="0" xfId="5" applyNumberFormat="1" applyBorder="1" applyProtection="1"/>
    <xf numFmtId="10" fontId="8" fillId="0" borderId="0" xfId="5" applyNumberFormat="1" applyFont="1" applyBorder="1" applyAlignment="1" applyProtection="1">
      <alignment horizontal="left"/>
    </xf>
    <xf numFmtId="10" fontId="8" fillId="0" borderId="28" xfId="5" applyNumberFormat="1" applyBorder="1" applyAlignment="1" applyProtection="1">
      <alignment horizontal="center" wrapText="1"/>
    </xf>
    <xf numFmtId="2" fontId="8" fillId="0" borderId="0" xfId="5" applyNumberFormat="1" applyFont="1" applyBorder="1" applyAlignment="1" applyProtection="1">
      <alignment horizontal="left"/>
    </xf>
    <xf numFmtId="0" fontId="8" fillId="0" borderId="0" xfId="5" applyAlignment="1" applyProtection="1">
      <alignment horizontal="left"/>
    </xf>
    <xf numFmtId="0" fontId="8" fillId="0" borderId="0" xfId="5" applyFont="1" applyProtection="1"/>
    <xf numFmtId="0" fontId="26" fillId="0" borderId="33" xfId="9" applyNumberFormat="1" applyFont="1" applyBorder="1" applyAlignment="1" applyProtection="1">
      <alignment horizontal="center" vertical="center" wrapText="1"/>
      <protection hidden="1"/>
    </xf>
    <xf numFmtId="14" fontId="26" fillId="0" borderId="34" xfId="9" applyNumberFormat="1" applyFont="1" applyBorder="1" applyAlignment="1" applyProtection="1">
      <alignment vertical="center" wrapText="1"/>
      <protection hidden="1"/>
    </xf>
    <xf numFmtId="0" fontId="26" fillId="0" borderId="34" xfId="5" applyFont="1" applyBorder="1" applyAlignment="1" applyProtection="1">
      <alignment horizontal="center" wrapText="1"/>
    </xf>
    <xf numFmtId="10" fontId="8" fillId="0" borderId="34" xfId="5" applyNumberFormat="1" applyFont="1" applyBorder="1" applyAlignment="1" applyProtection="1">
      <alignment horizontal="center" wrapText="1"/>
    </xf>
    <xf numFmtId="10" fontId="7" fillId="11" borderId="35" xfId="7" applyNumberFormat="1" applyFont="1" applyFill="1" applyBorder="1" applyAlignment="1" applyProtection="1">
      <alignment horizontal="center" wrapText="1"/>
    </xf>
    <xf numFmtId="0" fontId="8" fillId="0" borderId="3" xfId="5" applyBorder="1" applyProtection="1"/>
    <xf numFmtId="10" fontId="8" fillId="0" borderId="36" xfId="5" applyNumberFormat="1" applyFill="1" applyBorder="1" applyAlignment="1" applyProtection="1">
      <alignment horizontal="center" wrapText="1"/>
      <protection locked="0"/>
    </xf>
    <xf numFmtId="10" fontId="8" fillId="0" borderId="37" xfId="5" applyNumberFormat="1" applyFill="1" applyBorder="1" applyAlignment="1" applyProtection="1">
      <alignment horizontal="center" wrapText="1"/>
      <protection locked="0"/>
    </xf>
    <xf numFmtId="0" fontId="26" fillId="0" borderId="38" xfId="9" applyNumberFormat="1" applyFont="1" applyBorder="1" applyAlignment="1" applyProtection="1">
      <alignment horizontal="center" vertical="center" wrapText="1"/>
      <protection hidden="1"/>
    </xf>
    <xf numFmtId="14" fontId="26" fillId="0" borderId="38" xfId="9" applyNumberFormat="1" applyFont="1" applyBorder="1" applyAlignment="1" applyProtection="1">
      <alignment vertical="center" wrapText="1"/>
      <protection hidden="1"/>
    </xf>
    <xf numFmtId="0" fontId="26" fillId="0" borderId="39" xfId="5" applyFont="1" applyBorder="1" applyAlignment="1" applyProtection="1">
      <alignment horizontal="center" wrapText="1"/>
    </xf>
    <xf numFmtId="10" fontId="8" fillId="12" borderId="40" xfId="5" applyNumberFormat="1" applyFill="1" applyBorder="1" applyAlignment="1" applyProtection="1">
      <alignment horizontal="center" wrapText="1"/>
    </xf>
    <xf numFmtId="0" fontId="8" fillId="0" borderId="41" xfId="5" applyBorder="1" applyAlignment="1" applyProtection="1">
      <alignment horizontal="center" wrapText="1"/>
    </xf>
    <xf numFmtId="10" fontId="7" fillId="11" borderId="42" xfId="7" applyNumberFormat="1" applyFont="1" applyFill="1" applyBorder="1" applyAlignment="1" applyProtection="1">
      <alignment horizontal="center" wrapText="1"/>
    </xf>
    <xf numFmtId="0" fontId="27" fillId="0" borderId="13" xfId="5" applyFont="1" applyBorder="1" applyAlignment="1" applyProtection="1">
      <alignment vertical="center" wrapText="1"/>
    </xf>
    <xf numFmtId="0" fontId="8" fillId="0" borderId="1" xfId="5" applyFont="1" applyBorder="1" applyAlignment="1" applyProtection="1">
      <alignment horizontal="left"/>
    </xf>
    <xf numFmtId="0" fontId="27" fillId="0" borderId="0" xfId="5" applyFont="1" applyAlignment="1" applyProtection="1">
      <alignment vertical="center" wrapText="1"/>
    </xf>
    <xf numFmtId="0" fontId="18" fillId="0" borderId="0" xfId="7" applyAlignment="1" applyProtection="1"/>
    <xf numFmtId="0" fontId="18" fillId="0" borderId="0" xfId="7" applyBorder="1" applyAlignment="1" applyProtection="1"/>
    <xf numFmtId="0" fontId="28" fillId="0" borderId="0" xfId="10" applyFont="1" applyBorder="1" applyAlignment="1" applyProtection="1">
      <alignment horizontal="center" vertical="center"/>
    </xf>
    <xf numFmtId="0" fontId="18" fillId="0" borderId="46" xfId="7" applyBorder="1" applyAlignment="1" applyProtection="1">
      <alignment horizontal="center" vertical="center"/>
    </xf>
    <xf numFmtId="0" fontId="18" fillId="0" borderId="0" xfId="7" applyBorder="1" applyAlignment="1" applyProtection="1">
      <alignment horizontal="center" vertical="center"/>
    </xf>
    <xf numFmtId="0" fontId="18" fillId="0" borderId="0" xfId="7" applyAlignment="1" applyProtection="1">
      <alignment horizontal="center" vertical="center"/>
    </xf>
    <xf numFmtId="0" fontId="18" fillId="0" borderId="17" xfId="7" applyBorder="1" applyAlignment="1" applyProtection="1">
      <alignment horizontal="center" vertical="center"/>
    </xf>
    <xf numFmtId="0" fontId="18" fillId="0" borderId="18" xfId="7" applyBorder="1" applyAlignment="1" applyProtection="1">
      <alignment horizontal="center" vertical="center"/>
    </xf>
    <xf numFmtId="14" fontId="25" fillId="0" borderId="19" xfId="9" applyNumberFormat="1" applyFont="1" applyBorder="1" applyAlignment="1" applyProtection="1">
      <alignment vertical="center" wrapText="1"/>
      <protection hidden="1"/>
    </xf>
    <xf numFmtId="10" fontId="8" fillId="0" borderId="0" xfId="5" applyNumberFormat="1" applyProtection="1"/>
    <xf numFmtId="0" fontId="14" fillId="0" borderId="0" xfId="5" applyFont="1" applyProtection="1"/>
    <xf numFmtId="0" fontId="12" fillId="0" borderId="0" xfId="5" applyNumberFormat="1" applyFont="1" applyBorder="1" applyAlignment="1" applyProtection="1"/>
    <xf numFmtId="0" fontId="12" fillId="0" borderId="0" xfId="5" applyFont="1" applyBorder="1" applyProtection="1"/>
    <xf numFmtId="0" fontId="12" fillId="0" borderId="0" xfId="5" applyFont="1" applyProtection="1"/>
    <xf numFmtId="0" fontId="12" fillId="0" borderId="0" xfId="5" applyNumberFormat="1" applyFont="1" applyAlignment="1" applyProtection="1"/>
    <xf numFmtId="0" fontId="12" fillId="0" borderId="0" xfId="5" applyFont="1" applyFill="1" applyProtection="1"/>
    <xf numFmtId="0" fontId="26" fillId="0" borderId="0" xfId="5" applyFont="1" applyFill="1" applyAlignment="1" applyProtection="1"/>
    <xf numFmtId="0" fontId="32" fillId="0" borderId="0" xfId="7" applyFont="1" applyAlignment="1" applyProtection="1"/>
    <xf numFmtId="0" fontId="25" fillId="0" borderId="0" xfId="5" applyNumberFormat="1" applyFont="1" applyFill="1" applyBorder="1" applyAlignment="1" applyProtection="1">
      <alignment horizontal="left" wrapText="1"/>
    </xf>
    <xf numFmtId="0" fontId="8" fillId="0" borderId="0" xfId="5" applyNumberFormat="1" applyFill="1" applyAlignment="1" applyProtection="1"/>
    <xf numFmtId="0" fontId="8" fillId="0" borderId="0" xfId="5" applyFill="1" applyBorder="1" applyAlignment="1" applyProtection="1">
      <alignment horizontal="left"/>
    </xf>
    <xf numFmtId="0" fontId="8" fillId="0" borderId="1" xfId="5" applyBorder="1" applyAlignment="1" applyProtection="1">
      <alignment horizontal="left"/>
    </xf>
    <xf numFmtId="0" fontId="8" fillId="0" borderId="0" xfId="5" applyFill="1" applyBorder="1" applyProtection="1"/>
    <xf numFmtId="0" fontId="12" fillId="0" borderId="1" xfId="5" applyFont="1" applyBorder="1" applyAlignment="1" applyProtection="1">
      <alignment horizontal="left"/>
    </xf>
    <xf numFmtId="0" fontId="14" fillId="0" borderId="0" xfId="6" applyFont="1" applyBorder="1" applyAlignment="1" applyProtection="1">
      <alignment horizontal="left" vertical="center"/>
    </xf>
    <xf numFmtId="0" fontId="12" fillId="0" borderId="0" xfId="5" applyFont="1" applyAlignment="1" applyProtection="1">
      <alignment horizontal="left"/>
    </xf>
    <xf numFmtId="0" fontId="12" fillId="8" borderId="0" xfId="5" applyFont="1" applyFill="1" applyBorder="1" applyProtection="1"/>
    <xf numFmtId="0" fontId="8" fillId="0" borderId="0" xfId="5" applyFont="1" applyFill="1" applyBorder="1" applyAlignment="1" applyProtection="1"/>
    <xf numFmtId="0" fontId="18" fillId="0" borderId="0" xfId="7" applyFill="1" applyBorder="1" applyAlignment="1" applyProtection="1"/>
    <xf numFmtId="0" fontId="8" fillId="0" borderId="55" xfId="5" applyFill="1" applyBorder="1" applyProtection="1"/>
    <xf numFmtId="0" fontId="8" fillId="0" borderId="56" xfId="5" applyFill="1" applyBorder="1" applyProtection="1"/>
    <xf numFmtId="0" fontId="12" fillId="8" borderId="0" xfId="5" applyFont="1" applyFill="1" applyProtection="1"/>
    <xf numFmtId="0" fontId="12" fillId="0" borderId="0" xfId="6" applyNumberFormat="1" applyFont="1" applyFill="1" applyBorder="1" applyAlignment="1" applyProtection="1">
      <alignment vertical="center"/>
    </xf>
    <xf numFmtId="0" fontId="18" fillId="0" borderId="0" xfId="7" applyNumberFormat="1" applyFill="1" applyBorder="1" applyAlignment="1" applyProtection="1"/>
    <xf numFmtId="0" fontId="12" fillId="0" borderId="0" xfId="6" applyFont="1" applyAlignment="1" applyProtection="1">
      <alignment horizontal="right" vertical="center"/>
    </xf>
    <xf numFmtId="0" fontId="8" fillId="0" borderId="57" xfId="5" applyBorder="1" applyProtection="1"/>
    <xf numFmtId="0" fontId="8" fillId="0" borderId="55" xfId="5" applyBorder="1" applyProtection="1"/>
    <xf numFmtId="0" fontId="8" fillId="0" borderId="56" xfId="5" applyBorder="1" applyProtection="1"/>
    <xf numFmtId="0" fontId="14" fillId="0" borderId="0" xfId="6" applyFont="1" applyBorder="1" applyAlignment="1" applyProtection="1">
      <alignment horizontal="center" vertical="center"/>
    </xf>
    <xf numFmtId="0" fontId="8" fillId="9" borderId="18" xfId="5" applyFont="1" applyFill="1" applyBorder="1" applyAlignment="1" applyProtection="1">
      <protection locked="0"/>
    </xf>
    <xf numFmtId="0" fontId="8" fillId="0" borderId="55" xfId="5" applyFont="1" applyBorder="1" applyAlignment="1" applyProtection="1">
      <alignment horizontal="right"/>
    </xf>
    <xf numFmtId="0" fontId="12" fillId="9" borderId="59" xfId="6" applyNumberFormat="1" applyFont="1" applyFill="1" applyBorder="1" applyAlignment="1" applyProtection="1">
      <alignment vertical="center"/>
      <protection locked="0"/>
    </xf>
    <xf numFmtId="0" fontId="34" fillId="0" borderId="55" xfId="7" applyFont="1" applyFill="1" applyBorder="1" applyAlignment="1" applyProtection="1">
      <alignment horizontal="right"/>
    </xf>
    <xf numFmtId="0" fontId="28" fillId="0" borderId="0" xfId="5" applyFont="1" applyFill="1" applyProtection="1"/>
    <xf numFmtId="0" fontId="12" fillId="9" borderId="45" xfId="6" applyNumberFormat="1" applyFont="1" applyFill="1" applyBorder="1" applyAlignment="1" applyProtection="1">
      <alignment vertical="center"/>
      <protection locked="0"/>
    </xf>
    <xf numFmtId="0" fontId="34" fillId="0" borderId="60" xfId="7" applyNumberFormat="1" applyFont="1" applyFill="1" applyBorder="1" applyAlignment="1" applyProtection="1">
      <alignment horizontal="right"/>
    </xf>
    <xf numFmtId="0" fontId="8" fillId="0" borderId="62" xfId="5" applyBorder="1" applyProtection="1"/>
    <xf numFmtId="0" fontId="8" fillId="8" borderId="0" xfId="5" applyNumberFormat="1" applyFill="1" applyAlignment="1" applyProtection="1"/>
    <xf numFmtId="0" fontId="28" fillId="0" borderId="0" xfId="5" applyFont="1" applyProtection="1"/>
    <xf numFmtId="0" fontId="3" fillId="3" borderId="3" xfId="0" applyFont="1" applyFill="1" applyBorder="1" applyAlignment="1">
      <alignment vertical="center"/>
    </xf>
    <xf numFmtId="0" fontId="3" fillId="3" borderId="4" xfId="0" applyFont="1" applyFill="1" applyBorder="1" applyAlignment="1">
      <alignment vertical="center"/>
    </xf>
    <xf numFmtId="0" fontId="39" fillId="0" borderId="1" xfId="0" applyFont="1" applyFill="1" applyBorder="1" applyAlignment="1">
      <alignment horizontal="center"/>
    </xf>
    <xf numFmtId="2" fontId="3" fillId="4" borderId="1" xfId="1" applyNumberFormat="1" applyFont="1" applyFill="1" applyBorder="1" applyAlignment="1">
      <alignment horizontal="center" vertical="center"/>
    </xf>
    <xf numFmtId="164" fontId="3" fillId="4" borderId="1" xfId="0" applyNumberFormat="1" applyFont="1" applyFill="1" applyBorder="1" applyAlignment="1">
      <alignment horizontal="center" vertical="center" wrapText="1"/>
    </xf>
    <xf numFmtId="168" fontId="3" fillId="4" borderId="3" xfId="0" applyNumberFormat="1" applyFont="1" applyFill="1" applyBorder="1" applyAlignment="1">
      <alignment horizontal="center" vertical="center"/>
    </xf>
    <xf numFmtId="168" fontId="3" fillId="4" borderId="1" xfId="0" applyNumberFormat="1" applyFont="1" applyFill="1" applyBorder="1" applyAlignment="1">
      <alignment horizontal="center" vertical="center" wrapText="1"/>
    </xf>
    <xf numFmtId="10" fontId="3" fillId="4" borderId="1" xfId="0" applyNumberFormat="1" applyFont="1" applyFill="1" applyBorder="1" applyAlignment="1">
      <alignment horizontal="center" vertical="center" wrapText="1"/>
    </xf>
    <xf numFmtId="9" fontId="3" fillId="4" borderId="1" xfId="2" applyFont="1" applyFill="1" applyBorder="1" applyAlignment="1">
      <alignment horizontal="center" vertical="center"/>
    </xf>
    <xf numFmtId="9" fontId="3" fillId="4" borderId="1" xfId="2" applyFont="1" applyFill="1" applyBorder="1" applyAlignment="1">
      <alignment horizontal="center" vertical="center" wrapText="1"/>
    </xf>
    <xf numFmtId="0" fontId="3" fillId="4" borderId="10" xfId="0" applyFont="1" applyFill="1" applyBorder="1" applyAlignment="1">
      <alignment horizontal="center" vertical="center"/>
    </xf>
    <xf numFmtId="168" fontId="3" fillId="4" borderId="3" xfId="0" applyNumberFormat="1" applyFont="1" applyFill="1" applyBorder="1" applyAlignment="1">
      <alignment horizontal="center" vertical="center" wrapText="1"/>
    </xf>
    <xf numFmtId="10" fontId="3" fillId="4"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36" fillId="0" borderId="1" xfId="0" applyFont="1" applyBorder="1" applyAlignment="1">
      <alignment horizontal="center" vertical="center"/>
    </xf>
    <xf numFmtId="0" fontId="37" fillId="0" borderId="1" xfId="0" applyFont="1" applyFill="1" applyBorder="1" applyAlignment="1">
      <alignment horizontal="center" vertical="center"/>
    </xf>
    <xf numFmtId="0" fontId="37" fillId="0" borderId="1" xfId="0" applyFont="1" applyBorder="1" applyAlignment="1">
      <alignment horizontal="left" vertical="center" wrapText="1"/>
    </xf>
    <xf numFmtId="0" fontId="37" fillId="0" borderId="1" xfId="0" applyFont="1" applyBorder="1" applyAlignment="1">
      <alignment horizontal="center" vertical="center"/>
    </xf>
    <xf numFmtId="166" fontId="37" fillId="15" borderId="1" xfId="0" applyNumberFormat="1" applyFont="1" applyFill="1" applyBorder="1" applyAlignment="1">
      <alignment horizontal="left" vertical="center"/>
    </xf>
    <xf numFmtId="0" fontId="35" fillId="0" borderId="1" xfId="0" applyFont="1" applyBorder="1" applyAlignment="1">
      <alignment horizontal="center" vertical="center"/>
    </xf>
    <xf numFmtId="0" fontId="7" fillId="0" borderId="1" xfId="0" applyFont="1" applyFill="1" applyBorder="1" applyAlignment="1">
      <alignment horizontal="center" vertical="center"/>
    </xf>
    <xf numFmtId="2" fontId="7" fillId="15" borderId="1" xfId="0" applyNumberFormat="1" applyFont="1" applyFill="1" applyBorder="1" applyAlignment="1">
      <alignment horizontal="center" vertical="center"/>
    </xf>
    <xf numFmtId="168" fontId="3" fillId="5" borderId="1" xfId="0" applyNumberFormat="1" applyFont="1" applyFill="1" applyBorder="1" applyAlignment="1">
      <alignment vertical="center"/>
    </xf>
    <xf numFmtId="0" fontId="4" fillId="3" borderId="1" xfId="0" applyFont="1" applyFill="1" applyBorder="1" applyAlignment="1">
      <alignment horizontal="center" vertical="center"/>
    </xf>
    <xf numFmtId="10" fontId="4" fillId="3" borderId="1" xfId="0" applyNumberFormat="1" applyFont="1" applyFill="1" applyBorder="1" applyAlignment="1">
      <alignment horizontal="center" vertical="center"/>
    </xf>
    <xf numFmtId="0" fontId="9" fillId="0" borderId="1" xfId="0" applyFont="1" applyFill="1" applyBorder="1" applyAlignment="1">
      <alignment vertical="center"/>
    </xf>
    <xf numFmtId="2" fontId="7" fillId="0" borderId="1" xfId="0" applyNumberFormat="1" applyFont="1" applyFill="1" applyBorder="1" applyAlignment="1">
      <alignment horizontal="center" vertical="center"/>
    </xf>
    <xf numFmtId="166" fontId="37" fillId="0" borderId="1" xfId="0" applyNumberFormat="1" applyFont="1" applyFill="1" applyBorder="1" applyAlignment="1">
      <alignment horizontal="left" vertical="center"/>
    </xf>
    <xf numFmtId="166" fontId="7" fillId="0" borderId="1" xfId="0" applyNumberFormat="1" applyFont="1" applyBorder="1" applyAlignment="1">
      <alignment horizontal="left" vertical="center"/>
    </xf>
    <xf numFmtId="0" fontId="9" fillId="0" borderId="1" xfId="0" applyFont="1" applyBorder="1" applyAlignment="1">
      <alignment wrapText="1"/>
    </xf>
    <xf numFmtId="0" fontId="9" fillId="0" borderId="1" xfId="0" applyFont="1" applyBorder="1" applyAlignment="1">
      <alignment horizontal="center"/>
    </xf>
    <xf numFmtId="0" fontId="3" fillId="0" borderId="13" xfId="0" applyFont="1" applyFill="1" applyBorder="1" applyAlignment="1">
      <alignment vertical="center"/>
    </xf>
    <xf numFmtId="0" fontId="2" fillId="2" borderId="0" xfId="0" applyFont="1" applyFill="1" applyBorder="1" applyAlignment="1">
      <alignment horizontal="center" vertical="center"/>
    </xf>
    <xf numFmtId="0" fontId="3" fillId="3" borderId="1" xfId="0" applyFont="1" applyFill="1" applyBorder="1" applyAlignment="1">
      <alignment vertical="center"/>
    </xf>
    <xf numFmtId="10" fontId="4" fillId="3" borderId="1" xfId="0" applyNumberFormat="1" applyFont="1" applyFill="1" applyBorder="1" applyAlignment="1">
      <alignment vertical="center"/>
    </xf>
    <xf numFmtId="0" fontId="4" fillId="3" borderId="1" xfId="0" applyFont="1" applyFill="1" applyBorder="1" applyAlignment="1">
      <alignment vertical="center"/>
    </xf>
    <xf numFmtId="9" fontId="3" fillId="5" borderId="1" xfId="2" applyFont="1" applyFill="1" applyBorder="1" applyAlignment="1">
      <alignment horizontal="center" vertical="center" wrapText="1"/>
    </xf>
    <xf numFmtId="9" fontId="3" fillId="5" borderId="1" xfId="2" applyFont="1" applyFill="1" applyBorder="1" applyAlignment="1">
      <alignment horizontal="center" vertical="center"/>
    </xf>
    <xf numFmtId="164" fontId="3" fillId="5" borderId="1" xfId="0" applyNumberFormat="1" applyFont="1" applyFill="1" applyBorder="1" applyAlignment="1">
      <alignment horizontal="center" vertical="center" wrapText="1"/>
    </xf>
    <xf numFmtId="10" fontId="3" fillId="5" borderId="1" xfId="0" applyNumberFormat="1" applyFont="1" applyFill="1" applyBorder="1" applyAlignment="1">
      <alignment horizontal="center" vertical="center"/>
    </xf>
    <xf numFmtId="168"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68" fontId="3" fillId="0" borderId="0" xfId="0" applyNumberFormat="1" applyFont="1" applyFill="1" applyBorder="1" applyAlignment="1">
      <alignment vertical="center"/>
    </xf>
    <xf numFmtId="0" fontId="4" fillId="3" borderId="3" xfId="0" applyFont="1" applyFill="1" applyBorder="1" applyAlignment="1">
      <alignment vertical="center"/>
    </xf>
    <xf numFmtId="0" fontId="4" fillId="3" borderId="7" xfId="0" applyFont="1" applyFill="1" applyBorder="1" applyAlignment="1">
      <alignment vertical="center"/>
    </xf>
    <xf numFmtId="164" fontId="3" fillId="5" borderId="4" xfId="0" applyNumberFormat="1" applyFont="1" applyFill="1" applyBorder="1" applyAlignment="1">
      <alignment vertical="center"/>
    </xf>
    <xf numFmtId="166" fontId="37" fillId="0" borderId="1" xfId="0" applyNumberFormat="1" applyFont="1" applyBorder="1" applyAlignment="1">
      <alignment horizontal="left" vertical="center"/>
    </xf>
    <xf numFmtId="0" fontId="9" fillId="0" borderId="1" xfId="0" applyFont="1" applyFill="1" applyBorder="1" applyAlignment="1">
      <alignment vertical="center" wrapText="1"/>
    </xf>
    <xf numFmtId="0" fontId="3" fillId="5" borderId="1" xfId="0" applyFont="1" applyFill="1" applyBorder="1" applyAlignment="1">
      <alignment horizontal="center" vertical="center"/>
    </xf>
    <xf numFmtId="0" fontId="36" fillId="0" borderId="1" xfId="0" applyFont="1" applyFill="1" applyBorder="1" applyAlignment="1">
      <alignment horizontal="center" vertical="center"/>
    </xf>
    <xf numFmtId="0" fontId="3" fillId="5" borderId="2" xfId="0" applyFont="1" applyFill="1" applyBorder="1" applyAlignment="1">
      <alignment horizontal="right" vertical="center"/>
    </xf>
    <xf numFmtId="0" fontId="3" fillId="5" borderId="3" xfId="0" applyFont="1" applyFill="1" applyBorder="1" applyAlignment="1">
      <alignment horizontal="right" vertical="center"/>
    </xf>
    <xf numFmtId="0" fontId="36" fillId="0" borderId="1" xfId="0" applyFont="1" applyFill="1" applyBorder="1" applyAlignment="1">
      <alignment horizontal="center" vertical="center"/>
    </xf>
    <xf numFmtId="0" fontId="38"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9" fillId="0" borderId="1" xfId="0" applyFont="1" applyFill="1" applyBorder="1" applyAlignment="1">
      <alignment horizontal="left" vertical="center"/>
    </xf>
    <xf numFmtId="2" fontId="9" fillId="0" borderId="1" xfId="0" applyNumberFormat="1" applyFont="1" applyFill="1" applyBorder="1" applyAlignment="1">
      <alignment horizontal="center" vertical="center"/>
    </xf>
    <xf numFmtId="2" fontId="7" fillId="15" borderId="1" xfId="0" applyNumberFormat="1" applyFont="1" applyFill="1" applyBorder="1" applyAlignment="1">
      <alignment horizontal="center"/>
    </xf>
    <xf numFmtId="44" fontId="9" fillId="0" borderId="1" xfId="0" applyNumberFormat="1" applyFont="1" applyFill="1" applyBorder="1" applyAlignment="1">
      <alignment horizontal="left" vertical="center"/>
    </xf>
    <xf numFmtId="0" fontId="3" fillId="5" borderId="1" xfId="0" applyFont="1" applyFill="1" applyBorder="1" applyAlignment="1">
      <alignment horizontal="center" vertical="center"/>
    </xf>
    <xf numFmtId="0" fontId="36" fillId="0" borderId="1" xfId="0" applyFont="1" applyFill="1" applyBorder="1" applyAlignment="1">
      <alignment horizontal="center" vertical="center"/>
    </xf>
    <xf numFmtId="0" fontId="7" fillId="0" borderId="1" xfId="0" applyFont="1" applyBorder="1" applyAlignment="1">
      <alignment horizontal="left" vertical="center" wrapText="1"/>
    </xf>
    <xf numFmtId="0" fontId="9" fillId="5" borderId="1" xfId="0" applyFont="1" applyFill="1" applyBorder="1" applyAlignment="1">
      <alignment horizontal="center" vertical="center"/>
    </xf>
    <xf numFmtId="0" fontId="9" fillId="5" borderId="1" xfId="0" applyFont="1" applyFill="1" applyBorder="1" applyAlignment="1">
      <alignment horizontal="left" vertical="center"/>
    </xf>
    <xf numFmtId="2" fontId="9" fillId="5" borderId="1" xfId="0" applyNumberFormat="1" applyFont="1" applyFill="1" applyBorder="1" applyAlignment="1">
      <alignment horizontal="center" vertical="center"/>
    </xf>
    <xf numFmtId="44" fontId="9" fillId="5" borderId="1" xfId="0" applyNumberFormat="1" applyFont="1" applyFill="1" applyBorder="1" applyAlignment="1">
      <alignment horizontal="left" vertical="center"/>
    </xf>
    <xf numFmtId="166" fontId="7" fillId="5" borderId="1" xfId="0" applyNumberFormat="1" applyFont="1" applyFill="1" applyBorder="1" applyAlignment="1">
      <alignment horizontal="left" vertical="center"/>
    </xf>
    <xf numFmtId="0" fontId="9" fillId="5" borderId="3" xfId="0" applyFont="1" applyFill="1" applyBorder="1" applyAlignment="1">
      <alignment vertical="center"/>
    </xf>
    <xf numFmtId="0" fontId="9" fillId="5" borderId="4" xfId="0" applyFont="1" applyFill="1" applyBorder="1" applyAlignment="1">
      <alignment vertical="center"/>
    </xf>
    <xf numFmtId="0" fontId="3" fillId="5" borderId="2" xfId="0" applyFont="1" applyFill="1" applyBorder="1" applyAlignment="1">
      <alignment vertical="center"/>
    </xf>
    <xf numFmtId="0" fontId="7" fillId="5" borderId="1" xfId="0" applyFont="1" applyFill="1" applyBorder="1" applyAlignment="1">
      <alignment horizontal="center" vertical="center"/>
    </xf>
    <xf numFmtId="0" fontId="38" fillId="5" borderId="1" xfId="0" applyNumberFormat="1" applyFont="1" applyFill="1" applyBorder="1" applyAlignment="1">
      <alignment horizontal="center" vertical="center"/>
    </xf>
    <xf numFmtId="0" fontId="9" fillId="5" borderId="2" xfId="0" applyFont="1" applyFill="1" applyBorder="1" applyAlignment="1">
      <alignment wrapText="1"/>
    </xf>
    <xf numFmtId="0" fontId="9" fillId="5" borderId="3" xfId="0" applyFont="1" applyFill="1" applyBorder="1" applyAlignment="1">
      <alignment wrapText="1"/>
    </xf>
    <xf numFmtId="0" fontId="36" fillId="5" borderId="1" xfId="0" applyFont="1" applyFill="1" applyBorder="1" applyAlignment="1">
      <alignment horizontal="center" vertical="center"/>
    </xf>
    <xf numFmtId="0" fontId="3" fillId="5" borderId="1" xfId="0" applyFont="1" applyFill="1" applyBorder="1" applyAlignment="1">
      <alignment vertical="center"/>
    </xf>
    <xf numFmtId="2" fontId="7" fillId="5" borderId="1" xfId="0" applyNumberFormat="1" applyFont="1" applyFill="1" applyBorder="1" applyAlignment="1">
      <alignment horizontal="center" vertical="center"/>
    </xf>
    <xf numFmtId="166" fontId="37" fillId="5" borderId="1" xfId="0" applyNumberFormat="1" applyFont="1" applyFill="1" applyBorder="1" applyAlignment="1">
      <alignment horizontal="left" vertical="center"/>
    </xf>
    <xf numFmtId="0" fontId="9" fillId="5" borderId="1" xfId="0" applyFont="1" applyFill="1" applyBorder="1" applyAlignment="1">
      <alignment vertical="center" wrapText="1"/>
    </xf>
    <xf numFmtId="0" fontId="39" fillId="5" borderId="1" xfId="0" applyFont="1" applyFill="1" applyBorder="1" applyAlignment="1">
      <alignment horizontal="center"/>
    </xf>
    <xf numFmtId="0" fontId="9" fillId="5" borderId="1" xfId="0" applyFont="1" applyFill="1" applyBorder="1" applyAlignment="1">
      <alignment vertical="center"/>
    </xf>
    <xf numFmtId="166" fontId="3" fillId="5" borderId="4" xfId="0" applyNumberFormat="1" applyFont="1" applyFill="1" applyBorder="1" applyAlignment="1">
      <alignment horizontal="right" wrapText="1"/>
    </xf>
    <xf numFmtId="166" fontId="4" fillId="5" borderId="1" xfId="0" applyNumberFormat="1" applyFont="1" applyFill="1" applyBorder="1" applyAlignment="1">
      <alignment horizontal="left" vertical="center"/>
    </xf>
    <xf numFmtId="0" fontId="4" fillId="5" borderId="1" xfId="0" applyFont="1" applyFill="1" applyBorder="1" applyAlignment="1">
      <alignment horizontal="center" vertical="center"/>
    </xf>
    <xf numFmtId="0" fontId="40" fillId="5" borderId="1" xfId="0" applyFont="1" applyFill="1" applyBorder="1" applyAlignment="1">
      <alignment horizontal="center" vertical="center"/>
    </xf>
    <xf numFmtId="0" fontId="3" fillId="5" borderId="1" xfId="0" applyFont="1" applyFill="1" applyBorder="1" applyAlignment="1">
      <alignment vertical="center" wrapText="1"/>
    </xf>
    <xf numFmtId="0" fontId="41" fillId="5" borderId="1" xfId="0" applyFont="1" applyFill="1" applyBorder="1" applyAlignment="1">
      <alignment horizontal="center"/>
    </xf>
    <xf numFmtId="2" fontId="4" fillId="5" borderId="1" xfId="0" applyNumberFormat="1" applyFont="1" applyFill="1" applyBorder="1" applyAlignment="1">
      <alignment horizontal="center" vertical="center"/>
    </xf>
    <xf numFmtId="166" fontId="42" fillId="5" borderId="1" xfId="0" applyNumberFormat="1" applyFont="1" applyFill="1" applyBorder="1" applyAlignment="1">
      <alignment horizontal="left" vertical="center"/>
    </xf>
    <xf numFmtId="0" fontId="3" fillId="4" borderId="12" xfId="0" applyFont="1" applyFill="1" applyBorder="1" applyAlignment="1">
      <alignment horizontal="center" vertical="center"/>
    </xf>
    <xf numFmtId="168" fontId="3" fillId="5" borderId="1" xfId="0" applyNumberFormat="1" applyFont="1" applyFill="1" applyBorder="1" applyAlignment="1">
      <alignment horizontal="center" vertical="center"/>
    </xf>
    <xf numFmtId="168" fontId="3" fillId="4" borderId="1" xfId="0" applyNumberFormat="1" applyFont="1" applyFill="1" applyBorder="1" applyAlignment="1">
      <alignment horizontal="center" vertical="center" wrapText="1"/>
    </xf>
    <xf numFmtId="168" fontId="3" fillId="4" borderId="1" xfId="0" applyNumberFormat="1" applyFont="1" applyFill="1" applyBorder="1" applyAlignment="1">
      <alignment horizontal="center" vertical="center"/>
    </xf>
    <xf numFmtId="0" fontId="3" fillId="17" borderId="1" xfId="0" applyFont="1" applyFill="1" applyBorder="1" applyAlignment="1">
      <alignment horizontal="center" vertical="center"/>
    </xf>
    <xf numFmtId="0" fontId="9" fillId="0" borderId="2" xfId="0" applyFont="1" applyBorder="1" applyAlignment="1">
      <alignment wrapText="1"/>
    </xf>
    <xf numFmtId="166" fontId="37" fillId="15" borderId="3" xfId="0" applyNumberFormat="1" applyFont="1" applyFill="1" applyBorder="1" applyAlignment="1">
      <alignment horizontal="left" vertical="center"/>
    </xf>
    <xf numFmtId="0" fontId="3" fillId="3" borderId="2" xfId="0" applyFont="1" applyFill="1" applyBorder="1" applyAlignment="1">
      <alignment vertical="center"/>
    </xf>
    <xf numFmtId="9" fontId="3" fillId="5" borderId="1" xfId="1" applyNumberFormat="1" applyFont="1" applyFill="1" applyBorder="1" applyAlignment="1">
      <alignment horizontal="center" vertical="center"/>
    </xf>
    <xf numFmtId="9" fontId="3" fillId="0" borderId="0" xfId="0" applyNumberFormat="1" applyFont="1" applyFill="1" applyBorder="1" applyAlignment="1">
      <alignment vertical="center"/>
    </xf>
    <xf numFmtId="0" fontId="4" fillId="3" borderId="1" xfId="0" applyNumberFormat="1" applyFont="1" applyFill="1" applyBorder="1" applyAlignment="1">
      <alignment horizontal="center" vertical="center"/>
    </xf>
    <xf numFmtId="0" fontId="36" fillId="0" borderId="1" xfId="0" applyFont="1" applyFill="1" applyBorder="1" applyAlignment="1">
      <alignment horizontal="center" vertical="center"/>
    </xf>
    <xf numFmtId="168" fontId="3" fillId="4" borderId="1" xfId="0" applyNumberFormat="1" applyFont="1" applyFill="1" applyBorder="1" applyAlignment="1">
      <alignment horizontal="center" vertical="center" wrapText="1"/>
    </xf>
    <xf numFmtId="9" fontId="3" fillId="19" borderId="1" xfId="2" applyFont="1" applyFill="1" applyBorder="1" applyAlignment="1">
      <alignment horizontal="center" vertical="center"/>
    </xf>
    <xf numFmtId="9" fontId="3" fillId="17" borderId="1" xfId="2" applyFont="1" applyFill="1" applyBorder="1" applyAlignment="1">
      <alignment horizontal="center" vertical="center"/>
    </xf>
    <xf numFmtId="0" fontId="3" fillId="17" borderId="1" xfId="0" applyFont="1" applyFill="1" applyBorder="1" applyAlignment="1">
      <alignment horizontal="center" vertical="center"/>
    </xf>
    <xf numFmtId="168" fontId="3" fillId="19" borderId="1" xfId="0" applyNumberFormat="1" applyFont="1" applyFill="1" applyBorder="1" applyAlignment="1">
      <alignment horizontal="center" vertical="center"/>
    </xf>
    <xf numFmtId="0" fontId="3" fillId="19" borderId="1" xfId="0" applyFont="1" applyFill="1" applyBorder="1" applyAlignment="1">
      <alignment horizontal="center" vertical="center"/>
    </xf>
    <xf numFmtId="168" fontId="3" fillId="17" borderId="1" xfId="0" applyNumberFormat="1" applyFont="1" applyFill="1" applyBorder="1" applyAlignment="1">
      <alignment horizontal="center" vertical="center"/>
    </xf>
    <xf numFmtId="168" fontId="3" fillId="4" borderId="1" xfId="0" applyNumberFormat="1" applyFont="1" applyFill="1" applyBorder="1" applyAlignment="1">
      <alignment horizontal="center" vertical="center"/>
    </xf>
    <xf numFmtId="0" fontId="9" fillId="0" borderId="1" xfId="0" applyFont="1" applyBorder="1" applyAlignment="1">
      <alignment horizontal="center" vertical="center"/>
    </xf>
    <xf numFmtId="166" fontId="7" fillId="0" borderId="1" xfId="0" applyNumberFormat="1" applyFont="1" applyFill="1" applyBorder="1" applyAlignment="1">
      <alignment horizontal="left" vertical="center"/>
    </xf>
    <xf numFmtId="166" fontId="4" fillId="0" borderId="1" xfId="0" applyNumberFormat="1" applyFont="1" applyFill="1" applyBorder="1" applyAlignment="1">
      <alignment horizontal="left" vertical="center"/>
    </xf>
    <xf numFmtId="0" fontId="0" fillId="0" borderId="0" xfId="0" applyFill="1"/>
    <xf numFmtId="0" fontId="9" fillId="0" borderId="1" xfId="0" applyFont="1" applyFill="1" applyBorder="1" applyAlignment="1">
      <alignment horizontal="left" vertical="center" wrapText="1"/>
    </xf>
    <xf numFmtId="0" fontId="39" fillId="0" borderId="1" xfId="0" applyFont="1" applyFill="1" applyBorder="1" applyAlignment="1">
      <alignment horizontal="center" vertical="center"/>
    </xf>
    <xf numFmtId="0" fontId="0" fillId="4" borderId="1" xfId="0" applyFill="1" applyBorder="1" applyAlignment="1"/>
    <xf numFmtId="9" fontId="43" fillId="4" borderId="1" xfId="0" applyNumberFormat="1" applyFont="1" applyFill="1" applyBorder="1" applyAlignment="1">
      <alignment horizontal="center" vertical="center"/>
    </xf>
    <xf numFmtId="0" fontId="3" fillId="5" borderId="3" xfId="0" applyFont="1" applyFill="1" applyBorder="1" applyAlignment="1">
      <alignment vertical="center"/>
    </xf>
    <xf numFmtId="168" fontId="3" fillId="5" borderId="4" xfId="0" applyNumberFormat="1" applyFont="1" applyFill="1" applyBorder="1" applyAlignment="1">
      <alignment vertical="center"/>
    </xf>
    <xf numFmtId="0" fontId="3" fillId="4" borderId="15"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6" fillId="0" borderId="1" xfId="0" applyFont="1" applyFill="1" applyBorder="1" applyAlignment="1">
      <alignment horizontal="center" vertical="center"/>
    </xf>
    <xf numFmtId="0" fontId="3" fillId="4" borderId="1" xfId="0" applyFont="1" applyFill="1" applyBorder="1" applyAlignment="1">
      <alignment horizontal="center" vertical="center"/>
    </xf>
    <xf numFmtId="0" fontId="36" fillId="0" borderId="1" xfId="0" applyFont="1" applyFill="1" applyBorder="1" applyAlignment="1">
      <alignment horizontal="center" vertical="center"/>
    </xf>
    <xf numFmtId="168" fontId="3" fillId="4" borderId="1" xfId="0" applyNumberFormat="1" applyFont="1" applyFill="1" applyBorder="1" applyAlignment="1">
      <alignment horizontal="center" vertical="center" wrapText="1"/>
    </xf>
    <xf numFmtId="9" fontId="3" fillId="17" borderId="1" xfId="2" applyFont="1" applyFill="1" applyBorder="1" applyAlignment="1">
      <alignment horizontal="center" vertical="center"/>
    </xf>
    <xf numFmtId="168" fontId="3" fillId="17" borderId="1" xfId="0" applyNumberFormat="1" applyFont="1" applyFill="1" applyBorder="1" applyAlignment="1">
      <alignment horizontal="center" vertical="center"/>
    </xf>
    <xf numFmtId="168" fontId="3" fillId="4" borderId="1" xfId="0" applyNumberFormat="1" applyFont="1" applyFill="1" applyBorder="1" applyAlignment="1">
      <alignment horizontal="center" vertical="center"/>
    </xf>
    <xf numFmtId="0" fontId="3" fillId="17" borderId="1" xfId="0" applyFont="1" applyFill="1" applyBorder="1" applyAlignment="1">
      <alignment horizontal="center" vertical="center"/>
    </xf>
    <xf numFmtId="0" fontId="3" fillId="5" borderId="2" xfId="0" applyFont="1" applyFill="1" applyBorder="1" applyAlignment="1">
      <alignment horizontal="right" vertical="center"/>
    </xf>
    <xf numFmtId="0" fontId="3" fillId="5" borderId="3" xfId="0" applyFont="1" applyFill="1" applyBorder="1" applyAlignment="1">
      <alignment horizontal="right" vertical="center"/>
    </xf>
    <xf numFmtId="0" fontId="3" fillId="5" borderId="4" xfId="0" applyFont="1" applyFill="1" applyBorder="1" applyAlignment="1">
      <alignment horizontal="right" vertical="center"/>
    </xf>
    <xf numFmtId="0" fontId="0" fillId="0" borderId="0" xfId="0" applyAlignment="1">
      <alignment horizontal="center"/>
    </xf>
    <xf numFmtId="0" fontId="10" fillId="0" borderId="0" xfId="0" applyFont="1" applyAlignment="1">
      <alignment horizontal="center" vertical="center"/>
    </xf>
    <xf numFmtId="0" fontId="4" fillId="6" borderId="5"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1" fillId="0" borderId="14" xfId="0" applyFont="1" applyBorder="1" applyAlignment="1"/>
    <xf numFmtId="0" fontId="0" fillId="0" borderId="13" xfId="0" applyBorder="1" applyAlignment="1">
      <alignment horizontal="center"/>
    </xf>
    <xf numFmtId="164" fontId="3" fillId="4" borderId="7" xfId="0" applyNumberFormat="1" applyFont="1" applyFill="1" applyBorder="1" applyAlignment="1">
      <alignment horizontal="center" vertical="center" wrapText="1"/>
    </xf>
    <xf numFmtId="164" fontId="3" fillId="4" borderId="12"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xf>
    <xf numFmtId="0" fontId="3" fillId="5" borderId="1" xfId="0" applyFont="1" applyFill="1" applyBorder="1" applyAlignment="1">
      <alignment horizontal="right" vertical="center"/>
    </xf>
    <xf numFmtId="0" fontId="3" fillId="4" borderId="7"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wrapText="1"/>
    </xf>
    <xf numFmtId="2" fontId="3" fillId="4" borderId="1" xfId="1" applyNumberFormat="1" applyFont="1" applyFill="1" applyBorder="1" applyAlignment="1">
      <alignment horizontal="center" vertical="center"/>
    </xf>
    <xf numFmtId="164" fontId="3" fillId="4"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0" fontId="3" fillId="3" borderId="3" xfId="0" applyFont="1" applyFill="1" applyBorder="1" applyAlignment="1">
      <alignment horizontal="left" vertical="center"/>
    </xf>
    <xf numFmtId="0" fontId="2" fillId="2" borderId="1"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14" fontId="5" fillId="3" borderId="7" xfId="0" applyNumberFormat="1" applyFont="1" applyFill="1" applyBorder="1" applyAlignment="1">
      <alignment horizontal="center" vertical="center"/>
    </xf>
    <xf numFmtId="0" fontId="5" fillId="3" borderId="12" xfId="0" applyFont="1" applyFill="1" applyBorder="1" applyAlignment="1">
      <alignment horizontal="center" vertical="center"/>
    </xf>
    <xf numFmtId="164" fontId="6" fillId="3" borderId="8" xfId="0" applyNumberFormat="1"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3" fillId="3" borderId="1" xfId="0" applyFont="1" applyFill="1" applyBorder="1" applyAlignment="1">
      <alignment horizontal="left" vertical="center"/>
    </xf>
    <xf numFmtId="0" fontId="4" fillId="3" borderId="3" xfId="0" applyFont="1" applyFill="1" applyBorder="1" applyAlignment="1">
      <alignment horizontal="left" vertical="center"/>
    </xf>
    <xf numFmtId="0" fontId="9" fillId="5" borderId="2" xfId="0" applyFont="1" applyFill="1" applyBorder="1" applyAlignment="1">
      <alignment horizontal="center" vertical="center"/>
    </xf>
    <xf numFmtId="0" fontId="9" fillId="5" borderId="4" xfId="0" applyFont="1" applyFill="1" applyBorder="1" applyAlignment="1">
      <alignment horizontal="center" vertical="center"/>
    </xf>
    <xf numFmtId="0" fontId="3" fillId="5" borderId="2" xfId="0" applyFont="1" applyFill="1" applyBorder="1" applyAlignment="1">
      <alignment horizontal="left" wrapText="1"/>
    </xf>
    <xf numFmtId="0" fontId="3" fillId="5" borderId="3" xfId="0" applyFont="1" applyFill="1" applyBorder="1" applyAlignment="1">
      <alignment horizontal="left" wrapText="1"/>
    </xf>
    <xf numFmtId="0" fontId="3" fillId="5" borderId="4" xfId="0" applyFont="1" applyFill="1" applyBorder="1" applyAlignment="1">
      <alignment horizontal="left" wrapText="1"/>
    </xf>
    <xf numFmtId="168" fontId="3" fillId="4" borderId="1" xfId="0" applyNumberFormat="1"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12" xfId="0" applyFont="1" applyFill="1" applyBorder="1" applyAlignment="1">
      <alignment horizontal="center" vertical="center"/>
    </xf>
    <xf numFmtId="168" fontId="3" fillId="5" borderId="7" xfId="0" applyNumberFormat="1" applyFont="1" applyFill="1" applyBorder="1" applyAlignment="1">
      <alignment horizontal="center" vertical="center"/>
    </xf>
    <xf numFmtId="168" fontId="3" fillId="5" borderId="12" xfId="0" applyNumberFormat="1" applyFont="1" applyFill="1" applyBorder="1" applyAlignment="1">
      <alignment horizontal="center" vertical="center"/>
    </xf>
    <xf numFmtId="168" fontId="3" fillId="4" borderId="1" xfId="0" applyNumberFormat="1" applyFont="1" applyFill="1" applyBorder="1" applyAlignment="1">
      <alignment horizontal="center" vertical="center"/>
    </xf>
    <xf numFmtId="168" fontId="3" fillId="4" borderId="7" xfId="0" applyNumberFormat="1" applyFont="1" applyFill="1" applyBorder="1" applyAlignment="1">
      <alignment horizontal="center" vertical="center"/>
    </xf>
    <xf numFmtId="168" fontId="3" fillId="4" borderId="12" xfId="0" applyNumberFormat="1"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164" fontId="6" fillId="3" borderId="5" xfId="0" applyNumberFormat="1" applyFont="1" applyFill="1" applyBorder="1" applyAlignment="1">
      <alignment horizontal="center" vertical="center"/>
    </xf>
    <xf numFmtId="164" fontId="6" fillId="3" borderId="10" xfId="0" applyNumberFormat="1"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3" fillId="17" borderId="4" xfId="0" applyFont="1" applyFill="1" applyBorder="1" applyAlignment="1">
      <alignment horizontal="center" vertical="center"/>
    </xf>
    <xf numFmtId="9" fontId="3" fillId="18" borderId="1" xfId="2" applyFont="1" applyFill="1" applyBorder="1" applyAlignment="1">
      <alignment horizontal="center" vertical="center"/>
    </xf>
    <xf numFmtId="9" fontId="3" fillId="19" borderId="1" xfId="2" applyFont="1" applyFill="1" applyBorder="1" applyAlignment="1">
      <alignment horizontal="center" vertical="center"/>
    </xf>
    <xf numFmtId="9" fontId="3" fillId="17" borderId="1" xfId="2" applyFont="1" applyFill="1" applyBorder="1" applyAlignment="1">
      <alignment horizontal="center" vertical="center"/>
    </xf>
    <xf numFmtId="168" fontId="3" fillId="17" borderId="1" xfId="0"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16" borderId="1" xfId="2" applyNumberFormat="1" applyFont="1" applyFill="1" applyBorder="1" applyAlignment="1">
      <alignment horizontal="center" vertical="center"/>
    </xf>
    <xf numFmtId="0" fontId="3" fillId="17" borderId="1" xfId="0" applyFont="1" applyFill="1" applyBorder="1" applyAlignment="1">
      <alignment horizontal="center" vertical="center"/>
    </xf>
    <xf numFmtId="168" fontId="3" fillId="19" borderId="1" xfId="0" applyNumberFormat="1" applyFont="1" applyFill="1" applyBorder="1" applyAlignment="1">
      <alignment horizontal="center" vertical="center"/>
    </xf>
    <xf numFmtId="0" fontId="3" fillId="16" borderId="1" xfId="0" applyFont="1" applyFill="1" applyBorder="1" applyAlignment="1">
      <alignment horizontal="center" vertical="center"/>
    </xf>
    <xf numFmtId="0" fontId="3" fillId="16" borderId="7" xfId="0" applyFont="1" applyFill="1" applyBorder="1" applyAlignment="1">
      <alignment horizontal="center" vertical="center"/>
    </xf>
    <xf numFmtId="0" fontId="3" fillId="18" borderId="1" xfId="0" applyFont="1" applyFill="1" applyBorder="1" applyAlignment="1">
      <alignment horizontal="center" vertical="center"/>
    </xf>
    <xf numFmtId="168" fontId="3" fillId="18" borderId="1" xfId="0" applyNumberFormat="1" applyFont="1" applyFill="1" applyBorder="1" applyAlignment="1">
      <alignment horizontal="center" vertical="center"/>
    </xf>
    <xf numFmtId="0" fontId="3" fillId="19"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2" fillId="2" borderId="7" xfId="0" applyFont="1" applyFill="1" applyBorder="1" applyAlignment="1">
      <alignment horizontal="center" vertical="center"/>
    </xf>
    <xf numFmtId="0" fontId="5"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164" fontId="6" fillId="3" borderId="13" xfId="0" applyNumberFormat="1" applyFont="1" applyFill="1" applyBorder="1" applyAlignment="1">
      <alignment horizontal="center" vertical="center"/>
    </xf>
    <xf numFmtId="164" fontId="6" fillId="3" borderId="6" xfId="0" applyNumberFormat="1" applyFont="1" applyFill="1" applyBorder="1" applyAlignment="1">
      <alignment horizontal="center" vertical="center"/>
    </xf>
    <xf numFmtId="164" fontId="6" fillId="3" borderId="14" xfId="0" applyNumberFormat="1" applyFont="1" applyFill="1" applyBorder="1" applyAlignment="1">
      <alignment horizontal="center" vertical="center"/>
    </xf>
    <xf numFmtId="164" fontId="6" fillId="3" borderId="11" xfId="0" applyNumberFormat="1" applyFont="1" applyFill="1" applyBorder="1" applyAlignment="1">
      <alignment horizontal="center" vertical="center"/>
    </xf>
    <xf numFmtId="0" fontId="0" fillId="0" borderId="1" xfId="0" applyBorder="1" applyAlignment="1">
      <alignment horizontal="center"/>
    </xf>
    <xf numFmtId="10" fontId="0" fillId="0" borderId="1" xfId="2" applyNumberFormat="1" applyFont="1" applyBorder="1" applyAlignment="1">
      <alignment horizontal="center"/>
    </xf>
    <xf numFmtId="164" fontId="14" fillId="7" borderId="1" xfId="1" applyFont="1" applyFill="1" applyBorder="1" applyAlignment="1">
      <alignment horizontal="center" vertical="center" wrapText="1"/>
    </xf>
    <xf numFmtId="10" fontId="12" fillId="7" borderId="1" xfId="2" applyNumberFormat="1" applyFont="1" applyFill="1" applyBorder="1" applyAlignment="1">
      <alignment horizontal="center" vertical="center"/>
    </xf>
    <xf numFmtId="0" fontId="6" fillId="3" borderId="8" xfId="0" applyFont="1" applyFill="1" applyBorder="1" applyAlignment="1">
      <alignment horizontal="center" vertical="center"/>
    </xf>
    <xf numFmtId="0" fontId="3" fillId="3" borderId="7" xfId="0" applyFont="1" applyFill="1" applyBorder="1" applyAlignment="1">
      <alignment horizontal="left" vertical="center"/>
    </xf>
    <xf numFmtId="0" fontId="8" fillId="0" borderId="59" xfId="5" applyFill="1" applyBorder="1" applyAlignment="1" applyProtection="1">
      <alignment horizontal="center"/>
      <protection locked="0"/>
    </xf>
    <xf numFmtId="0" fontId="8" fillId="0" borderId="61" xfId="5" applyFill="1" applyBorder="1" applyAlignment="1" applyProtection="1">
      <alignment horizontal="center"/>
      <protection locked="0"/>
    </xf>
    <xf numFmtId="0" fontId="33" fillId="14" borderId="49" xfId="5" applyFont="1" applyFill="1" applyBorder="1" applyAlignment="1" applyProtection="1">
      <alignment horizontal="center"/>
    </xf>
    <xf numFmtId="0" fontId="33" fillId="14" borderId="50" xfId="5" applyFont="1" applyFill="1" applyBorder="1" applyAlignment="1" applyProtection="1">
      <alignment horizontal="center"/>
    </xf>
    <xf numFmtId="0" fontId="33" fillId="14" borderId="51" xfId="5" applyFont="1" applyFill="1" applyBorder="1" applyAlignment="1" applyProtection="1">
      <alignment horizontal="center"/>
    </xf>
    <xf numFmtId="0" fontId="12" fillId="0" borderId="52" xfId="5" applyNumberFormat="1" applyFont="1" applyFill="1" applyBorder="1" applyAlignment="1" applyProtection="1">
      <alignment horizontal="left" vertical="center" wrapText="1"/>
    </xf>
    <xf numFmtId="0" fontId="12" fillId="0" borderId="53" xfId="5" applyNumberFormat="1" applyFont="1" applyFill="1" applyBorder="1" applyAlignment="1" applyProtection="1">
      <alignment horizontal="left" vertical="center" wrapText="1"/>
    </xf>
    <xf numFmtId="0" fontId="12" fillId="0" borderId="54" xfId="5" applyNumberFormat="1" applyFont="1" applyFill="1" applyBorder="1" applyAlignment="1" applyProtection="1">
      <alignment horizontal="left" vertical="center" wrapText="1"/>
    </xf>
    <xf numFmtId="0" fontId="12" fillId="0" borderId="55" xfId="5" applyNumberFormat="1" applyFont="1" applyFill="1" applyBorder="1" applyAlignment="1" applyProtection="1">
      <alignment horizontal="left" vertical="center" wrapText="1"/>
    </xf>
    <xf numFmtId="0" fontId="12" fillId="0" borderId="0" xfId="5" applyNumberFormat="1" applyFont="1" applyFill="1" applyBorder="1" applyAlignment="1" applyProtection="1">
      <alignment horizontal="left" vertical="center" wrapText="1"/>
    </xf>
    <xf numFmtId="0" fontId="12" fillId="0" borderId="56" xfId="5" applyNumberFormat="1" applyFont="1" applyFill="1" applyBorder="1" applyAlignment="1" applyProtection="1">
      <alignment horizontal="left" vertical="center" wrapText="1"/>
    </xf>
    <xf numFmtId="14" fontId="8" fillId="9" borderId="14" xfId="12" applyNumberFormat="1" applyFont="1" applyFill="1" applyBorder="1" applyAlignment="1" applyProtection="1">
      <alignment horizontal="center"/>
      <protection locked="0"/>
    </xf>
    <xf numFmtId="0" fontId="8" fillId="0" borderId="13" xfId="9" applyFont="1" applyBorder="1" applyAlignment="1" applyProtection="1">
      <alignment horizontal="center"/>
    </xf>
    <xf numFmtId="0" fontId="14" fillId="0" borderId="58" xfId="5" applyFont="1" applyBorder="1" applyAlignment="1" applyProtection="1">
      <alignment horizontal="center"/>
    </xf>
    <xf numFmtId="0" fontId="8" fillId="0" borderId="18" xfId="5" applyFill="1" applyBorder="1" applyAlignment="1" applyProtection="1">
      <alignment horizontal="center"/>
      <protection locked="0"/>
    </xf>
    <xf numFmtId="0" fontId="4" fillId="0" borderId="0" xfId="5" applyFont="1" applyFill="1" applyAlignment="1" applyProtection="1">
      <alignment horizontal="left" vertical="center" wrapText="1"/>
    </xf>
    <xf numFmtId="0" fontId="29" fillId="0" borderId="0" xfId="7" applyFont="1" applyAlignment="1">
      <alignment horizontal="left" vertical="center" wrapText="1"/>
    </xf>
    <xf numFmtId="14" fontId="25" fillId="0" borderId="0" xfId="9" applyNumberFormat="1" applyFont="1" applyBorder="1" applyAlignment="1" applyProtection="1">
      <alignment horizontal="center" vertical="center" textRotation="180" wrapText="1"/>
      <protection hidden="1"/>
    </xf>
    <xf numFmtId="0" fontId="27" fillId="0" borderId="0" xfId="5" applyFont="1" applyAlignment="1" applyProtection="1">
      <alignment horizontal="center" vertical="center" wrapText="1"/>
    </xf>
    <xf numFmtId="14" fontId="25" fillId="0" borderId="29" xfId="9" applyNumberFormat="1" applyFont="1" applyBorder="1" applyAlignment="1" applyProtection="1">
      <alignment horizontal="center" vertical="center" wrapText="1"/>
      <protection hidden="1"/>
    </xf>
    <xf numFmtId="14" fontId="25" fillId="0" borderId="31" xfId="9" applyNumberFormat="1" applyFont="1" applyBorder="1" applyAlignment="1" applyProtection="1">
      <alignment horizontal="center" vertical="center" wrapText="1"/>
      <protection hidden="1"/>
    </xf>
    <xf numFmtId="14" fontId="25" fillId="0" borderId="30" xfId="9" applyNumberFormat="1" applyFont="1" applyBorder="1" applyAlignment="1" applyProtection="1">
      <alignment horizontal="center" vertical="center" wrapText="1"/>
      <protection hidden="1"/>
    </xf>
    <xf numFmtId="14" fontId="25" fillId="0" borderId="32" xfId="9" applyNumberFormat="1" applyFont="1" applyBorder="1" applyAlignment="1" applyProtection="1">
      <alignment horizontal="center" vertical="center" wrapText="1"/>
      <protection hidden="1"/>
    </xf>
    <xf numFmtId="0" fontId="28" fillId="0" borderId="17" xfId="5" applyFont="1" applyBorder="1" applyAlignment="1" applyProtection="1">
      <alignment horizontal="center" wrapText="1"/>
    </xf>
    <xf numFmtId="0" fontId="29" fillId="0" borderId="18" xfId="7" applyFont="1" applyBorder="1" applyAlignment="1" applyProtection="1">
      <alignment horizontal="center" wrapText="1"/>
    </xf>
    <xf numFmtId="0" fontId="29" fillId="0" borderId="43" xfId="7" applyFont="1" applyBorder="1" applyAlignment="1" applyProtection="1">
      <alignment horizontal="center" wrapText="1"/>
    </xf>
    <xf numFmtId="0" fontId="28" fillId="13" borderId="10" xfId="5" applyNumberFormat="1" applyFont="1" applyFill="1" applyBorder="1" applyAlignment="1" applyProtection="1">
      <alignment horizontal="center"/>
    </xf>
    <xf numFmtId="0" fontId="28" fillId="13" borderId="11" xfId="5" applyNumberFormat="1" applyFont="1" applyFill="1" applyBorder="1" applyAlignment="1" applyProtection="1">
      <alignment horizontal="center"/>
    </xf>
    <xf numFmtId="0" fontId="28" fillId="0" borderId="44" xfId="10" applyFont="1" applyBorder="1" applyAlignment="1" applyProtection="1">
      <alignment horizontal="left" vertical="center" wrapText="1"/>
    </xf>
    <xf numFmtId="0" fontId="28" fillId="0" borderId="45" xfId="10" applyFont="1" applyBorder="1" applyAlignment="1" applyProtection="1">
      <alignment horizontal="left" vertical="center" wrapText="1"/>
    </xf>
    <xf numFmtId="0" fontId="28" fillId="0" borderId="33" xfId="10" applyFont="1" applyBorder="1" applyAlignment="1" applyProtection="1">
      <alignment horizontal="left" vertical="center" wrapText="1"/>
    </xf>
    <xf numFmtId="2" fontId="30" fillId="0" borderId="47" xfId="10" applyNumberFormat="1" applyFont="1" applyFill="1" applyBorder="1" applyAlignment="1" applyProtection="1">
      <alignment horizontal="center" vertical="center"/>
    </xf>
    <xf numFmtId="0" fontId="18" fillId="0" borderId="48" xfId="7" applyBorder="1" applyAlignment="1" applyProtection="1">
      <alignment horizontal="center" vertical="center"/>
    </xf>
    <xf numFmtId="10" fontId="30" fillId="0" borderId="47" xfId="11" applyNumberFormat="1" applyFont="1" applyFill="1" applyBorder="1" applyAlignment="1" applyProtection="1">
      <alignment horizontal="center" vertical="center"/>
    </xf>
    <xf numFmtId="2" fontId="8" fillId="0" borderId="13" xfId="10" applyNumberFormat="1" applyFont="1" applyFill="1" applyBorder="1" applyAlignment="1" applyProtection="1">
      <alignment horizontal="center" vertical="center" wrapText="1"/>
    </xf>
    <xf numFmtId="0" fontId="31" fillId="0" borderId="13" xfId="7" applyFont="1" applyBorder="1" applyAlignment="1" applyProtection="1">
      <alignment wrapText="1"/>
    </xf>
    <xf numFmtId="0" fontId="31" fillId="0" borderId="6" xfId="7" applyFont="1" applyBorder="1" applyAlignment="1" applyProtection="1">
      <alignment wrapText="1"/>
    </xf>
    <xf numFmtId="0" fontId="31" fillId="0" borderId="0" xfId="7" applyFont="1" applyBorder="1" applyAlignment="1" applyProtection="1">
      <alignment wrapText="1"/>
    </xf>
    <xf numFmtId="0" fontId="31" fillId="0" borderId="9" xfId="7" applyFont="1" applyBorder="1" applyAlignment="1" applyProtection="1">
      <alignment wrapText="1"/>
    </xf>
    <xf numFmtId="0" fontId="31" fillId="0" borderId="10" xfId="7" applyFont="1" applyBorder="1" applyAlignment="1" applyProtection="1">
      <alignment wrapText="1"/>
    </xf>
    <xf numFmtId="0" fontId="31" fillId="0" borderId="14" xfId="7" applyFont="1" applyBorder="1" applyAlignment="1" applyProtection="1">
      <alignment wrapText="1"/>
    </xf>
    <xf numFmtId="0" fontId="31" fillId="0" borderId="11" xfId="7" applyFont="1" applyBorder="1" applyAlignment="1" applyProtection="1">
      <alignment wrapText="1"/>
    </xf>
    <xf numFmtId="0" fontId="25" fillId="11" borderId="5" xfId="5" applyNumberFormat="1" applyFont="1" applyFill="1" applyBorder="1" applyAlignment="1" applyProtection="1">
      <alignment horizontal="left" wrapText="1"/>
    </xf>
    <xf numFmtId="0" fontId="25" fillId="11" borderId="13" xfId="5" applyNumberFormat="1" applyFont="1" applyFill="1" applyBorder="1" applyAlignment="1" applyProtection="1">
      <alignment horizontal="left" wrapText="1"/>
    </xf>
    <xf numFmtId="0" fontId="25" fillId="11" borderId="6" xfId="5" applyNumberFormat="1" applyFont="1" applyFill="1" applyBorder="1" applyAlignment="1" applyProtection="1">
      <alignment horizontal="left" wrapText="1"/>
    </xf>
    <xf numFmtId="0" fontId="25" fillId="11" borderId="10" xfId="5" applyNumberFormat="1" applyFont="1" applyFill="1" applyBorder="1" applyAlignment="1" applyProtection="1">
      <alignment horizontal="left" wrapText="1"/>
    </xf>
    <xf numFmtId="0" fontId="25" fillId="11" borderId="14" xfId="5" applyNumberFormat="1" applyFont="1" applyFill="1" applyBorder="1" applyAlignment="1" applyProtection="1">
      <alignment horizontal="left" wrapText="1"/>
    </xf>
    <xf numFmtId="0" fontId="25" fillId="11" borderId="11" xfId="5" applyNumberFormat="1" applyFont="1" applyFill="1" applyBorder="1" applyAlignment="1" applyProtection="1">
      <alignment horizontal="left" wrapText="1"/>
    </xf>
    <xf numFmtId="0" fontId="4" fillId="0" borderId="20" xfId="9" applyNumberFormat="1" applyFont="1" applyBorder="1" applyAlignment="1" applyProtection="1">
      <alignment horizontal="center" vertical="center" wrapText="1"/>
      <protection hidden="1"/>
    </xf>
    <xf numFmtId="0" fontId="4" fillId="0" borderId="21" xfId="9" applyNumberFormat="1" applyFont="1" applyBorder="1" applyAlignment="1" applyProtection="1">
      <alignment horizontal="center" vertical="center" wrapText="1"/>
      <protection hidden="1"/>
    </xf>
    <xf numFmtId="0" fontId="4" fillId="0" borderId="22" xfId="9" applyNumberFormat="1" applyFont="1" applyBorder="1" applyAlignment="1" applyProtection="1">
      <alignment horizontal="center" vertical="center" wrapText="1"/>
      <protection hidden="1"/>
    </xf>
    <xf numFmtId="2" fontId="20" fillId="9" borderId="17" xfId="8" applyNumberFormat="1" applyFont="1" applyFill="1" applyBorder="1" applyAlignment="1" applyProtection="1">
      <alignment horizontal="left"/>
      <protection locked="0"/>
    </xf>
    <xf numFmtId="0" fontId="18" fillId="0" borderId="18" xfId="7" applyBorder="1" applyAlignment="1" applyProtection="1">
      <protection locked="0"/>
    </xf>
    <xf numFmtId="0" fontId="18" fillId="0" borderId="19" xfId="7" applyBorder="1" applyAlignment="1" applyProtection="1">
      <protection locked="0"/>
    </xf>
    <xf numFmtId="0" fontId="18" fillId="9" borderId="18" xfId="7" applyFill="1" applyBorder="1" applyAlignment="1" applyProtection="1">
      <protection locked="0"/>
    </xf>
    <xf numFmtId="0" fontId="18" fillId="9" borderId="19" xfId="7" applyFill="1" applyBorder="1" applyAlignment="1" applyProtection="1">
      <protection locked="0"/>
    </xf>
    <xf numFmtId="0" fontId="23" fillId="10" borderId="20" xfId="7" applyFont="1" applyFill="1" applyBorder="1" applyAlignment="1" applyProtection="1">
      <alignment horizontal="center" vertical="center" wrapText="1"/>
    </xf>
    <xf numFmtId="0" fontId="23" fillId="10" borderId="21" xfId="7" applyFont="1" applyFill="1" applyBorder="1" applyAlignment="1" applyProtection="1">
      <alignment horizontal="center" vertical="center" wrapText="1"/>
    </xf>
    <xf numFmtId="0" fontId="23" fillId="10" borderId="22" xfId="7" applyFont="1" applyFill="1" applyBorder="1" applyAlignment="1" applyProtection="1">
      <alignment horizontal="center" vertical="center" wrapText="1"/>
    </xf>
    <xf numFmtId="14" fontId="5" fillId="0" borderId="0" xfId="9" applyNumberFormat="1" applyFont="1" applyFill="1" applyBorder="1" applyAlignment="1" applyProtection="1">
      <alignment horizontal="center" vertical="center" wrapText="1"/>
      <protection hidden="1"/>
    </xf>
  </cellXfs>
  <cellStyles count="13">
    <cellStyle name="Moeda" xfId="1" builtinId="4"/>
    <cellStyle name="Normal" xfId="0" builtinId="0"/>
    <cellStyle name="Normal 2" xfId="3"/>
    <cellStyle name="Normal 2_SIGEO Ver_2013A" xfId="9"/>
    <cellStyle name="Normal 4" xfId="7"/>
    <cellStyle name="Normal 4 2_SIGEO Ver_2013A" xfId="6"/>
    <cellStyle name="Normal_Cálculo BDI conforme TCU" xfId="10"/>
    <cellStyle name="Normal_Cálculo BDI conforme TCU_SIGEO Ver_2013A" xfId="5"/>
    <cellStyle name="Normal_Plan1" xfId="8"/>
    <cellStyle name="Porcentagem" xfId="2" builtinId="5"/>
    <cellStyle name="Porcentagem 5" xfId="11"/>
    <cellStyle name="Vírgula 2 2" xfId="12"/>
    <cellStyle name="Vírgula 5 2" xfId="4"/>
  </cellStyles>
  <dxfs count="7">
    <dxf>
      <font>
        <b/>
        <i val="0"/>
        <condense val="0"/>
        <extend val="0"/>
        <color indexed="9"/>
      </font>
      <fill>
        <patternFill patternType="solid">
          <bgColor indexed="10"/>
        </patternFill>
      </fill>
    </dxf>
    <dxf>
      <font>
        <b/>
        <i val="0"/>
        <condense val="0"/>
        <extend val="0"/>
        <color indexed="17"/>
      </font>
      <fill>
        <patternFill>
          <bgColor indexed="9"/>
        </patternFill>
      </fill>
    </dxf>
    <dxf>
      <font>
        <b/>
        <i val="0"/>
        <condense val="0"/>
        <extend val="0"/>
        <color indexed="17"/>
      </font>
      <fill>
        <patternFill patternType="none">
          <bgColor indexed="65"/>
        </patternFill>
      </fill>
    </dxf>
    <dxf>
      <fill>
        <patternFill>
          <bgColor indexed="43"/>
        </patternFill>
      </fill>
    </dxf>
    <dxf>
      <font>
        <condense val="0"/>
        <extend val="0"/>
        <color indexed="17"/>
      </font>
    </dxf>
    <dxf>
      <font>
        <condense val="0"/>
        <extend val="0"/>
        <color indexed="10"/>
      </font>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6" dropStyle="combo" dx="16" fmlaLink="$O$10:$O$15" fmlaRange="$N$10:$N$15" noThreeD="1" sel="1" val="0"/>
</file>

<file path=xl/ctrlProps/ctrlProp2.xml><?xml version="1.0" encoding="utf-8"?>
<formControlPr xmlns="http://schemas.microsoft.com/office/spreadsheetml/2009/9/main" objectType="CheckBox" checked="Checked" fmlaLink="$N$8" noThree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30</xdr:row>
      <xdr:rowOff>0</xdr:rowOff>
    </xdr:from>
    <xdr:to>
      <xdr:col>11</xdr:col>
      <xdr:colOff>0</xdr:colOff>
      <xdr:row>33</xdr:row>
      <xdr:rowOff>76200</xdr:rowOff>
    </xdr:to>
    <xdr:sp macro="" textlink="">
      <xdr:nvSpPr>
        <xdr:cNvPr id="2" name="CaixaDeTexto 1">
          <a:extLst>
            <a:ext uri="{FF2B5EF4-FFF2-40B4-BE49-F238E27FC236}">
              <a16:creationId xmlns:a16="http://schemas.microsoft.com/office/drawing/2014/main" xmlns="" id="{00000000-0008-0000-0200-000002000000}"/>
            </a:ext>
          </a:extLst>
        </xdr:cNvPr>
        <xdr:cNvSpPr txBox="1">
          <a:spLocks noChangeArrowheads="1"/>
        </xdr:cNvSpPr>
      </xdr:nvSpPr>
      <xdr:spPr bwMode="auto">
        <a:xfrm>
          <a:off x="628650" y="5267325"/>
          <a:ext cx="10410825" cy="5619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10</xdr:row>
          <xdr:rowOff>9525</xdr:rowOff>
        </xdr:from>
        <xdr:to>
          <xdr:col>5</xdr:col>
          <xdr:colOff>485775</xdr:colOff>
          <xdr:row>11</xdr:row>
          <xdr:rowOff>47625</xdr:rowOff>
        </xdr:to>
        <xdr:sp macro="" textlink="">
          <xdr:nvSpPr>
            <xdr:cNvPr id="5121" name="Drop Down 1" descr="teste" hidden="1">
              <a:extLst>
                <a:ext uri="{63B3BB69-23CF-44E3-9099-C40C66FF867C}">
                  <a14:compatExt spid="_x0000_s5121"/>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114300</xdr:colOff>
      <xdr:row>26</xdr:row>
      <xdr:rowOff>133350</xdr:rowOff>
    </xdr:from>
    <xdr:to>
      <xdr:col>3</xdr:col>
      <xdr:colOff>2638425</xdr:colOff>
      <xdr:row>28</xdr:row>
      <xdr:rowOff>85725</xdr:rowOff>
    </xdr:to>
    <xdr:pic>
      <xdr:nvPicPr>
        <xdr:cNvPr id="4" name="Picture 38">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4552950"/>
          <a:ext cx="29527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19050</xdr:colOff>
          <xdr:row>21</xdr:row>
          <xdr:rowOff>142875</xdr:rowOff>
        </xdr:from>
        <xdr:to>
          <xdr:col>11</xdr:col>
          <xdr:colOff>819150</xdr:colOff>
          <xdr:row>23</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BCBCBC"/>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Mão-de-obra desonerada</a:t>
              </a:r>
            </a:p>
          </xdr:txBody>
        </xdr:sp>
        <xdr:clientData fLocksWithSheet="0"/>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view="pageLayout" topLeftCell="A27" zoomScale="87" zoomScaleNormal="59" zoomScaleSheetLayoutView="90" zoomScalePageLayoutView="87" workbookViewId="0">
      <selection activeCell="D32" sqref="D32"/>
    </sheetView>
  </sheetViews>
  <sheetFormatPr defaultRowHeight="15" x14ac:dyDescent="0.25"/>
  <cols>
    <col min="1" max="1" width="8.140625" customWidth="1"/>
    <col min="2" max="2" width="17.7109375" customWidth="1"/>
    <col min="3" max="3" width="18.85546875" customWidth="1"/>
    <col min="4" max="4" width="70.7109375" customWidth="1"/>
    <col min="5" max="5" width="8.28515625" bestFit="1" customWidth="1"/>
    <col min="6" max="6" width="9.5703125" bestFit="1" customWidth="1"/>
    <col min="7" max="7" width="15.7109375" customWidth="1"/>
    <col min="8" max="8" width="16.140625" customWidth="1"/>
    <col min="9" max="9" width="16.140625" bestFit="1" customWidth="1"/>
    <col min="11" max="11" width="14.28515625" bestFit="1" customWidth="1"/>
  </cols>
  <sheetData>
    <row r="1" spans="1:9" ht="20.25" x14ac:dyDescent="0.25">
      <c r="A1" s="294" t="s">
        <v>0</v>
      </c>
      <c r="B1" s="294"/>
      <c r="C1" s="294"/>
      <c r="D1" s="294"/>
      <c r="E1" s="294"/>
      <c r="F1" s="294"/>
      <c r="G1" s="294"/>
      <c r="H1" s="294"/>
      <c r="I1" s="294"/>
    </row>
    <row r="2" spans="1:9" ht="31.5" customHeight="1" x14ac:dyDescent="0.25">
      <c r="A2" s="295" t="s">
        <v>142</v>
      </c>
      <c r="B2" s="296"/>
      <c r="C2" s="296"/>
      <c r="D2" s="297"/>
      <c r="E2" s="159" t="s">
        <v>1</v>
      </c>
      <c r="F2" s="159" t="s">
        <v>132</v>
      </c>
      <c r="G2" s="1" t="s">
        <v>2</v>
      </c>
      <c r="H2" s="298" t="s">
        <v>3</v>
      </c>
      <c r="I2" s="299"/>
    </row>
    <row r="3" spans="1:9" x14ac:dyDescent="0.25">
      <c r="A3" s="300" t="s">
        <v>167</v>
      </c>
      <c r="B3" s="293"/>
      <c r="C3" s="293"/>
      <c r="D3" s="301"/>
      <c r="E3" s="160">
        <v>0.26590000000000003</v>
      </c>
      <c r="F3" s="160">
        <v>0.31290000000000001</v>
      </c>
      <c r="G3" s="302">
        <v>45595</v>
      </c>
      <c r="H3" s="304">
        <f>I47</f>
        <v>213343.13</v>
      </c>
      <c r="I3" s="305"/>
    </row>
    <row r="4" spans="1:9" x14ac:dyDescent="0.25">
      <c r="A4" s="308" t="s">
        <v>120</v>
      </c>
      <c r="B4" s="308"/>
      <c r="C4" s="308"/>
      <c r="D4" s="308"/>
      <c r="E4" s="159">
        <v>1.2659</v>
      </c>
      <c r="F4" s="159">
        <v>1.3129</v>
      </c>
      <c r="G4" s="303"/>
      <c r="H4" s="306"/>
      <c r="I4" s="307"/>
    </row>
    <row r="5" spans="1:9" x14ac:dyDescent="0.25">
      <c r="A5" s="291" t="s">
        <v>121</v>
      </c>
      <c r="B5" s="292"/>
      <c r="C5" s="309" t="s">
        <v>147</v>
      </c>
      <c r="D5" s="309"/>
      <c r="E5" s="292" t="s">
        <v>119</v>
      </c>
      <c r="F5" s="292"/>
      <c r="G5" s="179" t="s">
        <v>190</v>
      </c>
      <c r="H5" s="136"/>
      <c r="I5" s="137"/>
    </row>
    <row r="6" spans="1:9" x14ac:dyDescent="0.25">
      <c r="A6" s="281" t="s">
        <v>4</v>
      </c>
      <c r="B6" s="285" t="s">
        <v>5</v>
      </c>
      <c r="C6" s="281" t="s">
        <v>6</v>
      </c>
      <c r="D6" s="287" t="s">
        <v>7</v>
      </c>
      <c r="E6" s="281" t="s">
        <v>8</v>
      </c>
      <c r="F6" s="288" t="s">
        <v>9</v>
      </c>
      <c r="G6" s="289" t="s">
        <v>10</v>
      </c>
      <c r="H6" s="279" t="s">
        <v>11</v>
      </c>
      <c r="I6" s="281" t="s">
        <v>12</v>
      </c>
    </row>
    <row r="7" spans="1:9" x14ac:dyDescent="0.25">
      <c r="A7" s="281"/>
      <c r="B7" s="286"/>
      <c r="C7" s="281"/>
      <c r="D7" s="287"/>
      <c r="E7" s="281"/>
      <c r="F7" s="288"/>
      <c r="G7" s="289"/>
      <c r="H7" s="280"/>
      <c r="I7" s="281"/>
    </row>
    <row r="8" spans="1:9" x14ac:dyDescent="0.25">
      <c r="A8" s="184" t="s">
        <v>13</v>
      </c>
      <c r="B8" s="282"/>
      <c r="C8" s="282"/>
      <c r="D8" s="283" t="s">
        <v>14</v>
      </c>
      <c r="E8" s="283"/>
      <c r="F8" s="283"/>
      <c r="G8" s="283"/>
      <c r="H8" s="283"/>
      <c r="I8" s="283"/>
    </row>
    <row r="9" spans="1:9" ht="28.5" x14ac:dyDescent="0.25">
      <c r="A9" s="149" t="s">
        <v>15</v>
      </c>
      <c r="B9" s="149">
        <v>103689</v>
      </c>
      <c r="C9" s="149" t="s">
        <v>124</v>
      </c>
      <c r="D9" s="249" t="s">
        <v>144</v>
      </c>
      <c r="E9" s="149" t="s">
        <v>122</v>
      </c>
      <c r="F9" s="192">
        <v>3</v>
      </c>
      <c r="G9" s="194">
        <v>459.74</v>
      </c>
      <c r="H9" s="164">
        <f>ROUND($E$4*G9,2)</f>
        <v>581.98</v>
      </c>
      <c r="I9" s="164">
        <f>ROUND(F9*H9,2)</f>
        <v>1745.94</v>
      </c>
    </row>
    <row r="10" spans="1:9" x14ac:dyDescent="0.25">
      <c r="A10" s="195"/>
      <c r="B10" s="198"/>
      <c r="C10" s="198"/>
      <c r="D10" s="199"/>
      <c r="E10" s="198"/>
      <c r="F10" s="200"/>
      <c r="G10" s="201"/>
      <c r="H10" s="202"/>
      <c r="I10" s="218">
        <f>SUM(I9:I9)</f>
        <v>1745.94</v>
      </c>
    </row>
    <row r="11" spans="1:9" x14ac:dyDescent="0.25">
      <c r="A11" s="190"/>
      <c r="B11" s="149"/>
      <c r="C11" s="149"/>
      <c r="D11" s="191"/>
      <c r="E11" s="149"/>
      <c r="F11" s="192"/>
      <c r="G11" s="194"/>
      <c r="H11" s="164"/>
      <c r="I11" s="164"/>
    </row>
    <row r="12" spans="1:9" x14ac:dyDescent="0.25">
      <c r="A12" s="195" t="s">
        <v>149</v>
      </c>
      <c r="B12" s="310"/>
      <c r="C12" s="311"/>
      <c r="D12" s="205" t="s">
        <v>148</v>
      </c>
      <c r="E12" s="203"/>
      <c r="F12" s="203"/>
      <c r="G12" s="203"/>
      <c r="H12" s="203"/>
      <c r="I12" s="204"/>
    </row>
    <row r="13" spans="1:9" ht="49.5" customHeight="1" x14ac:dyDescent="0.25">
      <c r="A13" s="2" t="s">
        <v>161</v>
      </c>
      <c r="B13" s="155">
        <v>92580</v>
      </c>
      <c r="C13" s="156" t="s">
        <v>124</v>
      </c>
      <c r="D13" s="197" t="s">
        <v>169</v>
      </c>
      <c r="E13" s="2" t="s">
        <v>122</v>
      </c>
      <c r="F13" s="157">
        <v>997.53</v>
      </c>
      <c r="G13" s="164">
        <v>45.21</v>
      </c>
      <c r="H13" s="164">
        <f>ROUND($E$4*G13,2)</f>
        <v>57.23</v>
      </c>
      <c r="I13" s="164">
        <f>ROUND(F13*H13,2)</f>
        <v>57088.639999999999</v>
      </c>
    </row>
    <row r="14" spans="1:9" x14ac:dyDescent="0.25">
      <c r="A14" s="2" t="s">
        <v>162</v>
      </c>
      <c r="B14" s="189">
        <v>94213</v>
      </c>
      <c r="C14" s="149" t="s">
        <v>124</v>
      </c>
      <c r="D14" s="165" t="s">
        <v>143</v>
      </c>
      <c r="E14" s="166" t="s">
        <v>122</v>
      </c>
      <c r="F14" s="193">
        <v>997.53</v>
      </c>
      <c r="G14" s="154">
        <v>66.73</v>
      </c>
      <c r="H14" s="164">
        <f>ROUND($E$4*G14,2)</f>
        <v>84.47</v>
      </c>
      <c r="I14" s="164">
        <f>ROUND(F14*H14,2)</f>
        <v>84261.36</v>
      </c>
    </row>
    <row r="15" spans="1:9" x14ac:dyDescent="0.25">
      <c r="A15" s="206"/>
      <c r="B15" s="207"/>
      <c r="C15" s="198"/>
      <c r="D15" s="208"/>
      <c r="E15" s="209"/>
      <c r="F15" s="209"/>
      <c r="G15" s="209"/>
      <c r="H15" s="209"/>
      <c r="I15" s="217">
        <f>SUM(I13:I14)</f>
        <v>141350</v>
      </c>
    </row>
    <row r="16" spans="1:9" x14ac:dyDescent="0.25">
      <c r="A16" s="2"/>
      <c r="B16" s="189"/>
      <c r="C16" s="149"/>
      <c r="D16" s="165"/>
      <c r="E16" s="166"/>
      <c r="F16" s="193"/>
      <c r="G16" s="154"/>
      <c r="H16" s="164"/>
      <c r="I16" s="164"/>
    </row>
    <row r="17" spans="1:9" x14ac:dyDescent="0.25">
      <c r="A17" s="219" t="s">
        <v>151</v>
      </c>
      <c r="B17" s="207"/>
      <c r="C17" s="198"/>
      <c r="D17" s="312" t="s">
        <v>150</v>
      </c>
      <c r="E17" s="313"/>
      <c r="F17" s="313"/>
      <c r="G17" s="313"/>
      <c r="H17" s="313"/>
      <c r="I17" s="314"/>
    </row>
    <row r="18" spans="1:9" ht="28.5" x14ac:dyDescent="0.25">
      <c r="A18" s="2" t="s">
        <v>153</v>
      </c>
      <c r="B18" s="150">
        <v>94227</v>
      </c>
      <c r="C18" s="151" t="s">
        <v>124</v>
      </c>
      <c r="D18" s="152" t="s">
        <v>135</v>
      </c>
      <c r="E18" s="153" t="s">
        <v>123</v>
      </c>
      <c r="F18" s="157">
        <v>170</v>
      </c>
      <c r="G18" s="182">
        <v>60.69</v>
      </c>
      <c r="H18" s="164">
        <f>ROUND($E$4*G18,2)</f>
        <v>76.83</v>
      </c>
      <c r="I18" s="164">
        <f>ROUND(F18*H18,2)</f>
        <v>13061.1</v>
      </c>
    </row>
    <row r="19" spans="1:9" x14ac:dyDescent="0.25">
      <c r="A19" s="2" t="s">
        <v>152</v>
      </c>
      <c r="B19" s="290" t="s">
        <v>136</v>
      </c>
      <c r="C19" s="290"/>
      <c r="D19" s="161" t="s">
        <v>137</v>
      </c>
      <c r="E19" s="149" t="s">
        <v>138</v>
      </c>
      <c r="F19" s="162">
        <v>12</v>
      </c>
      <c r="G19" s="163">
        <v>513.29</v>
      </c>
      <c r="H19" s="164">
        <f>ROUND($E$4*G19,2)</f>
        <v>649.77</v>
      </c>
      <c r="I19" s="164">
        <f>ROUND(F19*H19,2)</f>
        <v>7797.24</v>
      </c>
    </row>
    <row r="20" spans="1:9" ht="29.25" x14ac:dyDescent="0.25">
      <c r="A20" s="2" t="s">
        <v>163</v>
      </c>
      <c r="B20" s="189">
        <v>100327</v>
      </c>
      <c r="C20" s="149" t="s">
        <v>124</v>
      </c>
      <c r="D20" s="230" t="s">
        <v>164</v>
      </c>
      <c r="E20" s="245" t="s">
        <v>123</v>
      </c>
      <c r="F20" s="157">
        <v>86.8</v>
      </c>
      <c r="G20" s="231">
        <v>55.26</v>
      </c>
      <c r="H20" s="164">
        <f>ROUND($E$4*G20,2)</f>
        <v>69.95</v>
      </c>
      <c r="I20" s="164">
        <f>ROUND(F20*H20,2)</f>
        <v>6071.66</v>
      </c>
    </row>
    <row r="21" spans="1:9" x14ac:dyDescent="0.25">
      <c r="A21" s="206"/>
      <c r="B21" s="210"/>
      <c r="C21" s="210"/>
      <c r="D21" s="216"/>
      <c r="E21" s="198"/>
      <c r="F21" s="212"/>
      <c r="G21" s="213"/>
      <c r="H21" s="202"/>
      <c r="I21" s="218">
        <f>SUM(I18:I20)</f>
        <v>26930</v>
      </c>
    </row>
    <row r="22" spans="1:9" x14ac:dyDescent="0.25">
      <c r="A22" s="2"/>
      <c r="B22" s="196"/>
      <c r="C22" s="196"/>
      <c r="D22" s="161"/>
      <c r="E22" s="149"/>
      <c r="F22" s="162"/>
      <c r="G22" s="163"/>
      <c r="H22" s="164"/>
      <c r="I22" s="164"/>
    </row>
    <row r="23" spans="1:9" x14ac:dyDescent="0.25">
      <c r="A23" s="219" t="s">
        <v>155</v>
      </c>
      <c r="B23" s="210"/>
      <c r="C23" s="210"/>
      <c r="D23" s="211" t="s">
        <v>180</v>
      </c>
      <c r="E23" s="198"/>
      <c r="F23" s="212"/>
      <c r="G23" s="213"/>
      <c r="H23" s="202"/>
      <c r="I23" s="202"/>
    </row>
    <row r="24" spans="1:9" ht="42.75" x14ac:dyDescent="0.25">
      <c r="A24" s="2" t="s">
        <v>158</v>
      </c>
      <c r="B24" s="185">
        <v>103322</v>
      </c>
      <c r="C24" s="149" t="s">
        <v>124</v>
      </c>
      <c r="D24" s="183" t="s">
        <v>139</v>
      </c>
      <c r="E24" s="138" t="s">
        <v>122</v>
      </c>
      <c r="F24" s="162">
        <v>77</v>
      </c>
      <c r="G24" s="163">
        <v>66.53</v>
      </c>
      <c r="H24" s="164">
        <f>ROUND($E$4*G24,2)</f>
        <v>84.22</v>
      </c>
      <c r="I24" s="164">
        <f>ROUND(F24*H24,2)</f>
        <v>6484.94</v>
      </c>
    </row>
    <row r="25" spans="1:9" x14ac:dyDescent="0.25">
      <c r="A25" s="2" t="s">
        <v>159</v>
      </c>
      <c r="B25" s="185">
        <v>87878</v>
      </c>
      <c r="C25" s="149" t="s">
        <v>124</v>
      </c>
      <c r="D25" s="183" t="s">
        <v>140</v>
      </c>
      <c r="E25" s="138" t="s">
        <v>122</v>
      </c>
      <c r="F25" s="162">
        <v>77</v>
      </c>
      <c r="G25" s="163">
        <v>4.99</v>
      </c>
      <c r="H25" s="164">
        <f>ROUND($E$4*G25,2)</f>
        <v>6.32</v>
      </c>
      <c r="I25" s="164">
        <f>ROUND(F25*H25,2)</f>
        <v>486.64</v>
      </c>
    </row>
    <row r="26" spans="1:9" x14ac:dyDescent="0.25">
      <c r="A26" s="2" t="s">
        <v>160</v>
      </c>
      <c r="B26" s="185">
        <v>87529</v>
      </c>
      <c r="C26" s="149" t="s">
        <v>124</v>
      </c>
      <c r="D26" s="183" t="s">
        <v>141</v>
      </c>
      <c r="E26" s="138" t="s">
        <v>122</v>
      </c>
      <c r="F26" s="162">
        <v>77</v>
      </c>
      <c r="G26" s="163">
        <v>36.380000000000003</v>
      </c>
      <c r="H26" s="164">
        <f>ROUND($E$4*G26,2)</f>
        <v>46.05</v>
      </c>
      <c r="I26" s="164">
        <f>ROUND(F26*H26,2)</f>
        <v>3545.85</v>
      </c>
    </row>
    <row r="27" spans="1:9" ht="42.75" x14ac:dyDescent="0.25">
      <c r="A27" s="2" t="s">
        <v>170</v>
      </c>
      <c r="B27" s="236">
        <v>99432</v>
      </c>
      <c r="C27" s="149" t="s">
        <v>124</v>
      </c>
      <c r="D27" s="183" t="s">
        <v>171</v>
      </c>
      <c r="E27" s="138" t="s">
        <v>172</v>
      </c>
      <c r="F27" s="162">
        <v>8</v>
      </c>
      <c r="G27" s="163">
        <v>770.86</v>
      </c>
      <c r="H27" s="164">
        <f>ROUND($E$4*G27,2)</f>
        <v>975.83</v>
      </c>
      <c r="I27" s="164">
        <f>ROUND(F27*H27,2)</f>
        <v>7806.64</v>
      </c>
    </row>
    <row r="28" spans="1:9" x14ac:dyDescent="0.25">
      <c r="A28" s="2" t="s">
        <v>173</v>
      </c>
      <c r="B28" s="236" t="s">
        <v>174</v>
      </c>
      <c r="C28" s="149" t="s">
        <v>175</v>
      </c>
      <c r="D28" s="183" t="s">
        <v>176</v>
      </c>
      <c r="E28" s="138" t="s">
        <v>122</v>
      </c>
      <c r="F28" s="162">
        <v>8</v>
      </c>
      <c r="G28" s="163">
        <v>162.96</v>
      </c>
      <c r="H28" s="164">
        <f>ROUND($E$4*G28,2)</f>
        <v>206.29</v>
      </c>
      <c r="I28" s="164">
        <f>ROUND(F28*H28,2)</f>
        <v>1650.32</v>
      </c>
    </row>
    <row r="29" spans="1:9" x14ac:dyDescent="0.25">
      <c r="A29" s="206"/>
      <c r="B29" s="210"/>
      <c r="C29" s="198"/>
      <c r="D29" s="214"/>
      <c r="E29" s="215"/>
      <c r="F29" s="212"/>
      <c r="G29" s="213"/>
      <c r="H29" s="202"/>
      <c r="I29" s="218">
        <f>SUM(I24:I28)</f>
        <v>19974.39</v>
      </c>
    </row>
    <row r="30" spans="1:9" s="248" customFormat="1" x14ac:dyDescent="0.25">
      <c r="A30" s="156"/>
      <c r="B30" s="236"/>
      <c r="C30" s="149"/>
      <c r="D30" s="183"/>
      <c r="E30" s="138"/>
      <c r="F30" s="162"/>
      <c r="G30" s="163"/>
      <c r="H30" s="246"/>
      <c r="I30" s="247"/>
    </row>
    <row r="31" spans="1:9" x14ac:dyDescent="0.25">
      <c r="A31" s="206" t="s">
        <v>157</v>
      </c>
      <c r="B31" s="210"/>
      <c r="C31" s="198"/>
      <c r="D31" s="221" t="s">
        <v>177</v>
      </c>
      <c r="E31" s="215"/>
      <c r="F31" s="212"/>
      <c r="G31" s="213"/>
      <c r="H31" s="202"/>
      <c r="I31" s="218"/>
    </row>
    <row r="32" spans="1:9" ht="28.5" x14ac:dyDescent="0.25">
      <c r="A32" s="156" t="s">
        <v>179</v>
      </c>
      <c r="B32" s="236">
        <v>102208</v>
      </c>
      <c r="C32" s="149" t="s">
        <v>124</v>
      </c>
      <c r="D32" s="183" t="s">
        <v>178</v>
      </c>
      <c r="E32" s="250" t="s">
        <v>122</v>
      </c>
      <c r="F32" s="162">
        <v>8</v>
      </c>
      <c r="G32" s="163">
        <v>8.1999999999999993</v>
      </c>
      <c r="H32" s="164">
        <f>ROUND($E$4*G32,2)</f>
        <v>10.38</v>
      </c>
      <c r="I32" s="164">
        <f>ROUND(F32*H32,2)</f>
        <v>83.04</v>
      </c>
    </row>
    <row r="33" spans="1:9" ht="28.5" x14ac:dyDescent="0.25">
      <c r="A33" s="156" t="s">
        <v>191</v>
      </c>
      <c r="B33" s="260">
        <v>88415</v>
      </c>
      <c r="C33" s="149" t="s">
        <v>192</v>
      </c>
      <c r="D33" s="183" t="s">
        <v>193</v>
      </c>
      <c r="E33" s="250" t="s">
        <v>122</v>
      </c>
      <c r="F33" s="162">
        <v>40</v>
      </c>
      <c r="G33" s="163">
        <v>4.08</v>
      </c>
      <c r="H33" s="164">
        <f>ROUND($E$4*G33,2)</f>
        <v>5.16</v>
      </c>
      <c r="I33" s="164">
        <f>ROUND(F33*H33,2)</f>
        <v>206.4</v>
      </c>
    </row>
    <row r="34" spans="1:9" ht="28.5" x14ac:dyDescent="0.25">
      <c r="A34" s="156" t="s">
        <v>194</v>
      </c>
      <c r="B34" s="260">
        <v>88489</v>
      </c>
      <c r="C34" s="149" t="s">
        <v>124</v>
      </c>
      <c r="D34" s="183" t="s">
        <v>195</v>
      </c>
      <c r="E34" s="250" t="s">
        <v>122</v>
      </c>
      <c r="F34" s="162">
        <v>40</v>
      </c>
      <c r="G34" s="163">
        <v>11.73</v>
      </c>
      <c r="H34" s="164">
        <f>ROUND($E$4*G34,2)</f>
        <v>14.85</v>
      </c>
      <c r="I34" s="164">
        <f>ROUND(F34*H34,2)</f>
        <v>594</v>
      </c>
    </row>
    <row r="35" spans="1:9" x14ac:dyDescent="0.25">
      <c r="A35" s="206"/>
      <c r="B35" s="210"/>
      <c r="C35" s="198"/>
      <c r="D35" s="214"/>
      <c r="E35" s="215"/>
      <c r="F35" s="212"/>
      <c r="G35" s="213"/>
      <c r="H35" s="202"/>
      <c r="I35" s="218">
        <f>SUM(I32:I34)</f>
        <v>883.44</v>
      </c>
    </row>
    <row r="36" spans="1:9" s="248" customFormat="1" x14ac:dyDescent="0.25">
      <c r="A36" s="156"/>
      <c r="B36" s="258"/>
      <c r="C36" s="149"/>
      <c r="D36" s="183"/>
      <c r="E36" s="138"/>
      <c r="F36" s="162"/>
      <c r="G36" s="163"/>
      <c r="H36" s="246"/>
      <c r="I36" s="247"/>
    </row>
    <row r="37" spans="1:9" x14ac:dyDescent="0.25">
      <c r="A37" s="206" t="s">
        <v>181</v>
      </c>
      <c r="B37" s="210"/>
      <c r="C37" s="198"/>
      <c r="D37" s="221" t="s">
        <v>183</v>
      </c>
      <c r="E37" s="215"/>
      <c r="F37" s="212"/>
      <c r="G37" s="213"/>
      <c r="H37" s="202"/>
      <c r="I37" s="218"/>
    </row>
    <row r="38" spans="1:9" x14ac:dyDescent="0.25">
      <c r="A38" s="156" t="s">
        <v>16</v>
      </c>
      <c r="B38" s="258">
        <v>100701</v>
      </c>
      <c r="C38" s="149" t="s">
        <v>124</v>
      </c>
      <c r="D38" s="183" t="s">
        <v>184</v>
      </c>
      <c r="E38" s="138" t="s">
        <v>122</v>
      </c>
      <c r="F38" s="162">
        <v>24</v>
      </c>
      <c r="G38" s="163">
        <v>555.96</v>
      </c>
      <c r="H38" s="164">
        <f>ROUND($E$4*G38,2)</f>
        <v>703.79</v>
      </c>
      <c r="I38" s="164">
        <f>ROUND(F38*H38,2)</f>
        <v>16890.96</v>
      </c>
    </row>
    <row r="39" spans="1:9" ht="28.5" x14ac:dyDescent="0.25">
      <c r="A39" s="156" t="s">
        <v>17</v>
      </c>
      <c r="B39" s="258">
        <v>90830</v>
      </c>
      <c r="C39" s="149" t="s">
        <v>124</v>
      </c>
      <c r="D39" s="183" t="s">
        <v>185</v>
      </c>
      <c r="E39" s="138" t="s">
        <v>186</v>
      </c>
      <c r="F39" s="162">
        <v>12</v>
      </c>
      <c r="G39" s="163">
        <v>183.6</v>
      </c>
      <c r="H39" s="164">
        <f>ROUND($E$4*G39,2)</f>
        <v>232.42</v>
      </c>
      <c r="I39" s="164">
        <f>ROUND(F39*H39,2)</f>
        <v>2789.04</v>
      </c>
    </row>
    <row r="40" spans="1:9" ht="42.75" x14ac:dyDescent="0.25">
      <c r="A40" s="156" t="s">
        <v>18</v>
      </c>
      <c r="B40" s="258">
        <v>100725</v>
      </c>
      <c r="C40" s="149" t="s">
        <v>124</v>
      </c>
      <c r="D40" s="183" t="s">
        <v>187</v>
      </c>
      <c r="E40" s="138" t="s">
        <v>122</v>
      </c>
      <c r="F40" s="162">
        <v>24</v>
      </c>
      <c r="G40" s="163">
        <v>25.39</v>
      </c>
      <c r="H40" s="164">
        <f>ROUND($E$4*G40,2)</f>
        <v>32.14</v>
      </c>
      <c r="I40" s="164">
        <f>ROUND(F40*H40,2)</f>
        <v>771.36</v>
      </c>
    </row>
    <row r="41" spans="1:9" x14ac:dyDescent="0.25">
      <c r="A41" s="206"/>
      <c r="B41" s="210"/>
      <c r="C41" s="198"/>
      <c r="D41" s="214"/>
      <c r="E41" s="215"/>
      <c r="F41" s="212"/>
      <c r="G41" s="213"/>
      <c r="H41" s="202"/>
      <c r="I41" s="218">
        <f>SUM(I38:I40)</f>
        <v>20451.36</v>
      </c>
    </row>
    <row r="42" spans="1:9" x14ac:dyDescent="0.25">
      <c r="A42" s="2"/>
      <c r="B42" s="196"/>
      <c r="C42" s="149"/>
      <c r="D42" s="183"/>
      <c r="E42" s="138"/>
      <c r="F42" s="162"/>
      <c r="G42" s="163"/>
      <c r="H42" s="164"/>
      <c r="I42" s="164"/>
    </row>
    <row r="43" spans="1:9" ht="15.75" x14ac:dyDescent="0.25">
      <c r="A43" s="219" t="s">
        <v>188</v>
      </c>
      <c r="B43" s="220"/>
      <c r="C43" s="195"/>
      <c r="D43" s="221" t="s">
        <v>156</v>
      </c>
      <c r="E43" s="222"/>
      <c r="F43" s="223"/>
      <c r="G43" s="224"/>
      <c r="H43" s="218"/>
      <c r="I43" s="218"/>
    </row>
    <row r="44" spans="1:9" x14ac:dyDescent="0.25">
      <c r="A44" s="2" t="s">
        <v>189</v>
      </c>
      <c r="B44" s="188">
        <v>42846</v>
      </c>
      <c r="C44" s="149" t="s">
        <v>145</v>
      </c>
      <c r="D44" s="183" t="s">
        <v>146</v>
      </c>
      <c r="E44" s="138" t="s">
        <v>122</v>
      </c>
      <c r="F44" s="162">
        <v>160</v>
      </c>
      <c r="G44" s="163">
        <f>7.55*F4</f>
        <v>9.9123950000000001</v>
      </c>
      <c r="H44" s="164">
        <f>ROUND($E$4*G44,2)</f>
        <v>12.55</v>
      </c>
      <c r="I44" s="164">
        <f>ROUND(F44*H44,2)</f>
        <v>2008</v>
      </c>
    </row>
    <row r="45" spans="1:9" x14ac:dyDescent="0.25">
      <c r="A45" s="284"/>
      <c r="B45" s="284"/>
      <c r="C45" s="284"/>
      <c r="D45" s="284"/>
      <c r="E45" s="284"/>
      <c r="F45" s="284"/>
      <c r="G45" s="284"/>
      <c r="H45" s="3"/>
      <c r="I45" s="3">
        <f>SUM(I44)</f>
        <v>2008</v>
      </c>
    </row>
    <row r="46" spans="1:9" x14ac:dyDescent="0.25">
      <c r="A46" s="186"/>
      <c r="B46" s="187"/>
      <c r="C46" s="187"/>
      <c r="D46" s="187"/>
      <c r="E46" s="187"/>
      <c r="F46" s="187"/>
      <c r="G46" s="187"/>
      <c r="H46" s="181"/>
      <c r="I46" s="3"/>
    </row>
    <row r="47" spans="1:9" x14ac:dyDescent="0.25">
      <c r="A47" s="266" t="s">
        <v>20</v>
      </c>
      <c r="B47" s="267"/>
      <c r="C47" s="267"/>
      <c r="D47" s="267"/>
      <c r="E47" s="267"/>
      <c r="F47" s="267"/>
      <c r="G47" s="267"/>
      <c r="H47" s="268"/>
      <c r="I47" s="158">
        <f>I10+I45+I15+I29+I21+I35+I41</f>
        <v>213343.13</v>
      </c>
    </row>
    <row r="48" spans="1:9" x14ac:dyDescent="0.25">
      <c r="A48" s="271" t="s">
        <v>168</v>
      </c>
      <c r="B48" s="272"/>
      <c r="C48" s="272"/>
      <c r="D48" s="272"/>
      <c r="E48" s="272"/>
      <c r="F48" s="272"/>
      <c r="G48" s="272"/>
      <c r="H48" s="272"/>
      <c r="I48" s="273"/>
    </row>
    <row r="49" spans="1:9" x14ac:dyDescent="0.25">
      <c r="A49" s="274"/>
      <c r="B49" s="275"/>
      <c r="C49" s="275"/>
      <c r="D49" s="275"/>
      <c r="E49" s="275"/>
      <c r="F49" s="275"/>
      <c r="G49" s="275"/>
      <c r="H49" s="275"/>
      <c r="I49" s="276"/>
    </row>
    <row r="50" spans="1:9" x14ac:dyDescent="0.25">
      <c r="A50" s="4"/>
      <c r="B50" s="4"/>
      <c r="C50" s="4"/>
      <c r="D50" s="4"/>
      <c r="E50" s="4"/>
      <c r="F50" s="4"/>
      <c r="G50" s="4"/>
      <c r="H50" s="4"/>
      <c r="I50" s="4"/>
    </row>
    <row r="51" spans="1:9" x14ac:dyDescent="0.25">
      <c r="A51" s="4"/>
      <c r="B51" s="4"/>
      <c r="C51" s="4"/>
      <c r="D51" s="4"/>
      <c r="E51" s="4"/>
      <c r="F51" s="4"/>
      <c r="G51" s="4"/>
      <c r="H51" s="4"/>
      <c r="I51" s="4"/>
    </row>
    <row r="52" spans="1:9" x14ac:dyDescent="0.25">
      <c r="A52" s="4"/>
      <c r="B52" s="4"/>
      <c r="C52" s="4"/>
      <c r="D52" s="4"/>
      <c r="E52" s="4"/>
      <c r="F52" s="4"/>
      <c r="G52" s="4"/>
      <c r="H52" s="4"/>
      <c r="I52" s="4"/>
    </row>
    <row r="53" spans="1:9" x14ac:dyDescent="0.25">
      <c r="A53" s="4"/>
      <c r="B53" s="4"/>
      <c r="C53" s="4"/>
      <c r="D53" s="4"/>
      <c r="E53" s="4"/>
      <c r="F53" s="4"/>
      <c r="G53" s="4"/>
      <c r="H53" s="4"/>
      <c r="I53" s="5"/>
    </row>
    <row r="54" spans="1:9" x14ac:dyDescent="0.25">
      <c r="A54" s="4"/>
      <c r="B54" s="4"/>
      <c r="C54" s="4"/>
      <c r="D54" s="4"/>
      <c r="E54" s="4"/>
      <c r="F54" s="4"/>
      <c r="G54" s="4"/>
      <c r="H54" s="4"/>
      <c r="I54" s="5"/>
    </row>
    <row r="55" spans="1:9" x14ac:dyDescent="0.25">
      <c r="A55" s="4"/>
      <c r="B55" s="4"/>
      <c r="C55" s="4"/>
      <c r="D55" s="4"/>
      <c r="E55" s="4"/>
      <c r="F55" s="4"/>
      <c r="G55" s="4"/>
      <c r="H55" s="4"/>
      <c r="I55" s="5"/>
    </row>
    <row r="56" spans="1:9" x14ac:dyDescent="0.25">
      <c r="A56" s="4"/>
      <c r="B56" s="4"/>
      <c r="C56" s="4"/>
      <c r="D56" s="4"/>
      <c r="E56" s="4"/>
      <c r="F56" s="4"/>
      <c r="G56" s="4"/>
      <c r="H56" s="4"/>
      <c r="I56" s="5"/>
    </row>
    <row r="57" spans="1:9" x14ac:dyDescent="0.25">
      <c r="A57" s="4"/>
      <c r="B57" s="4"/>
      <c r="C57" s="4"/>
      <c r="D57" s="4"/>
      <c r="E57" s="4"/>
      <c r="F57" s="4"/>
      <c r="G57" s="4"/>
      <c r="H57" s="4"/>
      <c r="I57" s="5"/>
    </row>
    <row r="58" spans="1:9" x14ac:dyDescent="0.25">
      <c r="A58" s="4"/>
      <c r="B58" s="4"/>
      <c r="C58" s="4"/>
      <c r="D58" s="4"/>
      <c r="E58" s="4"/>
      <c r="F58" s="4"/>
      <c r="G58" s="4"/>
      <c r="H58" s="4"/>
      <c r="I58" s="5"/>
    </row>
    <row r="59" spans="1:9" ht="15.75" x14ac:dyDescent="0.25">
      <c r="A59" s="277"/>
      <c r="B59" s="277"/>
      <c r="C59" s="277"/>
      <c r="D59" s="4"/>
      <c r="E59" s="4"/>
      <c r="F59" s="6" t="s">
        <v>21</v>
      </c>
      <c r="G59" s="6"/>
      <c r="H59" s="6"/>
      <c r="I59" s="5"/>
    </row>
    <row r="60" spans="1:9" ht="15.75" x14ac:dyDescent="0.25">
      <c r="A60" s="278" t="s">
        <v>22</v>
      </c>
      <c r="B60" s="278"/>
      <c r="C60" s="278"/>
      <c r="D60" s="6"/>
      <c r="E60" s="6"/>
      <c r="F60" s="270" t="s">
        <v>25</v>
      </c>
      <c r="G60" s="270"/>
      <c r="H60" s="270"/>
      <c r="I60" s="6"/>
    </row>
    <row r="61" spans="1:9" ht="15.75" x14ac:dyDescent="0.25">
      <c r="A61" s="269" t="s">
        <v>23</v>
      </c>
      <c r="B61" s="269"/>
      <c r="C61" s="269"/>
      <c r="D61" s="7"/>
      <c r="E61" s="7"/>
      <c r="F61" s="270" t="s">
        <v>24</v>
      </c>
      <c r="G61" s="270"/>
      <c r="H61" s="270"/>
      <c r="I61" s="7"/>
    </row>
    <row r="62" spans="1:9" ht="15.75" x14ac:dyDescent="0.25">
      <c r="D62" s="6"/>
      <c r="E62" s="6"/>
      <c r="F62" s="6"/>
      <c r="G62" s="6"/>
      <c r="H62" s="6"/>
      <c r="I62" s="6"/>
    </row>
  </sheetData>
  <mergeCells count="32">
    <mergeCell ref="B19:C19"/>
    <mergeCell ref="B12:C12"/>
    <mergeCell ref="D17:I17"/>
    <mergeCell ref="A61:C61"/>
    <mergeCell ref="F61:H61"/>
    <mergeCell ref="A45:G45"/>
    <mergeCell ref="A47:H47"/>
    <mergeCell ref="A48:I49"/>
    <mergeCell ref="A59:C59"/>
    <mergeCell ref="A60:C60"/>
    <mergeCell ref="F60:H60"/>
    <mergeCell ref="D8:I8"/>
    <mergeCell ref="G6:G7"/>
    <mergeCell ref="H6:H7"/>
    <mergeCell ref="I6:I7"/>
    <mergeCell ref="B8:C8"/>
    <mergeCell ref="A1:I1"/>
    <mergeCell ref="A2:D2"/>
    <mergeCell ref="H2:I2"/>
    <mergeCell ref="A3:D3"/>
    <mergeCell ref="G3:G4"/>
    <mergeCell ref="H3:I4"/>
    <mergeCell ref="A4:D4"/>
    <mergeCell ref="A5:B5"/>
    <mergeCell ref="C5:D5"/>
    <mergeCell ref="E5:F5"/>
    <mergeCell ref="A6:A7"/>
    <mergeCell ref="B6:B7"/>
    <mergeCell ref="C6:C7"/>
    <mergeCell ref="D6:D7"/>
    <mergeCell ref="E6:E7"/>
    <mergeCell ref="F6:F7"/>
  </mergeCells>
  <printOptions horizontalCentered="1"/>
  <pageMargins left="0.31496062992125984" right="0.31496062992125984" top="1.1417322834645669" bottom="0.74803149606299213" header="0.11811023622047245" footer="0.11811023622047245"/>
  <pageSetup paperSize="9" scale="77" fitToHeight="0" orientation="landscape" r:id="rId1"/>
  <headerFooter>
    <oddHeader>&amp;L                    
&amp;G&amp;C&amp;"-,Negrito"&amp;18
SECRETARIA MUNICIPAL DA EDUCAÇÃO
PREFEITURA DO MUNICÍPIO DE LAGES&amp;R&amp;G</oddHeader>
    <oddFooter>&amp;CCAIC Nossa Senhora dos Prazeres
&amp;R&amp;P/&amp;N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Layout" zoomScale="85" zoomScaleNormal="59" zoomScaleSheetLayoutView="90" zoomScalePageLayoutView="85" workbookViewId="0">
      <selection activeCell="E21" sqref="E21"/>
    </sheetView>
  </sheetViews>
  <sheetFormatPr defaultRowHeight="15" x14ac:dyDescent="0.25"/>
  <cols>
    <col min="1" max="1" width="8.140625" customWidth="1"/>
    <col min="2" max="2" width="50.140625" customWidth="1"/>
    <col min="3" max="3" width="38.5703125" customWidth="1"/>
    <col min="4" max="4" width="14.28515625" customWidth="1"/>
    <col min="5" max="5" width="14.7109375" customWidth="1"/>
    <col min="6" max="6" width="15.28515625" customWidth="1"/>
    <col min="7" max="7" width="15.7109375" customWidth="1"/>
    <col min="8" max="8" width="31" bestFit="1" customWidth="1"/>
    <col min="10" max="10" width="14.28515625" bestFit="1" customWidth="1"/>
  </cols>
  <sheetData>
    <row r="1" spans="1:8" ht="20.25" x14ac:dyDescent="0.25">
      <c r="A1" s="294" t="s">
        <v>0</v>
      </c>
      <c r="B1" s="294"/>
      <c r="C1" s="294"/>
      <c r="D1" s="294"/>
      <c r="E1" s="294"/>
      <c r="F1" s="294"/>
      <c r="G1" s="294"/>
      <c r="H1" s="294"/>
    </row>
    <row r="2" spans="1:8" ht="31.5" customHeight="1" x14ac:dyDescent="0.25">
      <c r="A2" s="295" t="e">
        <f>#REF!</f>
        <v>#REF!</v>
      </c>
      <c r="B2" s="296"/>
      <c r="C2" s="296"/>
      <c r="D2" s="297"/>
      <c r="E2" s="1" t="s">
        <v>1</v>
      </c>
      <c r="F2" s="1" t="s">
        <v>132</v>
      </c>
      <c r="G2" s="1" t="s">
        <v>2</v>
      </c>
      <c r="H2" s="232" t="s">
        <v>3</v>
      </c>
    </row>
    <row r="3" spans="1:8" ht="15" customHeight="1" x14ac:dyDescent="0.25">
      <c r="A3" s="300" t="e">
        <f>#REF!</f>
        <v>#REF!</v>
      </c>
      <c r="B3" s="293"/>
      <c r="C3" s="293"/>
      <c r="D3" s="301"/>
      <c r="E3" s="160">
        <f>'PLANILHA ORÇAMENTÁRIA'!E3</f>
        <v>0.26590000000000003</v>
      </c>
      <c r="F3" s="160">
        <f>'PLANILHA ORÇAMENTÁRIA'!F3</f>
        <v>0.31290000000000001</v>
      </c>
      <c r="G3" s="302">
        <f>'PLANILHA ORÇAMENTÁRIA'!G3:G4</f>
        <v>45595</v>
      </c>
      <c r="H3" s="327">
        <f>'PLANILHA ORÇAMENTÁRIA'!H3:I4</f>
        <v>213343.13</v>
      </c>
    </row>
    <row r="4" spans="1:8" ht="15" customHeight="1" x14ac:dyDescent="0.25">
      <c r="A4" s="298" t="e">
        <f>#REF!</f>
        <v>#REF!</v>
      </c>
      <c r="B4" s="299"/>
      <c r="C4" s="325" t="s">
        <v>196</v>
      </c>
      <c r="D4" s="326"/>
      <c r="E4" s="235">
        <f>'PLANILHA ORÇAMENTÁRIA'!E4</f>
        <v>1.2659</v>
      </c>
      <c r="F4" s="235">
        <f>'PLANILHA ORÇAMENTÁRIA'!F4</f>
        <v>1.3129</v>
      </c>
      <c r="G4" s="303"/>
      <c r="H4" s="328"/>
    </row>
    <row r="5" spans="1:8" x14ac:dyDescent="0.25">
      <c r="A5" s="281" t="s">
        <v>4</v>
      </c>
      <c r="B5" s="285" t="s">
        <v>125</v>
      </c>
      <c r="C5" s="281" t="s">
        <v>126</v>
      </c>
      <c r="D5" s="323" t="s">
        <v>127</v>
      </c>
      <c r="E5" s="285" t="s">
        <v>128</v>
      </c>
      <c r="F5" s="285" t="s">
        <v>129</v>
      </c>
      <c r="G5" s="285" t="s">
        <v>130</v>
      </c>
      <c r="H5" s="285" t="s">
        <v>131</v>
      </c>
    </row>
    <row r="6" spans="1:8" x14ac:dyDescent="0.25">
      <c r="A6" s="281"/>
      <c r="B6" s="286"/>
      <c r="C6" s="281"/>
      <c r="D6" s="324"/>
      <c r="E6" s="286"/>
      <c r="F6" s="286"/>
      <c r="G6" s="286"/>
      <c r="H6" s="286"/>
    </row>
    <row r="7" spans="1:8" x14ac:dyDescent="0.25">
      <c r="A7" s="285">
        <v>1</v>
      </c>
      <c r="B7" s="285" t="s">
        <v>14</v>
      </c>
      <c r="C7" s="321">
        <f>'PLANILHA ORÇAMENTÁRIA'!I10</f>
        <v>1745.94</v>
      </c>
      <c r="D7" s="143">
        <v>1</v>
      </c>
      <c r="E7" s="144"/>
      <c r="F7" s="139"/>
      <c r="G7" s="140"/>
      <c r="H7" s="148">
        <f ca="1">SUM(D7:H7)</f>
        <v>1</v>
      </c>
    </row>
    <row r="8" spans="1:8" x14ac:dyDescent="0.25">
      <c r="A8" s="286"/>
      <c r="B8" s="286"/>
      <c r="C8" s="322"/>
      <c r="D8" s="142">
        <f>$C7*D7</f>
        <v>1745.94</v>
      </c>
      <c r="E8" s="142"/>
      <c r="F8" s="139"/>
      <c r="G8" s="140"/>
      <c r="H8" s="244">
        <f>SUM(D8:G8)</f>
        <v>1745.94</v>
      </c>
    </row>
    <row r="9" spans="1:8" x14ac:dyDescent="0.25">
      <c r="A9" s="316">
        <v>2</v>
      </c>
      <c r="B9" s="316" t="s">
        <v>148</v>
      </c>
      <c r="C9" s="318">
        <f>'PLANILHA ORÇAMENTÁRIA'!I15</f>
        <v>141350</v>
      </c>
      <c r="D9" s="172">
        <v>0.2</v>
      </c>
      <c r="E9" s="173">
        <v>0.5</v>
      </c>
      <c r="F9" s="233">
        <v>0.3</v>
      </c>
      <c r="G9" s="174"/>
      <c r="H9" s="175">
        <f ca="1">SUM(D9:H9)</f>
        <v>1</v>
      </c>
    </row>
    <row r="10" spans="1:8" x14ac:dyDescent="0.25">
      <c r="A10" s="317"/>
      <c r="B10" s="317"/>
      <c r="C10" s="319"/>
      <c r="D10" s="176">
        <f>$C9*D9</f>
        <v>28270</v>
      </c>
      <c r="E10" s="176">
        <f>$C9*E9</f>
        <v>70675</v>
      </c>
      <c r="F10" s="176">
        <f>$C9*F9</f>
        <v>42405</v>
      </c>
      <c r="G10" s="174"/>
      <c r="H10" s="226">
        <f>SUM(D10:G10)</f>
        <v>141350</v>
      </c>
    </row>
    <row r="11" spans="1:8" x14ac:dyDescent="0.25">
      <c r="A11" s="285">
        <v>3</v>
      </c>
      <c r="B11" s="285" t="s">
        <v>150</v>
      </c>
      <c r="C11" s="321">
        <f>'PLANILHA ORÇAMENTÁRIA'!I21</f>
        <v>26930</v>
      </c>
      <c r="D11" s="144"/>
      <c r="E11" s="144"/>
      <c r="F11" s="144">
        <v>0.5</v>
      </c>
      <c r="G11" s="145">
        <v>0.5</v>
      </c>
      <c r="H11" s="148">
        <f t="shared" ref="H11:H12" si="0">SUM(D11:G11)</f>
        <v>1</v>
      </c>
    </row>
    <row r="12" spans="1:8" x14ac:dyDescent="0.25">
      <c r="A12" s="286"/>
      <c r="B12" s="286"/>
      <c r="C12" s="322"/>
      <c r="D12" s="142"/>
      <c r="E12" s="142"/>
      <c r="F12" s="227">
        <f t="shared" ref="F12:G12" si="1">$C11*F11</f>
        <v>13465</v>
      </c>
      <c r="G12" s="227">
        <f t="shared" si="1"/>
        <v>13465</v>
      </c>
      <c r="H12" s="244">
        <f t="shared" si="0"/>
        <v>26930</v>
      </c>
    </row>
    <row r="13" spans="1:8" x14ac:dyDescent="0.25">
      <c r="A13" s="316">
        <v>4</v>
      </c>
      <c r="B13" s="316" t="s">
        <v>154</v>
      </c>
      <c r="C13" s="318">
        <f>'PLANILHA ORÇAMENTÁRIA'!I29</f>
        <v>19974.39</v>
      </c>
      <c r="D13" s="177"/>
      <c r="E13" s="173"/>
      <c r="F13" s="173"/>
      <c r="G13" s="172">
        <v>1</v>
      </c>
      <c r="H13" s="175">
        <f t="shared" ref="H13:H18" si="2">SUM(D13:G13)</f>
        <v>1</v>
      </c>
    </row>
    <row r="14" spans="1:8" x14ac:dyDescent="0.25">
      <c r="A14" s="317"/>
      <c r="B14" s="317"/>
      <c r="C14" s="319"/>
      <c r="D14" s="177"/>
      <c r="E14" s="176"/>
      <c r="F14" s="176"/>
      <c r="G14" s="176">
        <f t="shared" ref="G14:G16" si="3">$C13*G13</f>
        <v>19974.39</v>
      </c>
      <c r="H14" s="226">
        <f t="shared" si="2"/>
        <v>19974.39</v>
      </c>
    </row>
    <row r="15" spans="1:8" x14ac:dyDescent="0.25">
      <c r="A15" s="281">
        <v>5</v>
      </c>
      <c r="B15" s="281" t="s">
        <v>177</v>
      </c>
      <c r="C15" s="320">
        <f>'PLANILHA ORÇAMENTÁRIA'!I35</f>
        <v>883.44</v>
      </c>
      <c r="D15" s="251"/>
      <c r="E15" s="251"/>
      <c r="F15" s="251"/>
      <c r="G15" s="252">
        <v>1</v>
      </c>
      <c r="H15" s="148">
        <f t="shared" si="2"/>
        <v>1</v>
      </c>
    </row>
    <row r="16" spans="1:8" x14ac:dyDescent="0.25">
      <c r="A16" s="281"/>
      <c r="B16" s="281"/>
      <c r="C16" s="320"/>
      <c r="D16" s="251"/>
      <c r="E16" s="251"/>
      <c r="F16" s="251"/>
      <c r="G16" s="237">
        <f t="shared" si="3"/>
        <v>883.44</v>
      </c>
      <c r="H16" s="244">
        <f t="shared" si="2"/>
        <v>883.44</v>
      </c>
    </row>
    <row r="17" spans="1:8" x14ac:dyDescent="0.25">
      <c r="A17" s="285">
        <v>6</v>
      </c>
      <c r="B17" s="285" t="s">
        <v>183</v>
      </c>
      <c r="C17" s="321">
        <f>'PLANILHA ORÇAMENTÁRIA'!I41</f>
        <v>20451.36</v>
      </c>
      <c r="D17" s="251"/>
      <c r="E17" s="251"/>
      <c r="F17" s="251"/>
      <c r="G17" s="252">
        <v>1</v>
      </c>
      <c r="H17" s="148">
        <f t="shared" si="2"/>
        <v>1</v>
      </c>
    </row>
    <row r="18" spans="1:8" x14ac:dyDescent="0.25">
      <c r="A18" s="286"/>
      <c r="B18" s="286"/>
      <c r="C18" s="322"/>
      <c r="D18" s="251"/>
      <c r="E18" s="251"/>
      <c r="F18" s="251"/>
      <c r="G18" s="261">
        <f>$C17*G17</f>
        <v>20451.36</v>
      </c>
      <c r="H18" s="264">
        <f t="shared" si="2"/>
        <v>20451.36</v>
      </c>
    </row>
    <row r="19" spans="1:8" x14ac:dyDescent="0.25">
      <c r="A19" s="316">
        <v>7</v>
      </c>
      <c r="B19" s="316" t="s">
        <v>156</v>
      </c>
      <c r="C19" s="318">
        <f>'PLANILHA ORÇAMENTÁRIA'!I45</f>
        <v>2008</v>
      </c>
      <c r="D19" s="177"/>
      <c r="E19" s="173"/>
      <c r="F19" s="173"/>
      <c r="G19" s="172">
        <v>1</v>
      </c>
      <c r="H19" s="175">
        <f ca="1">SUM(D19:H19)</f>
        <v>1</v>
      </c>
    </row>
    <row r="20" spans="1:8" x14ac:dyDescent="0.25">
      <c r="A20" s="317"/>
      <c r="B20" s="317"/>
      <c r="C20" s="319"/>
      <c r="D20" s="177"/>
      <c r="E20" s="176"/>
      <c r="F20" s="176"/>
      <c r="G20" s="176">
        <f>$C19*G19</f>
        <v>2008</v>
      </c>
      <c r="H20" s="226">
        <f>SUM(D20:G20)</f>
        <v>2008</v>
      </c>
    </row>
    <row r="21" spans="1:8" x14ac:dyDescent="0.25">
      <c r="A21" s="146"/>
      <c r="B21" s="8"/>
      <c r="C21" s="141">
        <f>SUM(C7:C20)</f>
        <v>213343.13</v>
      </c>
      <c r="D21" s="147">
        <f>D8+D10+D12+D14+D20</f>
        <v>30015.94</v>
      </c>
      <c r="E21" s="147">
        <f>E8+E10+E12+E14+E20</f>
        <v>70675</v>
      </c>
      <c r="F21" s="147">
        <f>F8+F10+F12+F14+F20</f>
        <v>55870</v>
      </c>
      <c r="G21" s="147">
        <f>G8+G10+G12+G14+G20+G16</f>
        <v>36330.83</v>
      </c>
      <c r="H21" s="315">
        <f>H8+H10+H12+H14+H20+H16+H18</f>
        <v>213343.13</v>
      </c>
    </row>
    <row r="22" spans="1:8" x14ac:dyDescent="0.25">
      <c r="A22" s="146"/>
      <c r="B22" s="8"/>
      <c r="C22" s="141"/>
      <c r="D22" s="147">
        <f>D21</f>
        <v>30015.94</v>
      </c>
      <c r="E22" s="141">
        <f>E21+D22</f>
        <v>100690.94</v>
      </c>
      <c r="F22" s="141">
        <f t="shared" ref="F22" si="4">F21+E22</f>
        <v>156560.94</v>
      </c>
      <c r="G22" s="141">
        <f>G21+F22</f>
        <v>192891.77000000002</v>
      </c>
      <c r="H22" s="315"/>
    </row>
    <row r="24" spans="1:8" x14ac:dyDescent="0.25">
      <c r="A24" s="205"/>
      <c r="B24" s="253"/>
      <c r="C24" s="253"/>
      <c r="D24" s="253"/>
      <c r="E24" s="253"/>
      <c r="F24" s="253"/>
      <c r="G24" s="205" t="s">
        <v>20</v>
      </c>
      <c r="H24" s="254">
        <f>H21</f>
        <v>213343.13</v>
      </c>
    </row>
    <row r="25" spans="1:8" x14ac:dyDescent="0.25">
      <c r="A25" s="271" t="s">
        <v>168</v>
      </c>
      <c r="B25" s="272"/>
      <c r="C25" s="272"/>
      <c r="D25" s="272"/>
      <c r="E25" s="272"/>
      <c r="F25" s="272"/>
      <c r="G25" s="272"/>
      <c r="H25" s="272"/>
    </row>
    <row r="26" spans="1:8" ht="32.25" customHeight="1" x14ac:dyDescent="0.25">
      <c r="A26" s="274"/>
      <c r="B26" s="275"/>
      <c r="C26" s="275"/>
      <c r="D26" s="275"/>
      <c r="E26" s="275"/>
      <c r="F26" s="275"/>
      <c r="G26" s="275"/>
      <c r="H26" s="275"/>
    </row>
    <row r="27" spans="1:8" x14ac:dyDescent="0.25">
      <c r="A27" s="4"/>
      <c r="B27" s="4"/>
      <c r="C27" s="4"/>
      <c r="D27" s="4"/>
      <c r="E27" s="4"/>
      <c r="F27" s="4"/>
      <c r="G27" s="4"/>
      <c r="H27" s="4"/>
    </row>
    <row r="28" spans="1:8" x14ac:dyDescent="0.25">
      <c r="A28" s="4"/>
      <c r="B28" s="4"/>
      <c r="C28" s="4"/>
      <c r="D28" s="4"/>
      <c r="E28" s="4"/>
      <c r="F28" s="4"/>
      <c r="G28" s="4"/>
      <c r="H28" s="4"/>
    </row>
    <row r="29" spans="1:8" x14ac:dyDescent="0.25">
      <c r="A29" s="4"/>
      <c r="B29" s="4"/>
      <c r="C29" s="4"/>
      <c r="D29" s="4"/>
      <c r="E29" s="4"/>
      <c r="F29" s="4"/>
      <c r="G29" s="4"/>
      <c r="H29" s="4"/>
    </row>
    <row r="30" spans="1:8" x14ac:dyDescent="0.25">
      <c r="A30" s="4"/>
      <c r="B30" s="4"/>
      <c r="C30" s="4"/>
      <c r="D30" s="4"/>
      <c r="E30" s="4"/>
      <c r="F30" s="4"/>
      <c r="G30" s="4"/>
      <c r="H30" s="4"/>
    </row>
    <row r="31" spans="1:8" ht="15.75" x14ac:dyDescent="0.25">
      <c r="A31" s="277"/>
      <c r="B31" s="277"/>
      <c r="C31" s="277"/>
      <c r="D31" s="4"/>
      <c r="E31" s="4"/>
      <c r="F31" s="6" t="s">
        <v>21</v>
      </c>
      <c r="G31" s="6"/>
      <c r="H31" s="6"/>
    </row>
    <row r="32" spans="1:8" ht="15.75" x14ac:dyDescent="0.25">
      <c r="A32" s="278" t="s">
        <v>22</v>
      </c>
      <c r="B32" s="278"/>
      <c r="C32" s="278"/>
      <c r="D32" s="6"/>
      <c r="E32" s="6"/>
      <c r="F32" s="270" t="e">
        <f>#REF!</f>
        <v>#REF!</v>
      </c>
      <c r="G32" s="270"/>
      <c r="H32" s="270"/>
    </row>
    <row r="33" spans="1:8" ht="15.75" x14ac:dyDescent="0.25">
      <c r="A33" s="269" t="s">
        <v>23</v>
      </c>
      <c r="B33" s="269"/>
      <c r="C33" s="269"/>
      <c r="D33" s="7"/>
      <c r="E33" s="7"/>
      <c r="F33" s="270" t="s">
        <v>24</v>
      </c>
      <c r="G33" s="270"/>
      <c r="H33" s="270"/>
    </row>
    <row r="34" spans="1:8" ht="15.75" x14ac:dyDescent="0.25">
      <c r="D34" s="6"/>
      <c r="E34" s="6"/>
      <c r="F34" s="6"/>
      <c r="G34" s="6"/>
      <c r="H34" s="6"/>
    </row>
  </sheetData>
  <mergeCells count="43">
    <mergeCell ref="A1:H1"/>
    <mergeCell ref="A2:D2"/>
    <mergeCell ref="A3:D3"/>
    <mergeCell ref="G3:G4"/>
    <mergeCell ref="A4:B4"/>
    <mergeCell ref="C4:D4"/>
    <mergeCell ref="H3:H4"/>
    <mergeCell ref="A33:C33"/>
    <mergeCell ref="F33:H33"/>
    <mergeCell ref="G5:G6"/>
    <mergeCell ref="A25:H26"/>
    <mergeCell ref="A31:C31"/>
    <mergeCell ref="A32:C32"/>
    <mergeCell ref="F32:H32"/>
    <mergeCell ref="H5:H6"/>
    <mergeCell ref="A5:A6"/>
    <mergeCell ref="B5:B6"/>
    <mergeCell ref="C5:C6"/>
    <mergeCell ref="D5:D6"/>
    <mergeCell ref="E5:E6"/>
    <mergeCell ref="F5:F6"/>
    <mergeCell ref="A7:A8"/>
    <mergeCell ref="B7:B8"/>
    <mergeCell ref="C7:C8"/>
    <mergeCell ref="A9:A10"/>
    <mergeCell ref="B9:B10"/>
    <mergeCell ref="C9:C10"/>
    <mergeCell ref="A11:A12"/>
    <mergeCell ref="B11:B12"/>
    <mergeCell ref="C11:C12"/>
    <mergeCell ref="H21:H22"/>
    <mergeCell ref="A19:A20"/>
    <mergeCell ref="B19:B20"/>
    <mergeCell ref="C19:C20"/>
    <mergeCell ref="A13:A14"/>
    <mergeCell ref="B13:B14"/>
    <mergeCell ref="C13:C14"/>
    <mergeCell ref="A15:A16"/>
    <mergeCell ref="B15:B16"/>
    <mergeCell ref="C15:C16"/>
    <mergeCell ref="A17:A18"/>
    <mergeCell ref="B17:B18"/>
    <mergeCell ref="C17:C18"/>
  </mergeCells>
  <printOptions horizontalCentered="1"/>
  <pageMargins left="0.31496062992125984" right="0.31496062992125984" top="1.1417322834645669" bottom="0.74803149606299213" header="0.11811023622047245" footer="0.11811023622047245"/>
  <pageSetup paperSize="9" scale="75" fitToHeight="0" orientation="landscape" r:id="rId1"/>
  <headerFooter>
    <oddHeader>&amp;L                    
&amp;G&amp;C&amp;"-,Negrito"&amp;18
SECRETARIA MUNICIPAL DA EDUCAÇÃO
PREFEITURA DO MUNICÍPIO DE LAGES&amp;R&amp;G</oddHeader>
    <oddFooter>&amp;CCEIM SÂO PAULO&amp;R&amp;P/&amp;N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view="pageLayout" zoomScale="85" zoomScaleNormal="59" zoomScaleSheetLayoutView="90" zoomScalePageLayoutView="85" workbookViewId="0">
      <selection activeCell="D4" sqref="D4"/>
    </sheetView>
  </sheetViews>
  <sheetFormatPr defaultRowHeight="15" x14ac:dyDescent="0.25"/>
  <cols>
    <col min="1" max="1" width="8.140625" customWidth="1"/>
    <col min="2" max="2" width="17.7109375" customWidth="1"/>
    <col min="3" max="3" width="43" bestFit="1" customWidth="1"/>
    <col min="4" max="4" width="16.28515625" customWidth="1"/>
    <col min="5" max="5" width="9.140625" bestFit="1" customWidth="1"/>
    <col min="6" max="6" width="9.5703125" bestFit="1" customWidth="1"/>
    <col min="7" max="7" width="15.7109375" customWidth="1"/>
    <col min="8" max="8" width="16.140625" customWidth="1"/>
    <col min="9" max="10" width="16" customWidth="1"/>
    <col min="12" max="12" width="14.28515625" bestFit="1" customWidth="1"/>
  </cols>
  <sheetData>
    <row r="1" spans="1:10" ht="20.25" x14ac:dyDescent="0.25">
      <c r="A1" s="294" t="s">
        <v>26</v>
      </c>
      <c r="B1" s="294"/>
      <c r="C1" s="294"/>
      <c r="D1" s="294"/>
      <c r="E1" s="294"/>
      <c r="F1" s="294"/>
      <c r="G1" s="294"/>
      <c r="H1" s="350"/>
      <c r="I1" s="350"/>
      <c r="J1" s="168"/>
    </row>
    <row r="2" spans="1:10" ht="31.5" customHeight="1" x14ac:dyDescent="0.25">
      <c r="A2" s="295" t="e">
        <f>#REF!</f>
        <v>#REF!</v>
      </c>
      <c r="B2" s="296"/>
      <c r="C2" s="296"/>
      <c r="D2" s="297"/>
      <c r="E2" s="1" t="s">
        <v>1</v>
      </c>
      <c r="F2" s="169" t="s">
        <v>132</v>
      </c>
      <c r="G2" s="1" t="s">
        <v>2</v>
      </c>
      <c r="H2" s="298" t="s">
        <v>3</v>
      </c>
      <c r="I2" s="355"/>
      <c r="J2" s="299"/>
    </row>
    <row r="3" spans="1:10" ht="26.25" customHeight="1" x14ac:dyDescent="0.25">
      <c r="A3" s="300" t="e">
        <f>#REF!</f>
        <v>#REF!</v>
      </c>
      <c r="B3" s="293"/>
      <c r="C3" s="293"/>
      <c r="D3" s="301"/>
      <c r="E3" s="160">
        <f>'PLANILHA ORÇAMENTÁRIA'!E3</f>
        <v>0.26590000000000003</v>
      </c>
      <c r="F3" s="170">
        <f>'PLANILHA ORÇAMENTÁRIA'!F3</f>
        <v>0.31290000000000001</v>
      </c>
      <c r="G3" s="302">
        <f>'PLANILHA ORÇAMENTÁRIA'!G3:G4</f>
        <v>45595</v>
      </c>
      <c r="H3" s="327">
        <f>'PLANILHA ORÇAMENTÁRIA'!H3:I4</f>
        <v>213343.13</v>
      </c>
      <c r="I3" s="356"/>
      <c r="J3" s="357"/>
    </row>
    <row r="4" spans="1:10" ht="26.25" customHeight="1" x14ac:dyDescent="0.25">
      <c r="A4" s="352" t="e">
        <f>#REF!</f>
        <v>#REF!</v>
      </c>
      <c r="B4" s="353"/>
      <c r="C4" s="354"/>
      <c r="D4" s="180" t="s">
        <v>196</v>
      </c>
      <c r="E4" s="235">
        <f>'PLANILHA ORÇAMENTÁRIA'!E4</f>
        <v>1.2659</v>
      </c>
      <c r="F4" s="171">
        <f>'PLANILHA ORÇAMENTÁRIA'!F4</f>
        <v>1.3129</v>
      </c>
      <c r="G4" s="351"/>
      <c r="H4" s="328"/>
      <c r="I4" s="358"/>
      <c r="J4" s="359"/>
    </row>
    <row r="5" spans="1:10" x14ac:dyDescent="0.25">
      <c r="A5" s="281" t="s">
        <v>4</v>
      </c>
      <c r="B5" s="281" t="s">
        <v>125</v>
      </c>
      <c r="C5" s="281"/>
      <c r="D5" s="281" t="s">
        <v>126</v>
      </c>
      <c r="E5" s="343" t="s">
        <v>4</v>
      </c>
      <c r="F5" s="343" t="s">
        <v>125</v>
      </c>
      <c r="G5" s="343"/>
      <c r="H5" s="343"/>
      <c r="I5" s="343" t="s">
        <v>126</v>
      </c>
      <c r="J5" s="340" t="s">
        <v>133</v>
      </c>
    </row>
    <row r="6" spans="1:10" x14ac:dyDescent="0.25">
      <c r="A6" s="281"/>
      <c r="B6" s="281"/>
      <c r="C6" s="281"/>
      <c r="D6" s="281"/>
      <c r="E6" s="344"/>
      <c r="F6" s="344"/>
      <c r="G6" s="344"/>
      <c r="H6" s="344"/>
      <c r="I6" s="344"/>
      <c r="J6" s="340"/>
    </row>
    <row r="7" spans="1:10" x14ac:dyDescent="0.25">
      <c r="A7" s="285">
        <v>1</v>
      </c>
      <c r="B7" s="348" t="s">
        <v>14</v>
      </c>
      <c r="C7" s="349"/>
      <c r="D7" s="321">
        <f>'PLANILHA ORÇAMENTÁRIA'!I10</f>
        <v>1745.94</v>
      </c>
      <c r="E7" s="345">
        <v>2</v>
      </c>
      <c r="F7" s="345" t="s">
        <v>148</v>
      </c>
      <c r="G7" s="345"/>
      <c r="H7" s="345"/>
      <c r="I7" s="346">
        <f>D9</f>
        <v>141350</v>
      </c>
      <c r="J7" s="334">
        <f>I7/H3</f>
        <v>0.66254769956735893</v>
      </c>
    </row>
    <row r="8" spans="1:10" ht="3" customHeight="1" x14ac:dyDescent="0.25">
      <c r="A8" s="286"/>
      <c r="B8" s="329"/>
      <c r="C8" s="330"/>
      <c r="D8" s="322"/>
      <c r="E8" s="345"/>
      <c r="F8" s="345"/>
      <c r="G8" s="345"/>
      <c r="H8" s="345"/>
      <c r="I8" s="346"/>
      <c r="J8" s="334"/>
    </row>
    <row r="9" spans="1:10" x14ac:dyDescent="0.25">
      <c r="A9" s="285">
        <v>2</v>
      </c>
      <c r="B9" s="348" t="s">
        <v>148</v>
      </c>
      <c r="C9" s="349"/>
      <c r="D9" s="320">
        <f>'PLANILHA ORÇAMENTÁRIA'!I15</f>
        <v>141350</v>
      </c>
      <c r="E9" s="347">
        <v>3</v>
      </c>
      <c r="F9" s="347" t="s">
        <v>150</v>
      </c>
      <c r="G9" s="347"/>
      <c r="H9" s="347"/>
      <c r="I9" s="342">
        <f>D11</f>
        <v>26930</v>
      </c>
      <c r="J9" s="335">
        <f>(I9+I11+I13)/H3</f>
        <v>0.31571557987360549</v>
      </c>
    </row>
    <row r="10" spans="1:10" ht="5.25" customHeight="1" x14ac:dyDescent="0.25">
      <c r="A10" s="286"/>
      <c r="B10" s="329"/>
      <c r="C10" s="330"/>
      <c r="D10" s="320"/>
      <c r="E10" s="347"/>
      <c r="F10" s="347"/>
      <c r="G10" s="347"/>
      <c r="H10" s="347"/>
      <c r="I10" s="342"/>
      <c r="J10" s="335"/>
    </row>
    <row r="11" spans="1:10" x14ac:dyDescent="0.25">
      <c r="A11" s="285">
        <v>3</v>
      </c>
      <c r="B11" s="348" t="s">
        <v>150</v>
      </c>
      <c r="C11" s="349"/>
      <c r="D11" s="320">
        <f>'PLANILHA ORÇAMENTÁRIA'!I21</f>
        <v>26930</v>
      </c>
      <c r="E11" s="347">
        <v>7</v>
      </c>
      <c r="F11" s="347" t="s">
        <v>183</v>
      </c>
      <c r="G11" s="347"/>
      <c r="H11" s="347"/>
      <c r="I11" s="342">
        <v>20451.36</v>
      </c>
      <c r="J11" s="335"/>
    </row>
    <row r="12" spans="1:10" ht="4.5" customHeight="1" x14ac:dyDescent="0.25">
      <c r="A12" s="286"/>
      <c r="B12" s="329"/>
      <c r="C12" s="330"/>
      <c r="D12" s="320"/>
      <c r="E12" s="347"/>
      <c r="F12" s="347"/>
      <c r="G12" s="347"/>
      <c r="H12" s="347"/>
      <c r="I12" s="342"/>
      <c r="J12" s="335"/>
    </row>
    <row r="13" spans="1:10" x14ac:dyDescent="0.25">
      <c r="A13" s="285">
        <v>4</v>
      </c>
      <c r="B13" s="348" t="s">
        <v>154</v>
      </c>
      <c r="C13" s="349"/>
      <c r="D13" s="320">
        <f>'PLANILHA ORÇAMENTÁRIA'!I29</f>
        <v>19974.39</v>
      </c>
      <c r="E13" s="347">
        <v>4</v>
      </c>
      <c r="F13" s="347" t="s">
        <v>154</v>
      </c>
      <c r="G13" s="347"/>
      <c r="H13" s="347"/>
      <c r="I13" s="342">
        <f>D13</f>
        <v>19974.39</v>
      </c>
      <c r="J13" s="335"/>
    </row>
    <row r="14" spans="1:10" ht="1.5" customHeight="1" x14ac:dyDescent="0.25">
      <c r="A14" s="286"/>
      <c r="B14" s="329"/>
      <c r="C14" s="330"/>
      <c r="D14" s="320"/>
      <c r="E14" s="347"/>
      <c r="F14" s="347"/>
      <c r="G14" s="347"/>
      <c r="H14" s="347"/>
      <c r="I14" s="342"/>
      <c r="J14" s="335"/>
    </row>
    <row r="15" spans="1:10" ht="1.5" customHeight="1" x14ac:dyDescent="0.25">
      <c r="A15" s="255"/>
      <c r="B15" s="256"/>
      <c r="C15" s="257"/>
      <c r="D15" s="244"/>
      <c r="E15" s="242"/>
      <c r="F15" s="242"/>
      <c r="G15" s="242"/>
      <c r="H15" s="242"/>
      <c r="I15" s="241"/>
      <c r="J15" s="238"/>
    </row>
    <row r="16" spans="1:10" ht="22.5" customHeight="1" x14ac:dyDescent="0.25">
      <c r="A16" s="259">
        <v>5</v>
      </c>
      <c r="B16" s="329" t="s">
        <v>177</v>
      </c>
      <c r="C16" s="330"/>
      <c r="D16" s="244">
        <f>'PLANILHA ORÇAMENTÁRIA'!I35</f>
        <v>883.44</v>
      </c>
      <c r="E16" s="240">
        <v>5</v>
      </c>
      <c r="F16" s="331" t="s">
        <v>177</v>
      </c>
      <c r="G16" s="332"/>
      <c r="H16" s="333"/>
      <c r="I16" s="243">
        <f>D18</f>
        <v>2008</v>
      </c>
      <c r="J16" s="239">
        <f>(SUM(I16))/H3</f>
        <v>9.4120677801999061E-3</v>
      </c>
    </row>
    <row r="17" spans="1:10" ht="22.5" customHeight="1" x14ac:dyDescent="0.25">
      <c r="A17" s="259">
        <v>7</v>
      </c>
      <c r="B17" s="338" t="s">
        <v>183</v>
      </c>
      <c r="C17" s="339"/>
      <c r="D17" s="264">
        <f>'PLANILHA ORÇAMENTÁRIA'!I41</f>
        <v>20451.36</v>
      </c>
      <c r="E17" s="265">
        <v>1</v>
      </c>
      <c r="F17" s="331" t="s">
        <v>14</v>
      </c>
      <c r="G17" s="332"/>
      <c r="H17" s="333"/>
      <c r="I17" s="263">
        <v>1745.94</v>
      </c>
      <c r="J17" s="262">
        <f>(SUM(I17))/H3</f>
        <v>8.183717938327801E-3</v>
      </c>
    </row>
    <row r="18" spans="1:10" x14ac:dyDescent="0.25">
      <c r="A18" s="285">
        <v>6</v>
      </c>
      <c r="B18" s="348" t="s">
        <v>156</v>
      </c>
      <c r="C18" s="349"/>
      <c r="D18" s="320">
        <f>'PLANILHA ORÇAMENTÁRIA'!I45</f>
        <v>2008</v>
      </c>
      <c r="E18" s="341">
        <v>6</v>
      </c>
      <c r="F18" s="341" t="s">
        <v>156</v>
      </c>
      <c r="G18" s="341"/>
      <c r="H18" s="341"/>
      <c r="I18" s="337">
        <f>D16</f>
        <v>883.44</v>
      </c>
      <c r="J18" s="336">
        <f>(SUM(I18:I20))/H3</f>
        <v>4.1409348405078714E-3</v>
      </c>
    </row>
    <row r="19" spans="1:10" ht="5.25" customHeight="1" x14ac:dyDescent="0.25">
      <c r="A19" s="286"/>
      <c r="B19" s="329"/>
      <c r="C19" s="330"/>
      <c r="D19" s="320"/>
      <c r="E19" s="341"/>
      <c r="F19" s="341"/>
      <c r="G19" s="341"/>
      <c r="H19" s="341"/>
      <c r="I19" s="337"/>
      <c r="J19" s="336"/>
    </row>
    <row r="20" spans="1:10" ht="0.75" customHeight="1" x14ac:dyDescent="0.25">
      <c r="A20" s="225"/>
      <c r="B20" s="329"/>
      <c r="C20" s="330"/>
      <c r="D20" s="228"/>
      <c r="E20" s="229"/>
      <c r="F20" s="341"/>
      <c r="G20" s="341"/>
      <c r="H20" s="341"/>
      <c r="I20" s="229"/>
      <c r="J20" s="336"/>
    </row>
    <row r="21" spans="1:10" x14ac:dyDescent="0.25">
      <c r="A21" s="167"/>
      <c r="B21" s="167"/>
      <c r="C21" s="167"/>
      <c r="D21" s="167"/>
      <c r="E21" s="9"/>
      <c r="F21" s="9"/>
      <c r="G21" s="9"/>
      <c r="H21" s="9"/>
      <c r="I21" s="178">
        <f>SUM(I7:I20)</f>
        <v>213343.13</v>
      </c>
      <c r="J21" s="234">
        <f>SUM(J7:J20)</f>
        <v>1</v>
      </c>
    </row>
    <row r="22" spans="1:10" x14ac:dyDescent="0.25">
      <c r="A22" s="9"/>
      <c r="B22" s="9"/>
      <c r="C22" s="9"/>
      <c r="D22" s="9"/>
      <c r="E22" s="9"/>
      <c r="F22" s="9"/>
      <c r="G22" s="9"/>
      <c r="H22" s="9"/>
      <c r="I22" s="9"/>
      <c r="J22" s="9"/>
    </row>
    <row r="23" spans="1:10" x14ac:dyDescent="0.25">
      <c r="A23" s="9"/>
      <c r="B23" s="9"/>
      <c r="C23" s="9"/>
      <c r="D23" s="9"/>
      <c r="E23" s="9"/>
      <c r="F23" s="9"/>
      <c r="G23" s="9"/>
      <c r="H23" s="9"/>
      <c r="I23" s="9"/>
      <c r="J23" s="9"/>
    </row>
    <row r="24" spans="1:10" x14ac:dyDescent="0.25">
      <c r="A24" s="9"/>
      <c r="B24" s="9"/>
      <c r="C24" s="9"/>
      <c r="D24" s="9"/>
      <c r="E24" s="9"/>
      <c r="F24" s="9"/>
      <c r="G24" s="9"/>
      <c r="H24" s="9"/>
      <c r="I24" s="9"/>
      <c r="J24" s="9"/>
    </row>
    <row r="25" spans="1:10" x14ac:dyDescent="0.25">
      <c r="A25" s="9"/>
      <c r="B25" s="9"/>
      <c r="C25" s="9"/>
      <c r="D25" s="9"/>
      <c r="E25" s="9"/>
      <c r="F25" s="9"/>
      <c r="G25" s="9"/>
      <c r="H25" s="9"/>
      <c r="I25" s="9"/>
      <c r="J25" s="9"/>
    </row>
    <row r="26" spans="1:10" x14ac:dyDescent="0.25">
      <c r="A26" s="9"/>
      <c r="B26" s="9"/>
      <c r="C26" s="9"/>
      <c r="D26" s="9"/>
      <c r="E26" s="9"/>
      <c r="F26" s="9"/>
      <c r="G26" s="9"/>
      <c r="H26" s="9"/>
      <c r="I26" s="9"/>
      <c r="J26" s="9"/>
    </row>
    <row r="27" spans="1:10" x14ac:dyDescent="0.25">
      <c r="A27" s="4"/>
      <c r="B27" s="4"/>
      <c r="C27" s="4"/>
      <c r="D27" s="4"/>
      <c r="E27" s="4"/>
      <c r="F27" s="4"/>
      <c r="G27" s="4"/>
      <c r="H27" s="4"/>
      <c r="I27" s="5"/>
      <c r="J27" s="5"/>
    </row>
    <row r="28" spans="1:10" ht="15.75" x14ac:dyDescent="0.25">
      <c r="A28" s="277"/>
      <c r="B28" s="277"/>
      <c r="C28" s="277"/>
      <c r="D28" s="4"/>
      <c r="E28" s="4"/>
      <c r="F28" s="6" t="s">
        <v>21</v>
      </c>
      <c r="G28" s="6"/>
      <c r="H28" s="6"/>
      <c r="I28" s="5"/>
      <c r="J28" s="5"/>
    </row>
    <row r="29" spans="1:10" ht="15.75" x14ac:dyDescent="0.25">
      <c r="A29" s="278" t="s">
        <v>22</v>
      </c>
      <c r="B29" s="278"/>
      <c r="C29" s="278"/>
      <c r="D29" s="6"/>
      <c r="E29" s="6"/>
      <c r="F29" s="270" t="e">
        <f>#REF!</f>
        <v>#REF!</v>
      </c>
      <c r="G29" s="270"/>
      <c r="H29" s="270"/>
      <c r="I29" s="6"/>
      <c r="J29" s="6"/>
    </row>
    <row r="30" spans="1:10" ht="15.75" x14ac:dyDescent="0.25">
      <c r="A30" s="269" t="s">
        <v>23</v>
      </c>
      <c r="B30" s="269"/>
      <c r="C30" s="269"/>
      <c r="D30" s="7"/>
      <c r="E30" s="7"/>
      <c r="F30" s="270" t="s">
        <v>24</v>
      </c>
      <c r="G30" s="270"/>
      <c r="H30" s="270"/>
      <c r="I30" s="7"/>
      <c r="J30" s="7"/>
    </row>
    <row r="31" spans="1:10" ht="15.75" x14ac:dyDescent="0.25">
      <c r="D31" s="6"/>
      <c r="E31" s="6"/>
      <c r="F31" s="6"/>
      <c r="G31" s="6"/>
      <c r="H31" s="6"/>
      <c r="I31" s="6"/>
      <c r="J31" s="6"/>
    </row>
  </sheetData>
  <mergeCells count="58">
    <mergeCell ref="A18:A19"/>
    <mergeCell ref="A9:A10"/>
    <mergeCell ref="B18:C19"/>
    <mergeCell ref="D9:D10"/>
    <mergeCell ref="A1:I1"/>
    <mergeCell ref="A2:D2"/>
    <mergeCell ref="A3:D3"/>
    <mergeCell ref="G3:G4"/>
    <mergeCell ref="A4:C4"/>
    <mergeCell ref="H2:J2"/>
    <mergeCell ref="H3:J4"/>
    <mergeCell ref="E5:E6"/>
    <mergeCell ref="E9:E10"/>
    <mergeCell ref="E13:E14"/>
    <mergeCell ref="D5:D6"/>
    <mergeCell ref="D7:D8"/>
    <mergeCell ref="A30:C30"/>
    <mergeCell ref="F30:H30"/>
    <mergeCell ref="B5:C6"/>
    <mergeCell ref="B7:C8"/>
    <mergeCell ref="B9:C10"/>
    <mergeCell ref="B11:C12"/>
    <mergeCell ref="B13:C14"/>
    <mergeCell ref="E11:E12"/>
    <mergeCell ref="A11:A12"/>
    <mergeCell ref="D18:D19"/>
    <mergeCell ref="A5:A6"/>
    <mergeCell ref="A7:A8"/>
    <mergeCell ref="A28:C28"/>
    <mergeCell ref="A29:C29"/>
    <mergeCell ref="F29:H29"/>
    <mergeCell ref="A13:A14"/>
    <mergeCell ref="J5:J6"/>
    <mergeCell ref="B20:C20"/>
    <mergeCell ref="F20:H20"/>
    <mergeCell ref="E18:E19"/>
    <mergeCell ref="I11:I12"/>
    <mergeCell ref="I5:I6"/>
    <mergeCell ref="E7:E8"/>
    <mergeCell ref="I7:I8"/>
    <mergeCell ref="F5:H6"/>
    <mergeCell ref="F7:H8"/>
    <mergeCell ref="F9:H10"/>
    <mergeCell ref="F11:H12"/>
    <mergeCell ref="I9:I10"/>
    <mergeCell ref="F13:H14"/>
    <mergeCell ref="F18:H19"/>
    <mergeCell ref="I13:I14"/>
    <mergeCell ref="B16:C16"/>
    <mergeCell ref="F16:H16"/>
    <mergeCell ref="J7:J8"/>
    <mergeCell ref="J9:J14"/>
    <mergeCell ref="J18:J20"/>
    <mergeCell ref="I18:I19"/>
    <mergeCell ref="D11:D12"/>
    <mergeCell ref="D13:D14"/>
    <mergeCell ref="B17:C17"/>
    <mergeCell ref="F17:H17"/>
  </mergeCells>
  <printOptions horizontalCentered="1"/>
  <pageMargins left="0.31496062992125984" right="0.31496062992125984" top="1.1417322834645669" bottom="0.74803149606299213" header="0.11811023622047245" footer="0.11811023622047245"/>
  <pageSetup paperSize="9" scale="84" fitToHeight="0" orientation="landscape" r:id="rId1"/>
  <headerFooter>
    <oddHeader>&amp;L                    
&amp;G&amp;C&amp;"-,Negrito"&amp;18
SECRETARIA MUNICIPAL DA EDUCAÇÃO
PREFEITURA DO MUNICÍPIO DE LAGES&amp;R&amp;G</oddHeader>
    <oddFooter>&amp;CCEIM SÂO PAULO&amp;R&amp;P/&amp;N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Layout" zoomScale="85" zoomScaleNormal="59" zoomScaleSheetLayoutView="90" zoomScalePageLayoutView="85" workbookViewId="0">
      <selection activeCell="D20" sqref="D20"/>
    </sheetView>
  </sheetViews>
  <sheetFormatPr defaultRowHeight="15" x14ac:dyDescent="0.25"/>
  <cols>
    <col min="1" max="1" width="8.140625" customWidth="1"/>
    <col min="2" max="2" width="17.7109375" customWidth="1"/>
    <col min="3" max="3" width="18.85546875" customWidth="1"/>
    <col min="4" max="4" width="70.7109375" customWidth="1"/>
    <col min="5" max="5" width="9.140625" bestFit="1" customWidth="1"/>
    <col min="6" max="6" width="9.5703125" bestFit="1" customWidth="1"/>
    <col min="7" max="7" width="15.7109375" customWidth="1"/>
    <col min="8" max="8" width="16.140625" customWidth="1"/>
    <col min="9" max="9" width="16" customWidth="1"/>
    <col min="11" max="11" width="14.28515625" bestFit="1" customWidth="1"/>
  </cols>
  <sheetData>
    <row r="1" spans="1:9" ht="20.25" x14ac:dyDescent="0.25">
      <c r="A1" s="294" t="s">
        <v>26</v>
      </c>
      <c r="B1" s="294"/>
      <c r="C1" s="294"/>
      <c r="D1" s="294"/>
      <c r="E1" s="294"/>
      <c r="F1" s="294"/>
      <c r="G1" s="294"/>
      <c r="H1" s="294"/>
      <c r="I1" s="294"/>
    </row>
    <row r="2" spans="1:9" ht="31.5" customHeight="1" x14ac:dyDescent="0.25">
      <c r="A2" s="295" t="e">
        <f>#REF!</f>
        <v>#REF!</v>
      </c>
      <c r="B2" s="296"/>
      <c r="C2" s="296"/>
      <c r="D2" s="297"/>
      <c r="E2" s="1" t="s">
        <v>1</v>
      </c>
      <c r="F2" s="1" t="s">
        <v>132</v>
      </c>
      <c r="G2" s="1" t="s">
        <v>2</v>
      </c>
      <c r="H2" s="298" t="s">
        <v>3</v>
      </c>
      <c r="I2" s="299"/>
    </row>
    <row r="3" spans="1:9" x14ac:dyDescent="0.25">
      <c r="A3" s="300" t="e">
        <f>#REF!</f>
        <v>#REF!</v>
      </c>
      <c r="B3" s="293"/>
      <c r="C3" s="293"/>
      <c r="D3" s="301"/>
      <c r="E3" s="160">
        <f>'PLANILHA ORÇAMENTÁRIA'!E3</f>
        <v>0.26590000000000003</v>
      </c>
      <c r="F3" s="160">
        <f>'PLANILHA ORÇAMENTÁRIA'!F3</f>
        <v>0.31290000000000001</v>
      </c>
      <c r="G3" s="302">
        <f>'PLANILHA ORÇAMENTÁRIA'!G3:G4</f>
        <v>45595</v>
      </c>
      <c r="H3" s="304">
        <f>'PLANILHA ORÇAMENTÁRIA'!H3:I4</f>
        <v>213343.13</v>
      </c>
      <c r="I3" s="305"/>
    </row>
    <row r="4" spans="1:9" x14ac:dyDescent="0.25">
      <c r="A4" s="365" t="e">
        <f>#REF!</f>
        <v>#REF!</v>
      </c>
      <c r="B4" s="365"/>
      <c r="C4" s="365"/>
      <c r="D4" s="365"/>
      <c r="E4" s="235">
        <f>'PLANILHA ORÇAMENTÁRIA'!E4</f>
        <v>1.2659</v>
      </c>
      <c r="F4" s="159">
        <f>'PLANILHA ORÇAMENTÁRIA'!F4</f>
        <v>1.3129</v>
      </c>
      <c r="G4" s="351"/>
      <c r="H4" s="364"/>
      <c r="I4" s="305"/>
    </row>
    <row r="5" spans="1:9" x14ac:dyDescent="0.25">
      <c r="A5" s="9"/>
      <c r="B5" s="9"/>
      <c r="C5" s="9"/>
      <c r="D5" s="9" t="s">
        <v>196</v>
      </c>
      <c r="E5" s="9"/>
      <c r="F5" s="9"/>
      <c r="G5" s="9"/>
      <c r="H5" s="9"/>
      <c r="I5" s="9"/>
    </row>
    <row r="6" spans="1:9" x14ac:dyDescent="0.25">
      <c r="A6" s="9"/>
      <c r="B6" s="9"/>
      <c r="C6" s="9"/>
      <c r="D6" s="9"/>
      <c r="E6" s="9"/>
      <c r="F6" s="9"/>
      <c r="G6" s="9"/>
      <c r="H6" s="9"/>
      <c r="I6" s="9"/>
    </row>
    <row r="7" spans="1:9" x14ac:dyDescent="0.25">
      <c r="A7" s="9"/>
      <c r="B7" s="9"/>
      <c r="C7" s="9"/>
      <c r="D7" s="9"/>
      <c r="E7" s="9"/>
      <c r="F7" s="9"/>
      <c r="G7" s="9"/>
      <c r="H7" s="9"/>
      <c r="I7" s="9"/>
    </row>
    <row r="8" spans="1:9" x14ac:dyDescent="0.25">
      <c r="A8" s="9"/>
      <c r="B8" s="9"/>
      <c r="C8" s="9"/>
      <c r="D8" s="9"/>
      <c r="E8" s="9"/>
      <c r="F8" s="9"/>
      <c r="G8" s="9"/>
      <c r="H8" s="9"/>
      <c r="I8" s="9"/>
    </row>
    <row r="9" spans="1:9" x14ac:dyDescent="0.25">
      <c r="A9" s="9"/>
      <c r="B9" s="9"/>
      <c r="C9" s="9"/>
      <c r="D9" s="360" t="s">
        <v>27</v>
      </c>
      <c r="E9" s="360"/>
      <c r="F9" s="361">
        <v>0.14030000000000001</v>
      </c>
      <c r="G9" s="361"/>
      <c r="H9" s="9"/>
      <c r="I9" s="9"/>
    </row>
    <row r="10" spans="1:9" x14ac:dyDescent="0.25">
      <c r="A10" s="9"/>
      <c r="B10" s="9"/>
      <c r="C10" s="9"/>
      <c r="D10" s="360" t="s">
        <v>28</v>
      </c>
      <c r="E10" s="360"/>
      <c r="F10" s="361">
        <v>9.4E-2</v>
      </c>
      <c r="G10" s="361"/>
      <c r="H10" s="9"/>
      <c r="I10" s="9"/>
    </row>
    <row r="11" spans="1:9" x14ac:dyDescent="0.25">
      <c r="A11" s="9"/>
      <c r="B11" s="9"/>
      <c r="C11" s="9"/>
      <c r="D11" s="360" t="s">
        <v>29</v>
      </c>
      <c r="E11" s="360"/>
      <c r="F11" s="361">
        <v>3.32E-2</v>
      </c>
      <c r="G11" s="361"/>
      <c r="H11" s="9"/>
      <c r="I11" s="9"/>
    </row>
    <row r="12" spans="1:9" x14ac:dyDescent="0.25">
      <c r="A12" s="9"/>
      <c r="B12" s="9"/>
      <c r="C12" s="9"/>
      <c r="D12" s="360" t="s">
        <v>182</v>
      </c>
      <c r="E12" s="360"/>
      <c r="F12" s="361">
        <v>4.5400000000000003E-2</v>
      </c>
      <c r="G12" s="361"/>
      <c r="H12" s="9"/>
      <c r="I12" s="9"/>
    </row>
    <row r="13" spans="1:9" x14ac:dyDescent="0.25">
      <c r="A13" s="9"/>
      <c r="B13" s="9"/>
      <c r="C13" s="9"/>
      <c r="D13" s="10"/>
      <c r="E13" s="11"/>
      <c r="F13" s="12"/>
      <c r="G13" s="13"/>
      <c r="H13" s="9"/>
      <c r="I13" s="9"/>
    </row>
    <row r="14" spans="1:9" x14ac:dyDescent="0.25">
      <c r="A14" s="9"/>
      <c r="B14" s="9"/>
      <c r="C14" s="9"/>
      <c r="D14" s="362" t="s">
        <v>134</v>
      </c>
      <c r="E14" s="362"/>
      <c r="F14" s="363">
        <f>SUM(F9:G12)</f>
        <v>0.31290000000000001</v>
      </c>
      <c r="G14" s="363"/>
      <c r="H14" s="9"/>
      <c r="I14" s="9"/>
    </row>
    <row r="15" spans="1:9" x14ac:dyDescent="0.25">
      <c r="A15" s="9"/>
      <c r="B15" s="9"/>
      <c r="C15" s="9"/>
      <c r="D15" s="362"/>
      <c r="E15" s="362"/>
      <c r="F15" s="363"/>
      <c r="G15" s="363"/>
      <c r="H15" s="9"/>
      <c r="I15" s="9"/>
    </row>
    <row r="16" spans="1:9" x14ac:dyDescent="0.25">
      <c r="A16" s="9"/>
      <c r="B16" s="9"/>
      <c r="C16" s="9"/>
      <c r="D16" s="9"/>
      <c r="E16" s="9"/>
      <c r="F16" s="9"/>
      <c r="G16" s="9"/>
      <c r="H16" s="9"/>
      <c r="I16" s="9"/>
    </row>
    <row r="17" spans="1:9" x14ac:dyDescent="0.25">
      <c r="A17" s="9"/>
      <c r="B17" s="9"/>
      <c r="C17" s="9"/>
      <c r="D17" s="9"/>
      <c r="E17" s="9"/>
      <c r="F17" s="9"/>
      <c r="G17" s="9"/>
      <c r="H17" s="9"/>
      <c r="I17" s="9"/>
    </row>
    <row r="18" spans="1:9" x14ac:dyDescent="0.25">
      <c r="A18" s="9"/>
      <c r="B18" s="9"/>
      <c r="C18" s="9"/>
      <c r="D18" s="9"/>
      <c r="E18" s="9"/>
      <c r="F18" s="9"/>
      <c r="G18" s="9"/>
      <c r="H18" s="9"/>
      <c r="I18" s="9"/>
    </row>
    <row r="19" spans="1:9" x14ac:dyDescent="0.25">
      <c r="A19" s="9"/>
      <c r="B19" s="9"/>
      <c r="C19" s="9"/>
      <c r="D19" s="9"/>
      <c r="E19" s="9"/>
      <c r="F19" s="9"/>
      <c r="G19" s="9"/>
      <c r="H19" s="9"/>
      <c r="I19" s="9"/>
    </row>
    <row r="20" spans="1:9" x14ac:dyDescent="0.25">
      <c r="A20" s="9"/>
      <c r="B20" s="9"/>
      <c r="C20" s="9"/>
      <c r="D20" s="9"/>
      <c r="E20" s="9"/>
      <c r="F20" s="9"/>
      <c r="G20" s="9"/>
      <c r="H20" s="9"/>
      <c r="I20" s="9"/>
    </row>
    <row r="21" spans="1:9" x14ac:dyDescent="0.25">
      <c r="A21" s="9"/>
      <c r="B21" s="9"/>
      <c r="C21" s="9"/>
      <c r="D21" s="9"/>
      <c r="E21" s="9"/>
      <c r="F21" s="9"/>
      <c r="G21" s="9"/>
      <c r="H21" s="9"/>
      <c r="I21" s="9"/>
    </row>
    <row r="22" spans="1:9" x14ac:dyDescent="0.25">
      <c r="A22" s="9"/>
      <c r="B22" s="9"/>
      <c r="C22" s="9"/>
      <c r="D22" s="9"/>
      <c r="E22" s="9"/>
      <c r="F22" s="9"/>
      <c r="G22" s="9"/>
      <c r="H22" s="9"/>
      <c r="I22" s="9"/>
    </row>
    <row r="23" spans="1:9" x14ac:dyDescent="0.25">
      <c r="A23" s="9"/>
      <c r="B23" s="9"/>
      <c r="C23" s="9"/>
      <c r="D23" s="9"/>
      <c r="E23" s="9"/>
      <c r="F23" s="9"/>
      <c r="G23" s="9"/>
      <c r="H23" s="9"/>
      <c r="I23" s="9"/>
    </row>
    <row r="24" spans="1:9" x14ac:dyDescent="0.25">
      <c r="A24" s="9"/>
      <c r="B24" s="9"/>
      <c r="C24" s="9"/>
      <c r="D24" s="9"/>
      <c r="E24" s="9"/>
      <c r="F24" s="9"/>
      <c r="G24" s="9"/>
      <c r="H24" s="9"/>
      <c r="I24" s="9"/>
    </row>
    <row r="25" spans="1:9" x14ac:dyDescent="0.25">
      <c r="A25" s="9"/>
      <c r="B25" s="9"/>
      <c r="C25" s="9"/>
      <c r="D25" s="9"/>
      <c r="E25" s="9"/>
      <c r="F25" s="9"/>
      <c r="G25" s="9"/>
      <c r="H25" s="9"/>
      <c r="I25" s="9"/>
    </row>
    <row r="26" spans="1:9" x14ac:dyDescent="0.25">
      <c r="A26" s="9"/>
      <c r="B26" s="9"/>
      <c r="C26" s="9"/>
      <c r="D26" s="9"/>
      <c r="E26" s="9"/>
      <c r="F26" s="9"/>
      <c r="G26" s="9"/>
      <c r="H26" s="9"/>
      <c r="I26" s="9"/>
    </row>
    <row r="27" spans="1:9" x14ac:dyDescent="0.25">
      <c r="A27" s="4"/>
      <c r="B27" s="4"/>
      <c r="C27" s="4"/>
      <c r="D27" s="4"/>
      <c r="E27" s="4"/>
      <c r="F27" s="4"/>
      <c r="G27" s="4"/>
      <c r="H27" s="4"/>
      <c r="I27" s="5"/>
    </row>
    <row r="28" spans="1:9" ht="15.75" x14ac:dyDescent="0.25">
      <c r="A28" s="277"/>
      <c r="B28" s="277"/>
      <c r="C28" s="277"/>
      <c r="D28" s="4"/>
      <c r="E28" s="4"/>
      <c r="F28" s="6" t="s">
        <v>21</v>
      </c>
      <c r="G28" s="6"/>
      <c r="H28" s="6"/>
      <c r="I28" s="5"/>
    </row>
    <row r="29" spans="1:9" ht="15.75" x14ac:dyDescent="0.25">
      <c r="A29" s="278" t="s">
        <v>22</v>
      </c>
      <c r="B29" s="278"/>
      <c r="C29" s="278"/>
      <c r="D29" s="6"/>
      <c r="E29" s="6"/>
      <c r="F29" s="270" t="e">
        <f>#REF!</f>
        <v>#REF!</v>
      </c>
      <c r="G29" s="270"/>
      <c r="H29" s="270"/>
      <c r="I29" s="6"/>
    </row>
    <row r="30" spans="1:9" ht="15.75" x14ac:dyDescent="0.25">
      <c r="A30" s="269" t="s">
        <v>23</v>
      </c>
      <c r="B30" s="269"/>
      <c r="C30" s="269"/>
      <c r="D30" s="7"/>
      <c r="E30" s="7"/>
      <c r="F30" s="270" t="s">
        <v>24</v>
      </c>
      <c r="G30" s="270"/>
      <c r="H30" s="270"/>
      <c r="I30" s="7"/>
    </row>
    <row r="31" spans="1:9" ht="15.75" x14ac:dyDescent="0.25">
      <c r="D31" s="6"/>
      <c r="E31" s="6"/>
      <c r="F31" s="6"/>
      <c r="G31" s="6"/>
      <c r="H31" s="6"/>
      <c r="I31" s="6"/>
    </row>
  </sheetData>
  <mergeCells count="22">
    <mergeCell ref="A1:I1"/>
    <mergeCell ref="A2:D2"/>
    <mergeCell ref="H2:I2"/>
    <mergeCell ref="A3:D3"/>
    <mergeCell ref="G3:G4"/>
    <mergeCell ref="H3:I4"/>
    <mergeCell ref="A4:D4"/>
    <mergeCell ref="A29:C29"/>
    <mergeCell ref="F29:H29"/>
    <mergeCell ref="A30:C30"/>
    <mergeCell ref="F30:H30"/>
    <mergeCell ref="D9:E9"/>
    <mergeCell ref="F9:G9"/>
    <mergeCell ref="D10:E10"/>
    <mergeCell ref="F10:G10"/>
    <mergeCell ref="D11:E11"/>
    <mergeCell ref="F11:G11"/>
    <mergeCell ref="D12:E12"/>
    <mergeCell ref="F12:G12"/>
    <mergeCell ref="D14:E15"/>
    <mergeCell ref="F14:G15"/>
    <mergeCell ref="A28:C28"/>
  </mergeCells>
  <printOptions horizontalCentered="1"/>
  <pageMargins left="0.31496062992125984" right="0.31496062992125984" top="1.1417322834645669" bottom="0.74803149606299213" header="0.11811023622047245" footer="0.11811023622047245"/>
  <pageSetup paperSize="9" scale="77" fitToHeight="0" orientation="landscape" r:id="rId1"/>
  <headerFooter>
    <oddHeader>&amp;L                    
&amp;G&amp;C&amp;"-,Negrito"&amp;18
SECRETARIA MUNICIPAL DA EDUCAÇÃO
PREFEITURA DO MUNICÍPIO DE LAGES&amp;R&amp;G</oddHeader>
    <oddFooter>&amp;CCEIM SÂO PAULO&amp;R&amp;P/&amp;N</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9"/>
  <sheetViews>
    <sheetView showGridLines="0" topLeftCell="A17" zoomScaleNormal="100" zoomScaleSheetLayoutView="100" workbookViewId="0">
      <selection activeCell="D51" sqref="D51"/>
    </sheetView>
  </sheetViews>
  <sheetFormatPr defaultColWidth="9.140625" defaultRowHeight="12.75" x14ac:dyDescent="0.2"/>
  <cols>
    <col min="1" max="2" width="9.42578125" style="33" customWidth="1"/>
    <col min="3" max="3" width="6.42578125" style="134" customWidth="1"/>
    <col min="4" max="4" width="48.85546875" style="33" customWidth="1"/>
    <col min="5" max="5" width="21.140625" style="33" customWidth="1"/>
    <col min="6" max="6" width="13" style="33" customWidth="1"/>
    <col min="7" max="7" width="11.5703125" style="33" customWidth="1"/>
    <col min="8" max="9" width="13.5703125" style="33" customWidth="1"/>
    <col min="10" max="10" width="9.140625" style="33"/>
    <col min="11" max="11" width="9.42578125" style="33" customWidth="1"/>
    <col min="12" max="12" width="14.85546875" style="33" customWidth="1"/>
    <col min="13" max="23" width="17.7109375" style="30" hidden="1" customWidth="1"/>
    <col min="24" max="24" width="17.7109375" style="33" customWidth="1"/>
    <col min="25" max="25" width="25" style="33" customWidth="1"/>
    <col min="26" max="26" width="11.5703125" style="33" customWidth="1"/>
    <col min="27" max="28" width="11" style="33" customWidth="1"/>
    <col min="29" max="29" width="8.42578125" style="33" customWidth="1"/>
    <col min="30" max="32" width="6.28515625" style="33" bestFit="1" customWidth="1"/>
    <col min="33" max="256" width="9.140625" style="33"/>
    <col min="257" max="258" width="9.42578125" style="33" customWidth="1"/>
    <col min="259" max="259" width="6.42578125" style="33" customWidth="1"/>
    <col min="260" max="260" width="48.85546875" style="33" customWidth="1"/>
    <col min="261" max="261" width="21.140625" style="33" customWidth="1"/>
    <col min="262" max="262" width="13" style="33" customWidth="1"/>
    <col min="263" max="263" width="11.5703125" style="33" customWidth="1"/>
    <col min="264" max="265" width="13.5703125" style="33" customWidth="1"/>
    <col min="266" max="266" width="9.140625" style="33"/>
    <col min="267" max="267" width="9.42578125" style="33" customWidth="1"/>
    <col min="268" max="268" width="14.85546875" style="33" customWidth="1"/>
    <col min="269" max="279" width="0" style="33" hidden="1" customWidth="1"/>
    <col min="280" max="280" width="17.7109375" style="33" customWidth="1"/>
    <col min="281" max="281" width="25" style="33" customWidth="1"/>
    <col min="282" max="282" width="11.5703125" style="33" customWidth="1"/>
    <col min="283" max="284" width="11" style="33" customWidth="1"/>
    <col min="285" max="285" width="8.42578125" style="33" customWidth="1"/>
    <col min="286" max="288" width="6.28515625" style="33" bestFit="1" customWidth="1"/>
    <col min="289" max="512" width="9.140625" style="33"/>
    <col min="513" max="514" width="9.42578125" style="33" customWidth="1"/>
    <col min="515" max="515" width="6.42578125" style="33" customWidth="1"/>
    <col min="516" max="516" width="48.85546875" style="33" customWidth="1"/>
    <col min="517" max="517" width="21.140625" style="33" customWidth="1"/>
    <col min="518" max="518" width="13" style="33" customWidth="1"/>
    <col min="519" max="519" width="11.5703125" style="33" customWidth="1"/>
    <col min="520" max="521" width="13.5703125" style="33" customWidth="1"/>
    <col min="522" max="522" width="9.140625" style="33"/>
    <col min="523" max="523" width="9.42578125" style="33" customWidth="1"/>
    <col min="524" max="524" width="14.85546875" style="33" customWidth="1"/>
    <col min="525" max="535" width="0" style="33" hidden="1" customWidth="1"/>
    <col min="536" max="536" width="17.7109375" style="33" customWidth="1"/>
    <col min="537" max="537" width="25" style="33" customWidth="1"/>
    <col min="538" max="538" width="11.5703125" style="33" customWidth="1"/>
    <col min="539" max="540" width="11" style="33" customWidth="1"/>
    <col min="541" max="541" width="8.42578125" style="33" customWidth="1"/>
    <col min="542" max="544" width="6.28515625" style="33" bestFit="1" customWidth="1"/>
    <col min="545" max="768" width="9.140625" style="33"/>
    <col min="769" max="770" width="9.42578125" style="33" customWidth="1"/>
    <col min="771" max="771" width="6.42578125" style="33" customWidth="1"/>
    <col min="772" max="772" width="48.85546875" style="33" customWidth="1"/>
    <col min="773" max="773" width="21.140625" style="33" customWidth="1"/>
    <col min="774" max="774" width="13" style="33" customWidth="1"/>
    <col min="775" max="775" width="11.5703125" style="33" customWidth="1"/>
    <col min="776" max="777" width="13.5703125" style="33" customWidth="1"/>
    <col min="778" max="778" width="9.140625" style="33"/>
    <col min="779" max="779" width="9.42578125" style="33" customWidth="1"/>
    <col min="780" max="780" width="14.85546875" style="33" customWidth="1"/>
    <col min="781" max="791" width="0" style="33" hidden="1" customWidth="1"/>
    <col min="792" max="792" width="17.7109375" style="33" customWidth="1"/>
    <col min="793" max="793" width="25" style="33" customWidth="1"/>
    <col min="794" max="794" width="11.5703125" style="33" customWidth="1"/>
    <col min="795" max="796" width="11" style="33" customWidth="1"/>
    <col min="797" max="797" width="8.42578125" style="33" customWidth="1"/>
    <col min="798" max="800" width="6.28515625" style="33" bestFit="1" customWidth="1"/>
    <col min="801" max="1024" width="9.140625" style="33"/>
    <col min="1025" max="1026" width="9.42578125" style="33" customWidth="1"/>
    <col min="1027" max="1027" width="6.42578125" style="33" customWidth="1"/>
    <col min="1028" max="1028" width="48.85546875" style="33" customWidth="1"/>
    <col min="1029" max="1029" width="21.140625" style="33" customWidth="1"/>
    <col min="1030" max="1030" width="13" style="33" customWidth="1"/>
    <col min="1031" max="1031" width="11.5703125" style="33" customWidth="1"/>
    <col min="1032" max="1033" width="13.5703125" style="33" customWidth="1"/>
    <col min="1034" max="1034" width="9.140625" style="33"/>
    <col min="1035" max="1035" width="9.42578125" style="33" customWidth="1"/>
    <col min="1036" max="1036" width="14.85546875" style="33" customWidth="1"/>
    <col min="1037" max="1047" width="0" style="33" hidden="1" customWidth="1"/>
    <col min="1048" max="1048" width="17.7109375" style="33" customWidth="1"/>
    <col min="1049" max="1049" width="25" style="33" customWidth="1"/>
    <col min="1050" max="1050" width="11.5703125" style="33" customWidth="1"/>
    <col min="1051" max="1052" width="11" style="33" customWidth="1"/>
    <col min="1053" max="1053" width="8.42578125" style="33" customWidth="1"/>
    <col min="1054" max="1056" width="6.28515625" style="33" bestFit="1" customWidth="1"/>
    <col min="1057" max="1280" width="9.140625" style="33"/>
    <col min="1281" max="1282" width="9.42578125" style="33" customWidth="1"/>
    <col min="1283" max="1283" width="6.42578125" style="33" customWidth="1"/>
    <col min="1284" max="1284" width="48.85546875" style="33" customWidth="1"/>
    <col min="1285" max="1285" width="21.140625" style="33" customWidth="1"/>
    <col min="1286" max="1286" width="13" style="33" customWidth="1"/>
    <col min="1287" max="1287" width="11.5703125" style="33" customWidth="1"/>
    <col min="1288" max="1289" width="13.5703125" style="33" customWidth="1"/>
    <col min="1290" max="1290" width="9.140625" style="33"/>
    <col min="1291" max="1291" width="9.42578125" style="33" customWidth="1"/>
    <col min="1292" max="1292" width="14.85546875" style="33" customWidth="1"/>
    <col min="1293" max="1303" width="0" style="33" hidden="1" customWidth="1"/>
    <col min="1304" max="1304" width="17.7109375" style="33" customWidth="1"/>
    <col min="1305" max="1305" width="25" style="33" customWidth="1"/>
    <col min="1306" max="1306" width="11.5703125" style="33" customWidth="1"/>
    <col min="1307" max="1308" width="11" style="33" customWidth="1"/>
    <col min="1309" max="1309" width="8.42578125" style="33" customWidth="1"/>
    <col min="1310" max="1312" width="6.28515625" style="33" bestFit="1" customWidth="1"/>
    <col min="1313" max="1536" width="9.140625" style="33"/>
    <col min="1537" max="1538" width="9.42578125" style="33" customWidth="1"/>
    <col min="1539" max="1539" width="6.42578125" style="33" customWidth="1"/>
    <col min="1540" max="1540" width="48.85546875" style="33" customWidth="1"/>
    <col min="1541" max="1541" width="21.140625" style="33" customWidth="1"/>
    <col min="1542" max="1542" width="13" style="33" customWidth="1"/>
    <col min="1543" max="1543" width="11.5703125" style="33" customWidth="1"/>
    <col min="1544" max="1545" width="13.5703125" style="33" customWidth="1"/>
    <col min="1546" max="1546" width="9.140625" style="33"/>
    <col min="1547" max="1547" width="9.42578125" style="33" customWidth="1"/>
    <col min="1548" max="1548" width="14.85546875" style="33" customWidth="1"/>
    <col min="1549" max="1559" width="0" style="33" hidden="1" customWidth="1"/>
    <col min="1560" max="1560" width="17.7109375" style="33" customWidth="1"/>
    <col min="1561" max="1561" width="25" style="33" customWidth="1"/>
    <col min="1562" max="1562" width="11.5703125" style="33" customWidth="1"/>
    <col min="1563" max="1564" width="11" style="33" customWidth="1"/>
    <col min="1565" max="1565" width="8.42578125" style="33" customWidth="1"/>
    <col min="1566" max="1568" width="6.28515625" style="33" bestFit="1" customWidth="1"/>
    <col min="1569" max="1792" width="9.140625" style="33"/>
    <col min="1793" max="1794" width="9.42578125" style="33" customWidth="1"/>
    <col min="1795" max="1795" width="6.42578125" style="33" customWidth="1"/>
    <col min="1796" max="1796" width="48.85546875" style="33" customWidth="1"/>
    <col min="1797" max="1797" width="21.140625" style="33" customWidth="1"/>
    <col min="1798" max="1798" width="13" style="33" customWidth="1"/>
    <col min="1799" max="1799" width="11.5703125" style="33" customWidth="1"/>
    <col min="1800" max="1801" width="13.5703125" style="33" customWidth="1"/>
    <col min="1802" max="1802" width="9.140625" style="33"/>
    <col min="1803" max="1803" width="9.42578125" style="33" customWidth="1"/>
    <col min="1804" max="1804" width="14.85546875" style="33" customWidth="1"/>
    <col min="1805" max="1815" width="0" style="33" hidden="1" customWidth="1"/>
    <col min="1816" max="1816" width="17.7109375" style="33" customWidth="1"/>
    <col min="1817" max="1817" width="25" style="33" customWidth="1"/>
    <col min="1818" max="1818" width="11.5703125" style="33" customWidth="1"/>
    <col min="1819" max="1820" width="11" style="33" customWidth="1"/>
    <col min="1821" max="1821" width="8.42578125" style="33" customWidth="1"/>
    <col min="1822" max="1824" width="6.28515625" style="33" bestFit="1" customWidth="1"/>
    <col min="1825" max="2048" width="9.140625" style="33"/>
    <col min="2049" max="2050" width="9.42578125" style="33" customWidth="1"/>
    <col min="2051" max="2051" width="6.42578125" style="33" customWidth="1"/>
    <col min="2052" max="2052" width="48.85546875" style="33" customWidth="1"/>
    <col min="2053" max="2053" width="21.140625" style="33" customWidth="1"/>
    <col min="2054" max="2054" width="13" style="33" customWidth="1"/>
    <col min="2055" max="2055" width="11.5703125" style="33" customWidth="1"/>
    <col min="2056" max="2057" width="13.5703125" style="33" customWidth="1"/>
    <col min="2058" max="2058" width="9.140625" style="33"/>
    <col min="2059" max="2059" width="9.42578125" style="33" customWidth="1"/>
    <col min="2060" max="2060" width="14.85546875" style="33" customWidth="1"/>
    <col min="2061" max="2071" width="0" style="33" hidden="1" customWidth="1"/>
    <col min="2072" max="2072" width="17.7109375" style="33" customWidth="1"/>
    <col min="2073" max="2073" width="25" style="33" customWidth="1"/>
    <col min="2074" max="2074" width="11.5703125" style="33" customWidth="1"/>
    <col min="2075" max="2076" width="11" style="33" customWidth="1"/>
    <col min="2077" max="2077" width="8.42578125" style="33" customWidth="1"/>
    <col min="2078" max="2080" width="6.28515625" style="33" bestFit="1" customWidth="1"/>
    <col min="2081" max="2304" width="9.140625" style="33"/>
    <col min="2305" max="2306" width="9.42578125" style="33" customWidth="1"/>
    <col min="2307" max="2307" width="6.42578125" style="33" customWidth="1"/>
    <col min="2308" max="2308" width="48.85546875" style="33" customWidth="1"/>
    <col min="2309" max="2309" width="21.140625" style="33" customWidth="1"/>
    <col min="2310" max="2310" width="13" style="33" customWidth="1"/>
    <col min="2311" max="2311" width="11.5703125" style="33" customWidth="1"/>
    <col min="2312" max="2313" width="13.5703125" style="33" customWidth="1"/>
    <col min="2314" max="2314" width="9.140625" style="33"/>
    <col min="2315" max="2315" width="9.42578125" style="33" customWidth="1"/>
    <col min="2316" max="2316" width="14.85546875" style="33" customWidth="1"/>
    <col min="2317" max="2327" width="0" style="33" hidden="1" customWidth="1"/>
    <col min="2328" max="2328" width="17.7109375" style="33" customWidth="1"/>
    <col min="2329" max="2329" width="25" style="33" customWidth="1"/>
    <col min="2330" max="2330" width="11.5703125" style="33" customWidth="1"/>
    <col min="2331" max="2332" width="11" style="33" customWidth="1"/>
    <col min="2333" max="2333" width="8.42578125" style="33" customWidth="1"/>
    <col min="2334" max="2336" width="6.28515625" style="33" bestFit="1" customWidth="1"/>
    <col min="2337" max="2560" width="9.140625" style="33"/>
    <col min="2561" max="2562" width="9.42578125" style="33" customWidth="1"/>
    <col min="2563" max="2563" width="6.42578125" style="33" customWidth="1"/>
    <col min="2564" max="2564" width="48.85546875" style="33" customWidth="1"/>
    <col min="2565" max="2565" width="21.140625" style="33" customWidth="1"/>
    <col min="2566" max="2566" width="13" style="33" customWidth="1"/>
    <col min="2567" max="2567" width="11.5703125" style="33" customWidth="1"/>
    <col min="2568" max="2569" width="13.5703125" style="33" customWidth="1"/>
    <col min="2570" max="2570" width="9.140625" style="33"/>
    <col min="2571" max="2571" width="9.42578125" style="33" customWidth="1"/>
    <col min="2572" max="2572" width="14.85546875" style="33" customWidth="1"/>
    <col min="2573" max="2583" width="0" style="33" hidden="1" customWidth="1"/>
    <col min="2584" max="2584" width="17.7109375" style="33" customWidth="1"/>
    <col min="2585" max="2585" width="25" style="33" customWidth="1"/>
    <col min="2586" max="2586" width="11.5703125" style="33" customWidth="1"/>
    <col min="2587" max="2588" width="11" style="33" customWidth="1"/>
    <col min="2589" max="2589" width="8.42578125" style="33" customWidth="1"/>
    <col min="2590" max="2592" width="6.28515625" style="33" bestFit="1" customWidth="1"/>
    <col min="2593" max="2816" width="9.140625" style="33"/>
    <col min="2817" max="2818" width="9.42578125" style="33" customWidth="1"/>
    <col min="2819" max="2819" width="6.42578125" style="33" customWidth="1"/>
    <col min="2820" max="2820" width="48.85546875" style="33" customWidth="1"/>
    <col min="2821" max="2821" width="21.140625" style="33" customWidth="1"/>
    <col min="2822" max="2822" width="13" style="33" customWidth="1"/>
    <col min="2823" max="2823" width="11.5703125" style="33" customWidth="1"/>
    <col min="2824" max="2825" width="13.5703125" style="33" customWidth="1"/>
    <col min="2826" max="2826" width="9.140625" style="33"/>
    <col min="2827" max="2827" width="9.42578125" style="33" customWidth="1"/>
    <col min="2828" max="2828" width="14.85546875" style="33" customWidth="1"/>
    <col min="2829" max="2839" width="0" style="33" hidden="1" customWidth="1"/>
    <col min="2840" max="2840" width="17.7109375" style="33" customWidth="1"/>
    <col min="2841" max="2841" width="25" style="33" customWidth="1"/>
    <col min="2842" max="2842" width="11.5703125" style="33" customWidth="1"/>
    <col min="2843" max="2844" width="11" style="33" customWidth="1"/>
    <col min="2845" max="2845" width="8.42578125" style="33" customWidth="1"/>
    <col min="2846" max="2848" width="6.28515625" style="33" bestFit="1" customWidth="1"/>
    <col min="2849" max="3072" width="9.140625" style="33"/>
    <col min="3073" max="3074" width="9.42578125" style="33" customWidth="1"/>
    <col min="3075" max="3075" width="6.42578125" style="33" customWidth="1"/>
    <col min="3076" max="3076" width="48.85546875" style="33" customWidth="1"/>
    <col min="3077" max="3077" width="21.140625" style="33" customWidth="1"/>
    <col min="3078" max="3078" width="13" style="33" customWidth="1"/>
    <col min="3079" max="3079" width="11.5703125" style="33" customWidth="1"/>
    <col min="3080" max="3081" width="13.5703125" style="33" customWidth="1"/>
    <col min="3082" max="3082" width="9.140625" style="33"/>
    <col min="3083" max="3083" width="9.42578125" style="33" customWidth="1"/>
    <col min="3084" max="3084" width="14.85546875" style="33" customWidth="1"/>
    <col min="3085" max="3095" width="0" style="33" hidden="1" customWidth="1"/>
    <col min="3096" max="3096" width="17.7109375" style="33" customWidth="1"/>
    <col min="3097" max="3097" width="25" style="33" customWidth="1"/>
    <col min="3098" max="3098" width="11.5703125" style="33" customWidth="1"/>
    <col min="3099" max="3100" width="11" style="33" customWidth="1"/>
    <col min="3101" max="3101" width="8.42578125" style="33" customWidth="1"/>
    <col min="3102" max="3104" width="6.28515625" style="33" bestFit="1" customWidth="1"/>
    <col min="3105" max="3328" width="9.140625" style="33"/>
    <col min="3329" max="3330" width="9.42578125" style="33" customWidth="1"/>
    <col min="3331" max="3331" width="6.42578125" style="33" customWidth="1"/>
    <col min="3332" max="3332" width="48.85546875" style="33" customWidth="1"/>
    <col min="3333" max="3333" width="21.140625" style="33" customWidth="1"/>
    <col min="3334" max="3334" width="13" style="33" customWidth="1"/>
    <col min="3335" max="3335" width="11.5703125" style="33" customWidth="1"/>
    <col min="3336" max="3337" width="13.5703125" style="33" customWidth="1"/>
    <col min="3338" max="3338" width="9.140625" style="33"/>
    <col min="3339" max="3339" width="9.42578125" style="33" customWidth="1"/>
    <col min="3340" max="3340" width="14.85546875" style="33" customWidth="1"/>
    <col min="3341" max="3351" width="0" style="33" hidden="1" customWidth="1"/>
    <col min="3352" max="3352" width="17.7109375" style="33" customWidth="1"/>
    <col min="3353" max="3353" width="25" style="33" customWidth="1"/>
    <col min="3354" max="3354" width="11.5703125" style="33" customWidth="1"/>
    <col min="3355" max="3356" width="11" style="33" customWidth="1"/>
    <col min="3357" max="3357" width="8.42578125" style="33" customWidth="1"/>
    <col min="3358" max="3360" width="6.28515625" style="33" bestFit="1" customWidth="1"/>
    <col min="3361" max="3584" width="9.140625" style="33"/>
    <col min="3585" max="3586" width="9.42578125" style="33" customWidth="1"/>
    <col min="3587" max="3587" width="6.42578125" style="33" customWidth="1"/>
    <col min="3588" max="3588" width="48.85546875" style="33" customWidth="1"/>
    <col min="3589" max="3589" width="21.140625" style="33" customWidth="1"/>
    <col min="3590" max="3590" width="13" style="33" customWidth="1"/>
    <col min="3591" max="3591" width="11.5703125" style="33" customWidth="1"/>
    <col min="3592" max="3593" width="13.5703125" style="33" customWidth="1"/>
    <col min="3594" max="3594" width="9.140625" style="33"/>
    <col min="3595" max="3595" width="9.42578125" style="33" customWidth="1"/>
    <col min="3596" max="3596" width="14.85546875" style="33" customWidth="1"/>
    <col min="3597" max="3607" width="0" style="33" hidden="1" customWidth="1"/>
    <col min="3608" max="3608" width="17.7109375" style="33" customWidth="1"/>
    <col min="3609" max="3609" width="25" style="33" customWidth="1"/>
    <col min="3610" max="3610" width="11.5703125" style="33" customWidth="1"/>
    <col min="3611" max="3612" width="11" style="33" customWidth="1"/>
    <col min="3613" max="3613" width="8.42578125" style="33" customWidth="1"/>
    <col min="3614" max="3616" width="6.28515625" style="33" bestFit="1" customWidth="1"/>
    <col min="3617" max="3840" width="9.140625" style="33"/>
    <col min="3841" max="3842" width="9.42578125" style="33" customWidth="1"/>
    <col min="3843" max="3843" width="6.42578125" style="33" customWidth="1"/>
    <col min="3844" max="3844" width="48.85546875" style="33" customWidth="1"/>
    <col min="3845" max="3845" width="21.140625" style="33" customWidth="1"/>
    <col min="3846" max="3846" width="13" style="33" customWidth="1"/>
    <col min="3847" max="3847" width="11.5703125" style="33" customWidth="1"/>
    <col min="3848" max="3849" width="13.5703125" style="33" customWidth="1"/>
    <col min="3850" max="3850" width="9.140625" style="33"/>
    <col min="3851" max="3851" width="9.42578125" style="33" customWidth="1"/>
    <col min="3852" max="3852" width="14.85546875" style="33" customWidth="1"/>
    <col min="3853" max="3863" width="0" style="33" hidden="1" customWidth="1"/>
    <col min="3864" max="3864" width="17.7109375" style="33" customWidth="1"/>
    <col min="3865" max="3865" width="25" style="33" customWidth="1"/>
    <col min="3866" max="3866" width="11.5703125" style="33" customWidth="1"/>
    <col min="3867" max="3868" width="11" style="33" customWidth="1"/>
    <col min="3869" max="3869" width="8.42578125" style="33" customWidth="1"/>
    <col min="3870" max="3872" width="6.28515625" style="33" bestFit="1" customWidth="1"/>
    <col min="3873" max="4096" width="9.140625" style="33"/>
    <col min="4097" max="4098" width="9.42578125" style="33" customWidth="1"/>
    <col min="4099" max="4099" width="6.42578125" style="33" customWidth="1"/>
    <col min="4100" max="4100" width="48.85546875" style="33" customWidth="1"/>
    <col min="4101" max="4101" width="21.140625" style="33" customWidth="1"/>
    <col min="4102" max="4102" width="13" style="33" customWidth="1"/>
    <col min="4103" max="4103" width="11.5703125" style="33" customWidth="1"/>
    <col min="4104" max="4105" width="13.5703125" style="33" customWidth="1"/>
    <col min="4106" max="4106" width="9.140625" style="33"/>
    <col min="4107" max="4107" width="9.42578125" style="33" customWidth="1"/>
    <col min="4108" max="4108" width="14.85546875" style="33" customWidth="1"/>
    <col min="4109" max="4119" width="0" style="33" hidden="1" customWidth="1"/>
    <col min="4120" max="4120" width="17.7109375" style="33" customWidth="1"/>
    <col min="4121" max="4121" width="25" style="33" customWidth="1"/>
    <col min="4122" max="4122" width="11.5703125" style="33" customWidth="1"/>
    <col min="4123" max="4124" width="11" style="33" customWidth="1"/>
    <col min="4125" max="4125" width="8.42578125" style="33" customWidth="1"/>
    <col min="4126" max="4128" width="6.28515625" style="33" bestFit="1" customWidth="1"/>
    <col min="4129" max="4352" width="9.140625" style="33"/>
    <col min="4353" max="4354" width="9.42578125" style="33" customWidth="1"/>
    <col min="4355" max="4355" width="6.42578125" style="33" customWidth="1"/>
    <col min="4356" max="4356" width="48.85546875" style="33" customWidth="1"/>
    <col min="4357" max="4357" width="21.140625" style="33" customWidth="1"/>
    <col min="4358" max="4358" width="13" style="33" customWidth="1"/>
    <col min="4359" max="4359" width="11.5703125" style="33" customWidth="1"/>
    <col min="4360" max="4361" width="13.5703125" style="33" customWidth="1"/>
    <col min="4362" max="4362" width="9.140625" style="33"/>
    <col min="4363" max="4363" width="9.42578125" style="33" customWidth="1"/>
    <col min="4364" max="4364" width="14.85546875" style="33" customWidth="1"/>
    <col min="4365" max="4375" width="0" style="33" hidden="1" customWidth="1"/>
    <col min="4376" max="4376" width="17.7109375" style="33" customWidth="1"/>
    <col min="4377" max="4377" width="25" style="33" customWidth="1"/>
    <col min="4378" max="4378" width="11.5703125" style="33" customWidth="1"/>
    <col min="4379" max="4380" width="11" style="33" customWidth="1"/>
    <col min="4381" max="4381" width="8.42578125" style="33" customWidth="1"/>
    <col min="4382" max="4384" width="6.28515625" style="33" bestFit="1" customWidth="1"/>
    <col min="4385" max="4608" width="9.140625" style="33"/>
    <col min="4609" max="4610" width="9.42578125" style="33" customWidth="1"/>
    <col min="4611" max="4611" width="6.42578125" style="33" customWidth="1"/>
    <col min="4612" max="4612" width="48.85546875" style="33" customWidth="1"/>
    <col min="4613" max="4613" width="21.140625" style="33" customWidth="1"/>
    <col min="4614" max="4614" width="13" style="33" customWidth="1"/>
    <col min="4615" max="4615" width="11.5703125" style="33" customWidth="1"/>
    <col min="4616" max="4617" width="13.5703125" style="33" customWidth="1"/>
    <col min="4618" max="4618" width="9.140625" style="33"/>
    <col min="4619" max="4619" width="9.42578125" style="33" customWidth="1"/>
    <col min="4620" max="4620" width="14.85546875" style="33" customWidth="1"/>
    <col min="4621" max="4631" width="0" style="33" hidden="1" customWidth="1"/>
    <col min="4632" max="4632" width="17.7109375" style="33" customWidth="1"/>
    <col min="4633" max="4633" width="25" style="33" customWidth="1"/>
    <col min="4634" max="4634" width="11.5703125" style="33" customWidth="1"/>
    <col min="4635" max="4636" width="11" style="33" customWidth="1"/>
    <col min="4637" max="4637" width="8.42578125" style="33" customWidth="1"/>
    <col min="4638" max="4640" width="6.28515625" style="33" bestFit="1" customWidth="1"/>
    <col min="4641" max="4864" width="9.140625" style="33"/>
    <col min="4865" max="4866" width="9.42578125" style="33" customWidth="1"/>
    <col min="4867" max="4867" width="6.42578125" style="33" customWidth="1"/>
    <col min="4868" max="4868" width="48.85546875" style="33" customWidth="1"/>
    <col min="4869" max="4869" width="21.140625" style="33" customWidth="1"/>
    <col min="4870" max="4870" width="13" style="33" customWidth="1"/>
    <col min="4871" max="4871" width="11.5703125" style="33" customWidth="1"/>
    <col min="4872" max="4873" width="13.5703125" style="33" customWidth="1"/>
    <col min="4874" max="4874" width="9.140625" style="33"/>
    <col min="4875" max="4875" width="9.42578125" style="33" customWidth="1"/>
    <col min="4876" max="4876" width="14.85546875" style="33" customWidth="1"/>
    <col min="4877" max="4887" width="0" style="33" hidden="1" customWidth="1"/>
    <col min="4888" max="4888" width="17.7109375" style="33" customWidth="1"/>
    <col min="4889" max="4889" width="25" style="33" customWidth="1"/>
    <col min="4890" max="4890" width="11.5703125" style="33" customWidth="1"/>
    <col min="4891" max="4892" width="11" style="33" customWidth="1"/>
    <col min="4893" max="4893" width="8.42578125" style="33" customWidth="1"/>
    <col min="4894" max="4896" width="6.28515625" style="33" bestFit="1" customWidth="1"/>
    <col min="4897" max="5120" width="9.140625" style="33"/>
    <col min="5121" max="5122" width="9.42578125" style="33" customWidth="1"/>
    <col min="5123" max="5123" width="6.42578125" style="33" customWidth="1"/>
    <col min="5124" max="5124" width="48.85546875" style="33" customWidth="1"/>
    <col min="5125" max="5125" width="21.140625" style="33" customWidth="1"/>
    <col min="5126" max="5126" width="13" style="33" customWidth="1"/>
    <col min="5127" max="5127" width="11.5703125" style="33" customWidth="1"/>
    <col min="5128" max="5129" width="13.5703125" style="33" customWidth="1"/>
    <col min="5130" max="5130" width="9.140625" style="33"/>
    <col min="5131" max="5131" width="9.42578125" style="33" customWidth="1"/>
    <col min="5132" max="5132" width="14.85546875" style="33" customWidth="1"/>
    <col min="5133" max="5143" width="0" style="33" hidden="1" customWidth="1"/>
    <col min="5144" max="5144" width="17.7109375" style="33" customWidth="1"/>
    <col min="5145" max="5145" width="25" style="33" customWidth="1"/>
    <col min="5146" max="5146" width="11.5703125" style="33" customWidth="1"/>
    <col min="5147" max="5148" width="11" style="33" customWidth="1"/>
    <col min="5149" max="5149" width="8.42578125" style="33" customWidth="1"/>
    <col min="5150" max="5152" width="6.28515625" style="33" bestFit="1" customWidth="1"/>
    <col min="5153" max="5376" width="9.140625" style="33"/>
    <col min="5377" max="5378" width="9.42578125" style="33" customWidth="1"/>
    <col min="5379" max="5379" width="6.42578125" style="33" customWidth="1"/>
    <col min="5380" max="5380" width="48.85546875" style="33" customWidth="1"/>
    <col min="5381" max="5381" width="21.140625" style="33" customWidth="1"/>
    <col min="5382" max="5382" width="13" style="33" customWidth="1"/>
    <col min="5383" max="5383" width="11.5703125" style="33" customWidth="1"/>
    <col min="5384" max="5385" width="13.5703125" style="33" customWidth="1"/>
    <col min="5386" max="5386" width="9.140625" style="33"/>
    <col min="5387" max="5387" width="9.42578125" style="33" customWidth="1"/>
    <col min="5388" max="5388" width="14.85546875" style="33" customWidth="1"/>
    <col min="5389" max="5399" width="0" style="33" hidden="1" customWidth="1"/>
    <col min="5400" max="5400" width="17.7109375" style="33" customWidth="1"/>
    <col min="5401" max="5401" width="25" style="33" customWidth="1"/>
    <col min="5402" max="5402" width="11.5703125" style="33" customWidth="1"/>
    <col min="5403" max="5404" width="11" style="33" customWidth="1"/>
    <col min="5405" max="5405" width="8.42578125" style="33" customWidth="1"/>
    <col min="5406" max="5408" width="6.28515625" style="33" bestFit="1" customWidth="1"/>
    <col min="5409" max="5632" width="9.140625" style="33"/>
    <col min="5633" max="5634" width="9.42578125" style="33" customWidth="1"/>
    <col min="5635" max="5635" width="6.42578125" style="33" customWidth="1"/>
    <col min="5636" max="5636" width="48.85546875" style="33" customWidth="1"/>
    <col min="5637" max="5637" width="21.140625" style="33" customWidth="1"/>
    <col min="5638" max="5638" width="13" style="33" customWidth="1"/>
    <col min="5639" max="5639" width="11.5703125" style="33" customWidth="1"/>
    <col min="5640" max="5641" width="13.5703125" style="33" customWidth="1"/>
    <col min="5642" max="5642" width="9.140625" style="33"/>
    <col min="5643" max="5643" width="9.42578125" style="33" customWidth="1"/>
    <col min="5644" max="5644" width="14.85546875" style="33" customWidth="1"/>
    <col min="5645" max="5655" width="0" style="33" hidden="1" customWidth="1"/>
    <col min="5656" max="5656" width="17.7109375" style="33" customWidth="1"/>
    <col min="5657" max="5657" width="25" style="33" customWidth="1"/>
    <col min="5658" max="5658" width="11.5703125" style="33" customWidth="1"/>
    <col min="5659" max="5660" width="11" style="33" customWidth="1"/>
    <col min="5661" max="5661" width="8.42578125" style="33" customWidth="1"/>
    <col min="5662" max="5664" width="6.28515625" style="33" bestFit="1" customWidth="1"/>
    <col min="5665" max="5888" width="9.140625" style="33"/>
    <col min="5889" max="5890" width="9.42578125" style="33" customWidth="1"/>
    <col min="5891" max="5891" width="6.42578125" style="33" customWidth="1"/>
    <col min="5892" max="5892" width="48.85546875" style="33" customWidth="1"/>
    <col min="5893" max="5893" width="21.140625" style="33" customWidth="1"/>
    <col min="5894" max="5894" width="13" style="33" customWidth="1"/>
    <col min="5895" max="5895" width="11.5703125" style="33" customWidth="1"/>
    <col min="5896" max="5897" width="13.5703125" style="33" customWidth="1"/>
    <col min="5898" max="5898" width="9.140625" style="33"/>
    <col min="5899" max="5899" width="9.42578125" style="33" customWidth="1"/>
    <col min="5900" max="5900" width="14.85546875" style="33" customWidth="1"/>
    <col min="5901" max="5911" width="0" style="33" hidden="1" customWidth="1"/>
    <col min="5912" max="5912" width="17.7109375" style="33" customWidth="1"/>
    <col min="5913" max="5913" width="25" style="33" customWidth="1"/>
    <col min="5914" max="5914" width="11.5703125" style="33" customWidth="1"/>
    <col min="5915" max="5916" width="11" style="33" customWidth="1"/>
    <col min="5917" max="5917" width="8.42578125" style="33" customWidth="1"/>
    <col min="5918" max="5920" width="6.28515625" style="33" bestFit="1" customWidth="1"/>
    <col min="5921" max="6144" width="9.140625" style="33"/>
    <col min="6145" max="6146" width="9.42578125" style="33" customWidth="1"/>
    <col min="6147" max="6147" width="6.42578125" style="33" customWidth="1"/>
    <col min="6148" max="6148" width="48.85546875" style="33" customWidth="1"/>
    <col min="6149" max="6149" width="21.140625" style="33" customWidth="1"/>
    <col min="6150" max="6150" width="13" style="33" customWidth="1"/>
    <col min="6151" max="6151" width="11.5703125" style="33" customWidth="1"/>
    <col min="6152" max="6153" width="13.5703125" style="33" customWidth="1"/>
    <col min="6154" max="6154" width="9.140625" style="33"/>
    <col min="6155" max="6155" width="9.42578125" style="33" customWidth="1"/>
    <col min="6156" max="6156" width="14.85546875" style="33" customWidth="1"/>
    <col min="6157" max="6167" width="0" style="33" hidden="1" customWidth="1"/>
    <col min="6168" max="6168" width="17.7109375" style="33" customWidth="1"/>
    <col min="6169" max="6169" width="25" style="33" customWidth="1"/>
    <col min="6170" max="6170" width="11.5703125" style="33" customWidth="1"/>
    <col min="6171" max="6172" width="11" style="33" customWidth="1"/>
    <col min="6173" max="6173" width="8.42578125" style="33" customWidth="1"/>
    <col min="6174" max="6176" width="6.28515625" style="33" bestFit="1" customWidth="1"/>
    <col min="6177" max="6400" width="9.140625" style="33"/>
    <col min="6401" max="6402" width="9.42578125" style="33" customWidth="1"/>
    <col min="6403" max="6403" width="6.42578125" style="33" customWidth="1"/>
    <col min="6404" max="6404" width="48.85546875" style="33" customWidth="1"/>
    <col min="6405" max="6405" width="21.140625" style="33" customWidth="1"/>
    <col min="6406" max="6406" width="13" style="33" customWidth="1"/>
    <col min="6407" max="6407" width="11.5703125" style="33" customWidth="1"/>
    <col min="6408" max="6409" width="13.5703125" style="33" customWidth="1"/>
    <col min="6410" max="6410" width="9.140625" style="33"/>
    <col min="6411" max="6411" width="9.42578125" style="33" customWidth="1"/>
    <col min="6412" max="6412" width="14.85546875" style="33" customWidth="1"/>
    <col min="6413" max="6423" width="0" style="33" hidden="1" customWidth="1"/>
    <col min="6424" max="6424" width="17.7109375" style="33" customWidth="1"/>
    <col min="6425" max="6425" width="25" style="33" customWidth="1"/>
    <col min="6426" max="6426" width="11.5703125" style="33" customWidth="1"/>
    <col min="6427" max="6428" width="11" style="33" customWidth="1"/>
    <col min="6429" max="6429" width="8.42578125" style="33" customWidth="1"/>
    <col min="6430" max="6432" width="6.28515625" style="33" bestFit="1" customWidth="1"/>
    <col min="6433" max="6656" width="9.140625" style="33"/>
    <col min="6657" max="6658" width="9.42578125" style="33" customWidth="1"/>
    <col min="6659" max="6659" width="6.42578125" style="33" customWidth="1"/>
    <col min="6660" max="6660" width="48.85546875" style="33" customWidth="1"/>
    <col min="6661" max="6661" width="21.140625" style="33" customWidth="1"/>
    <col min="6662" max="6662" width="13" style="33" customWidth="1"/>
    <col min="6663" max="6663" width="11.5703125" style="33" customWidth="1"/>
    <col min="6664" max="6665" width="13.5703125" style="33" customWidth="1"/>
    <col min="6666" max="6666" width="9.140625" style="33"/>
    <col min="6667" max="6667" width="9.42578125" style="33" customWidth="1"/>
    <col min="6668" max="6668" width="14.85546875" style="33" customWidth="1"/>
    <col min="6669" max="6679" width="0" style="33" hidden="1" customWidth="1"/>
    <col min="6680" max="6680" width="17.7109375" style="33" customWidth="1"/>
    <col min="6681" max="6681" width="25" style="33" customWidth="1"/>
    <col min="6682" max="6682" width="11.5703125" style="33" customWidth="1"/>
    <col min="6683" max="6684" width="11" style="33" customWidth="1"/>
    <col min="6685" max="6685" width="8.42578125" style="33" customWidth="1"/>
    <col min="6686" max="6688" width="6.28515625" style="33" bestFit="1" customWidth="1"/>
    <col min="6689" max="6912" width="9.140625" style="33"/>
    <col min="6913" max="6914" width="9.42578125" style="33" customWidth="1"/>
    <col min="6915" max="6915" width="6.42578125" style="33" customWidth="1"/>
    <col min="6916" max="6916" width="48.85546875" style="33" customWidth="1"/>
    <col min="6917" max="6917" width="21.140625" style="33" customWidth="1"/>
    <col min="6918" max="6918" width="13" style="33" customWidth="1"/>
    <col min="6919" max="6919" width="11.5703125" style="33" customWidth="1"/>
    <col min="6920" max="6921" width="13.5703125" style="33" customWidth="1"/>
    <col min="6922" max="6922" width="9.140625" style="33"/>
    <col min="6923" max="6923" width="9.42578125" style="33" customWidth="1"/>
    <col min="6924" max="6924" width="14.85546875" style="33" customWidth="1"/>
    <col min="6925" max="6935" width="0" style="33" hidden="1" customWidth="1"/>
    <col min="6936" max="6936" width="17.7109375" style="33" customWidth="1"/>
    <col min="6937" max="6937" width="25" style="33" customWidth="1"/>
    <col min="6938" max="6938" width="11.5703125" style="33" customWidth="1"/>
    <col min="6939" max="6940" width="11" style="33" customWidth="1"/>
    <col min="6941" max="6941" width="8.42578125" style="33" customWidth="1"/>
    <col min="6942" max="6944" width="6.28515625" style="33" bestFit="1" customWidth="1"/>
    <col min="6945" max="7168" width="9.140625" style="33"/>
    <col min="7169" max="7170" width="9.42578125" style="33" customWidth="1"/>
    <col min="7171" max="7171" width="6.42578125" style="33" customWidth="1"/>
    <col min="7172" max="7172" width="48.85546875" style="33" customWidth="1"/>
    <col min="7173" max="7173" width="21.140625" style="33" customWidth="1"/>
    <col min="7174" max="7174" width="13" style="33" customWidth="1"/>
    <col min="7175" max="7175" width="11.5703125" style="33" customWidth="1"/>
    <col min="7176" max="7177" width="13.5703125" style="33" customWidth="1"/>
    <col min="7178" max="7178" width="9.140625" style="33"/>
    <col min="7179" max="7179" width="9.42578125" style="33" customWidth="1"/>
    <col min="7180" max="7180" width="14.85546875" style="33" customWidth="1"/>
    <col min="7181" max="7191" width="0" style="33" hidden="1" customWidth="1"/>
    <col min="7192" max="7192" width="17.7109375" style="33" customWidth="1"/>
    <col min="7193" max="7193" width="25" style="33" customWidth="1"/>
    <col min="7194" max="7194" width="11.5703125" style="33" customWidth="1"/>
    <col min="7195" max="7196" width="11" style="33" customWidth="1"/>
    <col min="7197" max="7197" width="8.42578125" style="33" customWidth="1"/>
    <col min="7198" max="7200" width="6.28515625" style="33" bestFit="1" customWidth="1"/>
    <col min="7201" max="7424" width="9.140625" style="33"/>
    <col min="7425" max="7426" width="9.42578125" style="33" customWidth="1"/>
    <col min="7427" max="7427" width="6.42578125" style="33" customWidth="1"/>
    <col min="7428" max="7428" width="48.85546875" style="33" customWidth="1"/>
    <col min="7429" max="7429" width="21.140625" style="33" customWidth="1"/>
    <col min="7430" max="7430" width="13" style="33" customWidth="1"/>
    <col min="7431" max="7431" width="11.5703125" style="33" customWidth="1"/>
    <col min="7432" max="7433" width="13.5703125" style="33" customWidth="1"/>
    <col min="7434" max="7434" width="9.140625" style="33"/>
    <col min="7435" max="7435" width="9.42578125" style="33" customWidth="1"/>
    <col min="7436" max="7436" width="14.85546875" style="33" customWidth="1"/>
    <col min="7437" max="7447" width="0" style="33" hidden="1" customWidth="1"/>
    <col min="7448" max="7448" width="17.7109375" style="33" customWidth="1"/>
    <col min="7449" max="7449" width="25" style="33" customWidth="1"/>
    <col min="7450" max="7450" width="11.5703125" style="33" customWidth="1"/>
    <col min="7451" max="7452" width="11" style="33" customWidth="1"/>
    <col min="7453" max="7453" width="8.42578125" style="33" customWidth="1"/>
    <col min="7454" max="7456" width="6.28515625" style="33" bestFit="1" customWidth="1"/>
    <col min="7457" max="7680" width="9.140625" style="33"/>
    <col min="7681" max="7682" width="9.42578125" style="33" customWidth="1"/>
    <col min="7683" max="7683" width="6.42578125" style="33" customWidth="1"/>
    <col min="7684" max="7684" width="48.85546875" style="33" customWidth="1"/>
    <col min="7685" max="7685" width="21.140625" style="33" customWidth="1"/>
    <col min="7686" max="7686" width="13" style="33" customWidth="1"/>
    <col min="7687" max="7687" width="11.5703125" style="33" customWidth="1"/>
    <col min="7688" max="7689" width="13.5703125" style="33" customWidth="1"/>
    <col min="7690" max="7690" width="9.140625" style="33"/>
    <col min="7691" max="7691" width="9.42578125" style="33" customWidth="1"/>
    <col min="7692" max="7692" width="14.85546875" style="33" customWidth="1"/>
    <col min="7693" max="7703" width="0" style="33" hidden="1" customWidth="1"/>
    <col min="7704" max="7704" width="17.7109375" style="33" customWidth="1"/>
    <col min="7705" max="7705" width="25" style="33" customWidth="1"/>
    <col min="7706" max="7706" width="11.5703125" style="33" customWidth="1"/>
    <col min="7707" max="7708" width="11" style="33" customWidth="1"/>
    <col min="7709" max="7709" width="8.42578125" style="33" customWidth="1"/>
    <col min="7710" max="7712" width="6.28515625" style="33" bestFit="1" customWidth="1"/>
    <col min="7713" max="7936" width="9.140625" style="33"/>
    <col min="7937" max="7938" width="9.42578125" style="33" customWidth="1"/>
    <col min="7939" max="7939" width="6.42578125" style="33" customWidth="1"/>
    <col min="7940" max="7940" width="48.85546875" style="33" customWidth="1"/>
    <col min="7941" max="7941" width="21.140625" style="33" customWidth="1"/>
    <col min="7942" max="7942" width="13" style="33" customWidth="1"/>
    <col min="7943" max="7943" width="11.5703125" style="33" customWidth="1"/>
    <col min="7944" max="7945" width="13.5703125" style="33" customWidth="1"/>
    <col min="7946" max="7946" width="9.140625" style="33"/>
    <col min="7947" max="7947" width="9.42578125" style="33" customWidth="1"/>
    <col min="7948" max="7948" width="14.85546875" style="33" customWidth="1"/>
    <col min="7949" max="7959" width="0" style="33" hidden="1" customWidth="1"/>
    <col min="7960" max="7960" width="17.7109375" style="33" customWidth="1"/>
    <col min="7961" max="7961" width="25" style="33" customWidth="1"/>
    <col min="7962" max="7962" width="11.5703125" style="33" customWidth="1"/>
    <col min="7963" max="7964" width="11" style="33" customWidth="1"/>
    <col min="7965" max="7965" width="8.42578125" style="33" customWidth="1"/>
    <col min="7966" max="7968" width="6.28515625" style="33" bestFit="1" customWidth="1"/>
    <col min="7969" max="8192" width="9.140625" style="33"/>
    <col min="8193" max="8194" width="9.42578125" style="33" customWidth="1"/>
    <col min="8195" max="8195" width="6.42578125" style="33" customWidth="1"/>
    <col min="8196" max="8196" width="48.85546875" style="33" customWidth="1"/>
    <col min="8197" max="8197" width="21.140625" style="33" customWidth="1"/>
    <col min="8198" max="8198" width="13" style="33" customWidth="1"/>
    <col min="8199" max="8199" width="11.5703125" style="33" customWidth="1"/>
    <col min="8200" max="8201" width="13.5703125" style="33" customWidth="1"/>
    <col min="8202" max="8202" width="9.140625" style="33"/>
    <col min="8203" max="8203" width="9.42578125" style="33" customWidth="1"/>
    <col min="8204" max="8204" width="14.85546875" style="33" customWidth="1"/>
    <col min="8205" max="8215" width="0" style="33" hidden="1" customWidth="1"/>
    <col min="8216" max="8216" width="17.7109375" style="33" customWidth="1"/>
    <col min="8217" max="8217" width="25" style="33" customWidth="1"/>
    <col min="8218" max="8218" width="11.5703125" style="33" customWidth="1"/>
    <col min="8219" max="8220" width="11" style="33" customWidth="1"/>
    <col min="8221" max="8221" width="8.42578125" style="33" customWidth="1"/>
    <col min="8222" max="8224" width="6.28515625" style="33" bestFit="1" customWidth="1"/>
    <col min="8225" max="8448" width="9.140625" style="33"/>
    <col min="8449" max="8450" width="9.42578125" style="33" customWidth="1"/>
    <col min="8451" max="8451" width="6.42578125" style="33" customWidth="1"/>
    <col min="8452" max="8452" width="48.85546875" style="33" customWidth="1"/>
    <col min="8453" max="8453" width="21.140625" style="33" customWidth="1"/>
    <col min="8454" max="8454" width="13" style="33" customWidth="1"/>
    <col min="8455" max="8455" width="11.5703125" style="33" customWidth="1"/>
    <col min="8456" max="8457" width="13.5703125" style="33" customWidth="1"/>
    <col min="8458" max="8458" width="9.140625" style="33"/>
    <col min="8459" max="8459" width="9.42578125" style="33" customWidth="1"/>
    <col min="8460" max="8460" width="14.85546875" style="33" customWidth="1"/>
    <col min="8461" max="8471" width="0" style="33" hidden="1" customWidth="1"/>
    <col min="8472" max="8472" width="17.7109375" style="33" customWidth="1"/>
    <col min="8473" max="8473" width="25" style="33" customWidth="1"/>
    <col min="8474" max="8474" width="11.5703125" style="33" customWidth="1"/>
    <col min="8475" max="8476" width="11" style="33" customWidth="1"/>
    <col min="8477" max="8477" width="8.42578125" style="33" customWidth="1"/>
    <col min="8478" max="8480" width="6.28515625" style="33" bestFit="1" customWidth="1"/>
    <col min="8481" max="8704" width="9.140625" style="33"/>
    <col min="8705" max="8706" width="9.42578125" style="33" customWidth="1"/>
    <col min="8707" max="8707" width="6.42578125" style="33" customWidth="1"/>
    <col min="8708" max="8708" width="48.85546875" style="33" customWidth="1"/>
    <col min="8709" max="8709" width="21.140625" style="33" customWidth="1"/>
    <col min="8710" max="8710" width="13" style="33" customWidth="1"/>
    <col min="8711" max="8711" width="11.5703125" style="33" customWidth="1"/>
    <col min="8712" max="8713" width="13.5703125" style="33" customWidth="1"/>
    <col min="8714" max="8714" width="9.140625" style="33"/>
    <col min="8715" max="8715" width="9.42578125" style="33" customWidth="1"/>
    <col min="8716" max="8716" width="14.85546875" style="33" customWidth="1"/>
    <col min="8717" max="8727" width="0" style="33" hidden="1" customWidth="1"/>
    <col min="8728" max="8728" width="17.7109375" style="33" customWidth="1"/>
    <col min="8729" max="8729" width="25" style="33" customWidth="1"/>
    <col min="8730" max="8730" width="11.5703125" style="33" customWidth="1"/>
    <col min="8731" max="8732" width="11" style="33" customWidth="1"/>
    <col min="8733" max="8733" width="8.42578125" style="33" customWidth="1"/>
    <col min="8734" max="8736" width="6.28515625" style="33" bestFit="1" customWidth="1"/>
    <col min="8737" max="8960" width="9.140625" style="33"/>
    <col min="8961" max="8962" width="9.42578125" style="33" customWidth="1"/>
    <col min="8963" max="8963" width="6.42578125" style="33" customWidth="1"/>
    <col min="8964" max="8964" width="48.85546875" style="33" customWidth="1"/>
    <col min="8965" max="8965" width="21.140625" style="33" customWidth="1"/>
    <col min="8966" max="8966" width="13" style="33" customWidth="1"/>
    <col min="8967" max="8967" width="11.5703125" style="33" customWidth="1"/>
    <col min="8968" max="8969" width="13.5703125" style="33" customWidth="1"/>
    <col min="8970" max="8970" width="9.140625" style="33"/>
    <col min="8971" max="8971" width="9.42578125" style="33" customWidth="1"/>
    <col min="8972" max="8972" width="14.85546875" style="33" customWidth="1"/>
    <col min="8973" max="8983" width="0" style="33" hidden="1" customWidth="1"/>
    <col min="8984" max="8984" width="17.7109375" style="33" customWidth="1"/>
    <col min="8985" max="8985" width="25" style="33" customWidth="1"/>
    <col min="8986" max="8986" width="11.5703125" style="33" customWidth="1"/>
    <col min="8987" max="8988" width="11" style="33" customWidth="1"/>
    <col min="8989" max="8989" width="8.42578125" style="33" customWidth="1"/>
    <col min="8990" max="8992" width="6.28515625" style="33" bestFit="1" customWidth="1"/>
    <col min="8993" max="9216" width="9.140625" style="33"/>
    <col min="9217" max="9218" width="9.42578125" style="33" customWidth="1"/>
    <col min="9219" max="9219" width="6.42578125" style="33" customWidth="1"/>
    <col min="9220" max="9220" width="48.85546875" style="33" customWidth="1"/>
    <col min="9221" max="9221" width="21.140625" style="33" customWidth="1"/>
    <col min="9222" max="9222" width="13" style="33" customWidth="1"/>
    <col min="9223" max="9223" width="11.5703125" style="33" customWidth="1"/>
    <col min="9224" max="9225" width="13.5703125" style="33" customWidth="1"/>
    <col min="9226" max="9226" width="9.140625" style="33"/>
    <col min="9227" max="9227" width="9.42578125" style="33" customWidth="1"/>
    <col min="9228" max="9228" width="14.85546875" style="33" customWidth="1"/>
    <col min="9229" max="9239" width="0" style="33" hidden="1" customWidth="1"/>
    <col min="9240" max="9240" width="17.7109375" style="33" customWidth="1"/>
    <col min="9241" max="9241" width="25" style="33" customWidth="1"/>
    <col min="9242" max="9242" width="11.5703125" style="33" customWidth="1"/>
    <col min="9243" max="9244" width="11" style="33" customWidth="1"/>
    <col min="9245" max="9245" width="8.42578125" style="33" customWidth="1"/>
    <col min="9246" max="9248" width="6.28515625" style="33" bestFit="1" customWidth="1"/>
    <col min="9249" max="9472" width="9.140625" style="33"/>
    <col min="9473" max="9474" width="9.42578125" style="33" customWidth="1"/>
    <col min="9475" max="9475" width="6.42578125" style="33" customWidth="1"/>
    <col min="9476" max="9476" width="48.85546875" style="33" customWidth="1"/>
    <col min="9477" max="9477" width="21.140625" style="33" customWidth="1"/>
    <col min="9478" max="9478" width="13" style="33" customWidth="1"/>
    <col min="9479" max="9479" width="11.5703125" style="33" customWidth="1"/>
    <col min="9480" max="9481" width="13.5703125" style="33" customWidth="1"/>
    <col min="9482" max="9482" width="9.140625" style="33"/>
    <col min="9483" max="9483" width="9.42578125" style="33" customWidth="1"/>
    <col min="9484" max="9484" width="14.85546875" style="33" customWidth="1"/>
    <col min="9485" max="9495" width="0" style="33" hidden="1" customWidth="1"/>
    <col min="9496" max="9496" width="17.7109375" style="33" customWidth="1"/>
    <col min="9497" max="9497" width="25" style="33" customWidth="1"/>
    <col min="9498" max="9498" width="11.5703125" style="33" customWidth="1"/>
    <col min="9499" max="9500" width="11" style="33" customWidth="1"/>
    <col min="9501" max="9501" width="8.42578125" style="33" customWidth="1"/>
    <col min="9502" max="9504" width="6.28515625" style="33" bestFit="1" customWidth="1"/>
    <col min="9505" max="9728" width="9.140625" style="33"/>
    <col min="9729" max="9730" width="9.42578125" style="33" customWidth="1"/>
    <col min="9731" max="9731" width="6.42578125" style="33" customWidth="1"/>
    <col min="9732" max="9732" width="48.85546875" style="33" customWidth="1"/>
    <col min="9733" max="9733" width="21.140625" style="33" customWidth="1"/>
    <col min="9734" max="9734" width="13" style="33" customWidth="1"/>
    <col min="9735" max="9735" width="11.5703125" style="33" customWidth="1"/>
    <col min="9736" max="9737" width="13.5703125" style="33" customWidth="1"/>
    <col min="9738" max="9738" width="9.140625" style="33"/>
    <col min="9739" max="9739" width="9.42578125" style="33" customWidth="1"/>
    <col min="9740" max="9740" width="14.85546875" style="33" customWidth="1"/>
    <col min="9741" max="9751" width="0" style="33" hidden="1" customWidth="1"/>
    <col min="9752" max="9752" width="17.7109375" style="33" customWidth="1"/>
    <col min="9753" max="9753" width="25" style="33" customWidth="1"/>
    <col min="9754" max="9754" width="11.5703125" style="33" customWidth="1"/>
    <col min="9755" max="9756" width="11" style="33" customWidth="1"/>
    <col min="9757" max="9757" width="8.42578125" style="33" customWidth="1"/>
    <col min="9758" max="9760" width="6.28515625" style="33" bestFit="1" customWidth="1"/>
    <col min="9761" max="9984" width="9.140625" style="33"/>
    <col min="9985" max="9986" width="9.42578125" style="33" customWidth="1"/>
    <col min="9987" max="9987" width="6.42578125" style="33" customWidth="1"/>
    <col min="9988" max="9988" width="48.85546875" style="33" customWidth="1"/>
    <col min="9989" max="9989" width="21.140625" style="33" customWidth="1"/>
    <col min="9990" max="9990" width="13" style="33" customWidth="1"/>
    <col min="9991" max="9991" width="11.5703125" style="33" customWidth="1"/>
    <col min="9992" max="9993" width="13.5703125" style="33" customWidth="1"/>
    <col min="9994" max="9994" width="9.140625" style="33"/>
    <col min="9995" max="9995" width="9.42578125" style="33" customWidth="1"/>
    <col min="9996" max="9996" width="14.85546875" style="33" customWidth="1"/>
    <col min="9997" max="10007" width="0" style="33" hidden="1" customWidth="1"/>
    <col min="10008" max="10008" width="17.7109375" style="33" customWidth="1"/>
    <col min="10009" max="10009" width="25" style="33" customWidth="1"/>
    <col min="10010" max="10010" width="11.5703125" style="33" customWidth="1"/>
    <col min="10011" max="10012" width="11" style="33" customWidth="1"/>
    <col min="10013" max="10013" width="8.42578125" style="33" customWidth="1"/>
    <col min="10014" max="10016" width="6.28515625" style="33" bestFit="1" customWidth="1"/>
    <col min="10017" max="10240" width="9.140625" style="33"/>
    <col min="10241" max="10242" width="9.42578125" style="33" customWidth="1"/>
    <col min="10243" max="10243" width="6.42578125" style="33" customWidth="1"/>
    <col min="10244" max="10244" width="48.85546875" style="33" customWidth="1"/>
    <col min="10245" max="10245" width="21.140625" style="33" customWidth="1"/>
    <col min="10246" max="10246" width="13" style="33" customWidth="1"/>
    <col min="10247" max="10247" width="11.5703125" style="33" customWidth="1"/>
    <col min="10248" max="10249" width="13.5703125" style="33" customWidth="1"/>
    <col min="10250" max="10250" width="9.140625" style="33"/>
    <col min="10251" max="10251" width="9.42578125" style="33" customWidth="1"/>
    <col min="10252" max="10252" width="14.85546875" style="33" customWidth="1"/>
    <col min="10253" max="10263" width="0" style="33" hidden="1" customWidth="1"/>
    <col min="10264" max="10264" width="17.7109375" style="33" customWidth="1"/>
    <col min="10265" max="10265" width="25" style="33" customWidth="1"/>
    <col min="10266" max="10266" width="11.5703125" style="33" customWidth="1"/>
    <col min="10267" max="10268" width="11" style="33" customWidth="1"/>
    <col min="10269" max="10269" width="8.42578125" style="33" customWidth="1"/>
    <col min="10270" max="10272" width="6.28515625" style="33" bestFit="1" customWidth="1"/>
    <col min="10273" max="10496" width="9.140625" style="33"/>
    <col min="10497" max="10498" width="9.42578125" style="33" customWidth="1"/>
    <col min="10499" max="10499" width="6.42578125" style="33" customWidth="1"/>
    <col min="10500" max="10500" width="48.85546875" style="33" customWidth="1"/>
    <col min="10501" max="10501" width="21.140625" style="33" customWidth="1"/>
    <col min="10502" max="10502" width="13" style="33" customWidth="1"/>
    <col min="10503" max="10503" width="11.5703125" style="33" customWidth="1"/>
    <col min="10504" max="10505" width="13.5703125" style="33" customWidth="1"/>
    <col min="10506" max="10506" width="9.140625" style="33"/>
    <col min="10507" max="10507" width="9.42578125" style="33" customWidth="1"/>
    <col min="10508" max="10508" width="14.85546875" style="33" customWidth="1"/>
    <col min="10509" max="10519" width="0" style="33" hidden="1" customWidth="1"/>
    <col min="10520" max="10520" width="17.7109375" style="33" customWidth="1"/>
    <col min="10521" max="10521" width="25" style="33" customWidth="1"/>
    <col min="10522" max="10522" width="11.5703125" style="33" customWidth="1"/>
    <col min="10523" max="10524" width="11" style="33" customWidth="1"/>
    <col min="10525" max="10525" width="8.42578125" style="33" customWidth="1"/>
    <col min="10526" max="10528" width="6.28515625" style="33" bestFit="1" customWidth="1"/>
    <col min="10529" max="10752" width="9.140625" style="33"/>
    <col min="10753" max="10754" width="9.42578125" style="33" customWidth="1"/>
    <col min="10755" max="10755" width="6.42578125" style="33" customWidth="1"/>
    <col min="10756" max="10756" width="48.85546875" style="33" customWidth="1"/>
    <col min="10757" max="10757" width="21.140625" style="33" customWidth="1"/>
    <col min="10758" max="10758" width="13" style="33" customWidth="1"/>
    <col min="10759" max="10759" width="11.5703125" style="33" customWidth="1"/>
    <col min="10760" max="10761" width="13.5703125" style="33" customWidth="1"/>
    <col min="10762" max="10762" width="9.140625" style="33"/>
    <col min="10763" max="10763" width="9.42578125" style="33" customWidth="1"/>
    <col min="10764" max="10764" width="14.85546875" style="33" customWidth="1"/>
    <col min="10765" max="10775" width="0" style="33" hidden="1" customWidth="1"/>
    <col min="10776" max="10776" width="17.7109375" style="33" customWidth="1"/>
    <col min="10777" max="10777" width="25" style="33" customWidth="1"/>
    <col min="10778" max="10778" width="11.5703125" style="33" customWidth="1"/>
    <col min="10779" max="10780" width="11" style="33" customWidth="1"/>
    <col min="10781" max="10781" width="8.42578125" style="33" customWidth="1"/>
    <col min="10782" max="10784" width="6.28515625" style="33" bestFit="1" customWidth="1"/>
    <col min="10785" max="11008" width="9.140625" style="33"/>
    <col min="11009" max="11010" width="9.42578125" style="33" customWidth="1"/>
    <col min="11011" max="11011" width="6.42578125" style="33" customWidth="1"/>
    <col min="11012" max="11012" width="48.85546875" style="33" customWidth="1"/>
    <col min="11013" max="11013" width="21.140625" style="33" customWidth="1"/>
    <col min="11014" max="11014" width="13" style="33" customWidth="1"/>
    <col min="11015" max="11015" width="11.5703125" style="33" customWidth="1"/>
    <col min="11016" max="11017" width="13.5703125" style="33" customWidth="1"/>
    <col min="11018" max="11018" width="9.140625" style="33"/>
    <col min="11019" max="11019" width="9.42578125" style="33" customWidth="1"/>
    <col min="11020" max="11020" width="14.85546875" style="33" customWidth="1"/>
    <col min="11021" max="11031" width="0" style="33" hidden="1" customWidth="1"/>
    <col min="11032" max="11032" width="17.7109375" style="33" customWidth="1"/>
    <col min="11033" max="11033" width="25" style="33" customWidth="1"/>
    <col min="11034" max="11034" width="11.5703125" style="33" customWidth="1"/>
    <col min="11035" max="11036" width="11" style="33" customWidth="1"/>
    <col min="11037" max="11037" width="8.42578125" style="33" customWidth="1"/>
    <col min="11038" max="11040" width="6.28515625" style="33" bestFit="1" customWidth="1"/>
    <col min="11041" max="11264" width="9.140625" style="33"/>
    <col min="11265" max="11266" width="9.42578125" style="33" customWidth="1"/>
    <col min="11267" max="11267" width="6.42578125" style="33" customWidth="1"/>
    <col min="11268" max="11268" width="48.85546875" style="33" customWidth="1"/>
    <col min="11269" max="11269" width="21.140625" style="33" customWidth="1"/>
    <col min="11270" max="11270" width="13" style="33" customWidth="1"/>
    <col min="11271" max="11271" width="11.5703125" style="33" customWidth="1"/>
    <col min="11272" max="11273" width="13.5703125" style="33" customWidth="1"/>
    <col min="11274" max="11274" width="9.140625" style="33"/>
    <col min="11275" max="11275" width="9.42578125" style="33" customWidth="1"/>
    <col min="11276" max="11276" width="14.85546875" style="33" customWidth="1"/>
    <col min="11277" max="11287" width="0" style="33" hidden="1" customWidth="1"/>
    <col min="11288" max="11288" width="17.7109375" style="33" customWidth="1"/>
    <col min="11289" max="11289" width="25" style="33" customWidth="1"/>
    <col min="11290" max="11290" width="11.5703125" style="33" customWidth="1"/>
    <col min="11291" max="11292" width="11" style="33" customWidth="1"/>
    <col min="11293" max="11293" width="8.42578125" style="33" customWidth="1"/>
    <col min="11294" max="11296" width="6.28515625" style="33" bestFit="1" customWidth="1"/>
    <col min="11297" max="11520" width="9.140625" style="33"/>
    <col min="11521" max="11522" width="9.42578125" style="33" customWidth="1"/>
    <col min="11523" max="11523" width="6.42578125" style="33" customWidth="1"/>
    <col min="11524" max="11524" width="48.85546875" style="33" customWidth="1"/>
    <col min="11525" max="11525" width="21.140625" style="33" customWidth="1"/>
    <col min="11526" max="11526" width="13" style="33" customWidth="1"/>
    <col min="11527" max="11527" width="11.5703125" style="33" customWidth="1"/>
    <col min="11528" max="11529" width="13.5703125" style="33" customWidth="1"/>
    <col min="11530" max="11530" width="9.140625" style="33"/>
    <col min="11531" max="11531" width="9.42578125" style="33" customWidth="1"/>
    <col min="11532" max="11532" width="14.85546875" style="33" customWidth="1"/>
    <col min="11533" max="11543" width="0" style="33" hidden="1" customWidth="1"/>
    <col min="11544" max="11544" width="17.7109375" style="33" customWidth="1"/>
    <col min="11545" max="11545" width="25" style="33" customWidth="1"/>
    <col min="11546" max="11546" width="11.5703125" style="33" customWidth="1"/>
    <col min="11547" max="11548" width="11" style="33" customWidth="1"/>
    <col min="11549" max="11549" width="8.42578125" style="33" customWidth="1"/>
    <col min="11550" max="11552" width="6.28515625" style="33" bestFit="1" customWidth="1"/>
    <col min="11553" max="11776" width="9.140625" style="33"/>
    <col min="11777" max="11778" width="9.42578125" style="33" customWidth="1"/>
    <col min="11779" max="11779" width="6.42578125" style="33" customWidth="1"/>
    <col min="11780" max="11780" width="48.85546875" style="33" customWidth="1"/>
    <col min="11781" max="11781" width="21.140625" style="33" customWidth="1"/>
    <col min="11782" max="11782" width="13" style="33" customWidth="1"/>
    <col min="11783" max="11783" width="11.5703125" style="33" customWidth="1"/>
    <col min="11784" max="11785" width="13.5703125" style="33" customWidth="1"/>
    <col min="11786" max="11786" width="9.140625" style="33"/>
    <col min="11787" max="11787" width="9.42578125" style="33" customWidth="1"/>
    <col min="11788" max="11788" width="14.85546875" style="33" customWidth="1"/>
    <col min="11789" max="11799" width="0" style="33" hidden="1" customWidth="1"/>
    <col min="11800" max="11800" width="17.7109375" style="33" customWidth="1"/>
    <col min="11801" max="11801" width="25" style="33" customWidth="1"/>
    <col min="11802" max="11802" width="11.5703125" style="33" customWidth="1"/>
    <col min="11803" max="11804" width="11" style="33" customWidth="1"/>
    <col min="11805" max="11805" width="8.42578125" style="33" customWidth="1"/>
    <col min="11806" max="11808" width="6.28515625" style="33" bestFit="1" customWidth="1"/>
    <col min="11809" max="12032" width="9.140625" style="33"/>
    <col min="12033" max="12034" width="9.42578125" style="33" customWidth="1"/>
    <col min="12035" max="12035" width="6.42578125" style="33" customWidth="1"/>
    <col min="12036" max="12036" width="48.85546875" style="33" customWidth="1"/>
    <col min="12037" max="12037" width="21.140625" style="33" customWidth="1"/>
    <col min="12038" max="12038" width="13" style="33" customWidth="1"/>
    <col min="12039" max="12039" width="11.5703125" style="33" customWidth="1"/>
    <col min="12040" max="12041" width="13.5703125" style="33" customWidth="1"/>
    <col min="12042" max="12042" width="9.140625" style="33"/>
    <col min="12043" max="12043" width="9.42578125" style="33" customWidth="1"/>
    <col min="12044" max="12044" width="14.85546875" style="33" customWidth="1"/>
    <col min="12045" max="12055" width="0" style="33" hidden="1" customWidth="1"/>
    <col min="12056" max="12056" width="17.7109375" style="33" customWidth="1"/>
    <col min="12057" max="12057" width="25" style="33" customWidth="1"/>
    <col min="12058" max="12058" width="11.5703125" style="33" customWidth="1"/>
    <col min="12059" max="12060" width="11" style="33" customWidth="1"/>
    <col min="12061" max="12061" width="8.42578125" style="33" customWidth="1"/>
    <col min="12062" max="12064" width="6.28515625" style="33" bestFit="1" customWidth="1"/>
    <col min="12065" max="12288" width="9.140625" style="33"/>
    <col min="12289" max="12290" width="9.42578125" style="33" customWidth="1"/>
    <col min="12291" max="12291" width="6.42578125" style="33" customWidth="1"/>
    <col min="12292" max="12292" width="48.85546875" style="33" customWidth="1"/>
    <col min="12293" max="12293" width="21.140625" style="33" customWidth="1"/>
    <col min="12294" max="12294" width="13" style="33" customWidth="1"/>
    <col min="12295" max="12295" width="11.5703125" style="33" customWidth="1"/>
    <col min="12296" max="12297" width="13.5703125" style="33" customWidth="1"/>
    <col min="12298" max="12298" width="9.140625" style="33"/>
    <col min="12299" max="12299" width="9.42578125" style="33" customWidth="1"/>
    <col min="12300" max="12300" width="14.85546875" style="33" customWidth="1"/>
    <col min="12301" max="12311" width="0" style="33" hidden="1" customWidth="1"/>
    <col min="12312" max="12312" width="17.7109375" style="33" customWidth="1"/>
    <col min="12313" max="12313" width="25" style="33" customWidth="1"/>
    <col min="12314" max="12314" width="11.5703125" style="33" customWidth="1"/>
    <col min="12315" max="12316" width="11" style="33" customWidth="1"/>
    <col min="12317" max="12317" width="8.42578125" style="33" customWidth="1"/>
    <col min="12318" max="12320" width="6.28515625" style="33" bestFit="1" customWidth="1"/>
    <col min="12321" max="12544" width="9.140625" style="33"/>
    <col min="12545" max="12546" width="9.42578125" style="33" customWidth="1"/>
    <col min="12547" max="12547" width="6.42578125" style="33" customWidth="1"/>
    <col min="12548" max="12548" width="48.85546875" style="33" customWidth="1"/>
    <col min="12549" max="12549" width="21.140625" style="33" customWidth="1"/>
    <col min="12550" max="12550" width="13" style="33" customWidth="1"/>
    <col min="12551" max="12551" width="11.5703125" style="33" customWidth="1"/>
    <col min="12552" max="12553" width="13.5703125" style="33" customWidth="1"/>
    <col min="12554" max="12554" width="9.140625" style="33"/>
    <col min="12555" max="12555" width="9.42578125" style="33" customWidth="1"/>
    <col min="12556" max="12556" width="14.85546875" style="33" customWidth="1"/>
    <col min="12557" max="12567" width="0" style="33" hidden="1" customWidth="1"/>
    <col min="12568" max="12568" width="17.7109375" style="33" customWidth="1"/>
    <col min="12569" max="12569" width="25" style="33" customWidth="1"/>
    <col min="12570" max="12570" width="11.5703125" style="33" customWidth="1"/>
    <col min="12571" max="12572" width="11" style="33" customWidth="1"/>
    <col min="12573" max="12573" width="8.42578125" style="33" customWidth="1"/>
    <col min="12574" max="12576" width="6.28515625" style="33" bestFit="1" customWidth="1"/>
    <col min="12577" max="12800" width="9.140625" style="33"/>
    <col min="12801" max="12802" width="9.42578125" style="33" customWidth="1"/>
    <col min="12803" max="12803" width="6.42578125" style="33" customWidth="1"/>
    <col min="12804" max="12804" width="48.85546875" style="33" customWidth="1"/>
    <col min="12805" max="12805" width="21.140625" style="33" customWidth="1"/>
    <col min="12806" max="12806" width="13" style="33" customWidth="1"/>
    <col min="12807" max="12807" width="11.5703125" style="33" customWidth="1"/>
    <col min="12808" max="12809" width="13.5703125" style="33" customWidth="1"/>
    <col min="12810" max="12810" width="9.140625" style="33"/>
    <col min="12811" max="12811" width="9.42578125" style="33" customWidth="1"/>
    <col min="12812" max="12812" width="14.85546875" style="33" customWidth="1"/>
    <col min="12813" max="12823" width="0" style="33" hidden="1" customWidth="1"/>
    <col min="12824" max="12824" width="17.7109375" style="33" customWidth="1"/>
    <col min="12825" max="12825" width="25" style="33" customWidth="1"/>
    <col min="12826" max="12826" width="11.5703125" style="33" customWidth="1"/>
    <col min="12827" max="12828" width="11" style="33" customWidth="1"/>
    <col min="12829" max="12829" width="8.42578125" style="33" customWidth="1"/>
    <col min="12830" max="12832" width="6.28515625" style="33" bestFit="1" customWidth="1"/>
    <col min="12833" max="13056" width="9.140625" style="33"/>
    <col min="13057" max="13058" width="9.42578125" style="33" customWidth="1"/>
    <col min="13059" max="13059" width="6.42578125" style="33" customWidth="1"/>
    <col min="13060" max="13060" width="48.85546875" style="33" customWidth="1"/>
    <col min="13061" max="13061" width="21.140625" style="33" customWidth="1"/>
    <col min="13062" max="13062" width="13" style="33" customWidth="1"/>
    <col min="13063" max="13063" width="11.5703125" style="33" customWidth="1"/>
    <col min="13064" max="13065" width="13.5703125" style="33" customWidth="1"/>
    <col min="13066" max="13066" width="9.140625" style="33"/>
    <col min="13067" max="13067" width="9.42578125" style="33" customWidth="1"/>
    <col min="13068" max="13068" width="14.85546875" style="33" customWidth="1"/>
    <col min="13069" max="13079" width="0" style="33" hidden="1" customWidth="1"/>
    <col min="13080" max="13080" width="17.7109375" style="33" customWidth="1"/>
    <col min="13081" max="13081" width="25" style="33" customWidth="1"/>
    <col min="13082" max="13082" width="11.5703125" style="33" customWidth="1"/>
    <col min="13083" max="13084" width="11" style="33" customWidth="1"/>
    <col min="13085" max="13085" width="8.42578125" style="33" customWidth="1"/>
    <col min="13086" max="13088" width="6.28515625" style="33" bestFit="1" customWidth="1"/>
    <col min="13089" max="13312" width="9.140625" style="33"/>
    <col min="13313" max="13314" width="9.42578125" style="33" customWidth="1"/>
    <col min="13315" max="13315" width="6.42578125" style="33" customWidth="1"/>
    <col min="13316" max="13316" width="48.85546875" style="33" customWidth="1"/>
    <col min="13317" max="13317" width="21.140625" style="33" customWidth="1"/>
    <col min="13318" max="13318" width="13" style="33" customWidth="1"/>
    <col min="13319" max="13319" width="11.5703125" style="33" customWidth="1"/>
    <col min="13320" max="13321" width="13.5703125" style="33" customWidth="1"/>
    <col min="13322" max="13322" width="9.140625" style="33"/>
    <col min="13323" max="13323" width="9.42578125" style="33" customWidth="1"/>
    <col min="13324" max="13324" width="14.85546875" style="33" customWidth="1"/>
    <col min="13325" max="13335" width="0" style="33" hidden="1" customWidth="1"/>
    <col min="13336" max="13336" width="17.7109375" style="33" customWidth="1"/>
    <col min="13337" max="13337" width="25" style="33" customWidth="1"/>
    <col min="13338" max="13338" width="11.5703125" style="33" customWidth="1"/>
    <col min="13339" max="13340" width="11" style="33" customWidth="1"/>
    <col min="13341" max="13341" width="8.42578125" style="33" customWidth="1"/>
    <col min="13342" max="13344" width="6.28515625" style="33" bestFit="1" customWidth="1"/>
    <col min="13345" max="13568" width="9.140625" style="33"/>
    <col min="13569" max="13570" width="9.42578125" style="33" customWidth="1"/>
    <col min="13571" max="13571" width="6.42578125" style="33" customWidth="1"/>
    <col min="13572" max="13572" width="48.85546875" style="33" customWidth="1"/>
    <col min="13573" max="13573" width="21.140625" style="33" customWidth="1"/>
    <col min="13574" max="13574" width="13" style="33" customWidth="1"/>
    <col min="13575" max="13575" width="11.5703125" style="33" customWidth="1"/>
    <col min="13576" max="13577" width="13.5703125" style="33" customWidth="1"/>
    <col min="13578" max="13578" width="9.140625" style="33"/>
    <col min="13579" max="13579" width="9.42578125" style="33" customWidth="1"/>
    <col min="13580" max="13580" width="14.85546875" style="33" customWidth="1"/>
    <col min="13581" max="13591" width="0" style="33" hidden="1" customWidth="1"/>
    <col min="13592" max="13592" width="17.7109375" style="33" customWidth="1"/>
    <col min="13593" max="13593" width="25" style="33" customWidth="1"/>
    <col min="13594" max="13594" width="11.5703125" style="33" customWidth="1"/>
    <col min="13595" max="13596" width="11" style="33" customWidth="1"/>
    <col min="13597" max="13597" width="8.42578125" style="33" customWidth="1"/>
    <col min="13598" max="13600" width="6.28515625" style="33" bestFit="1" customWidth="1"/>
    <col min="13601" max="13824" width="9.140625" style="33"/>
    <col min="13825" max="13826" width="9.42578125" style="33" customWidth="1"/>
    <col min="13827" max="13827" width="6.42578125" style="33" customWidth="1"/>
    <col min="13828" max="13828" width="48.85546875" style="33" customWidth="1"/>
    <col min="13829" max="13829" width="21.140625" style="33" customWidth="1"/>
    <col min="13830" max="13830" width="13" style="33" customWidth="1"/>
    <col min="13831" max="13831" width="11.5703125" style="33" customWidth="1"/>
    <col min="13832" max="13833" width="13.5703125" style="33" customWidth="1"/>
    <col min="13834" max="13834" width="9.140625" style="33"/>
    <col min="13835" max="13835" width="9.42578125" style="33" customWidth="1"/>
    <col min="13836" max="13836" width="14.85546875" style="33" customWidth="1"/>
    <col min="13837" max="13847" width="0" style="33" hidden="1" customWidth="1"/>
    <col min="13848" max="13848" width="17.7109375" style="33" customWidth="1"/>
    <col min="13849" max="13849" width="25" style="33" customWidth="1"/>
    <col min="13850" max="13850" width="11.5703125" style="33" customWidth="1"/>
    <col min="13851" max="13852" width="11" style="33" customWidth="1"/>
    <col min="13853" max="13853" width="8.42578125" style="33" customWidth="1"/>
    <col min="13854" max="13856" width="6.28515625" style="33" bestFit="1" customWidth="1"/>
    <col min="13857" max="14080" width="9.140625" style="33"/>
    <col min="14081" max="14082" width="9.42578125" style="33" customWidth="1"/>
    <col min="14083" max="14083" width="6.42578125" style="33" customWidth="1"/>
    <col min="14084" max="14084" width="48.85546875" style="33" customWidth="1"/>
    <col min="14085" max="14085" width="21.140625" style="33" customWidth="1"/>
    <col min="14086" max="14086" width="13" style="33" customWidth="1"/>
    <col min="14087" max="14087" width="11.5703125" style="33" customWidth="1"/>
    <col min="14088" max="14089" width="13.5703125" style="33" customWidth="1"/>
    <col min="14090" max="14090" width="9.140625" style="33"/>
    <col min="14091" max="14091" width="9.42578125" style="33" customWidth="1"/>
    <col min="14092" max="14092" width="14.85546875" style="33" customWidth="1"/>
    <col min="14093" max="14103" width="0" style="33" hidden="1" customWidth="1"/>
    <col min="14104" max="14104" width="17.7109375" style="33" customWidth="1"/>
    <col min="14105" max="14105" width="25" style="33" customWidth="1"/>
    <col min="14106" max="14106" width="11.5703125" style="33" customWidth="1"/>
    <col min="14107" max="14108" width="11" style="33" customWidth="1"/>
    <col min="14109" max="14109" width="8.42578125" style="33" customWidth="1"/>
    <col min="14110" max="14112" width="6.28515625" style="33" bestFit="1" customWidth="1"/>
    <col min="14113" max="14336" width="9.140625" style="33"/>
    <col min="14337" max="14338" width="9.42578125" style="33" customWidth="1"/>
    <col min="14339" max="14339" width="6.42578125" style="33" customWidth="1"/>
    <col min="14340" max="14340" width="48.85546875" style="33" customWidth="1"/>
    <col min="14341" max="14341" width="21.140625" style="33" customWidth="1"/>
    <col min="14342" max="14342" width="13" style="33" customWidth="1"/>
    <col min="14343" max="14343" width="11.5703125" style="33" customWidth="1"/>
    <col min="14344" max="14345" width="13.5703125" style="33" customWidth="1"/>
    <col min="14346" max="14346" width="9.140625" style="33"/>
    <col min="14347" max="14347" width="9.42578125" style="33" customWidth="1"/>
    <col min="14348" max="14348" width="14.85546875" style="33" customWidth="1"/>
    <col min="14349" max="14359" width="0" style="33" hidden="1" customWidth="1"/>
    <col min="14360" max="14360" width="17.7109375" style="33" customWidth="1"/>
    <col min="14361" max="14361" width="25" style="33" customWidth="1"/>
    <col min="14362" max="14362" width="11.5703125" style="33" customWidth="1"/>
    <col min="14363" max="14364" width="11" style="33" customWidth="1"/>
    <col min="14365" max="14365" width="8.42578125" style="33" customWidth="1"/>
    <col min="14366" max="14368" width="6.28515625" style="33" bestFit="1" customWidth="1"/>
    <col min="14369" max="14592" width="9.140625" style="33"/>
    <col min="14593" max="14594" width="9.42578125" style="33" customWidth="1"/>
    <col min="14595" max="14595" width="6.42578125" style="33" customWidth="1"/>
    <col min="14596" max="14596" width="48.85546875" style="33" customWidth="1"/>
    <col min="14597" max="14597" width="21.140625" style="33" customWidth="1"/>
    <col min="14598" max="14598" width="13" style="33" customWidth="1"/>
    <col min="14599" max="14599" width="11.5703125" style="33" customWidth="1"/>
    <col min="14600" max="14601" width="13.5703125" style="33" customWidth="1"/>
    <col min="14602" max="14602" width="9.140625" style="33"/>
    <col min="14603" max="14603" width="9.42578125" style="33" customWidth="1"/>
    <col min="14604" max="14604" width="14.85546875" style="33" customWidth="1"/>
    <col min="14605" max="14615" width="0" style="33" hidden="1" customWidth="1"/>
    <col min="14616" max="14616" width="17.7109375" style="33" customWidth="1"/>
    <col min="14617" max="14617" width="25" style="33" customWidth="1"/>
    <col min="14618" max="14618" width="11.5703125" style="33" customWidth="1"/>
    <col min="14619" max="14620" width="11" style="33" customWidth="1"/>
    <col min="14621" max="14621" width="8.42578125" style="33" customWidth="1"/>
    <col min="14622" max="14624" width="6.28515625" style="33" bestFit="1" customWidth="1"/>
    <col min="14625" max="14848" width="9.140625" style="33"/>
    <col min="14849" max="14850" width="9.42578125" style="33" customWidth="1"/>
    <col min="14851" max="14851" width="6.42578125" style="33" customWidth="1"/>
    <col min="14852" max="14852" width="48.85546875" style="33" customWidth="1"/>
    <col min="14853" max="14853" width="21.140625" style="33" customWidth="1"/>
    <col min="14854" max="14854" width="13" style="33" customWidth="1"/>
    <col min="14855" max="14855" width="11.5703125" style="33" customWidth="1"/>
    <col min="14856" max="14857" width="13.5703125" style="33" customWidth="1"/>
    <col min="14858" max="14858" width="9.140625" style="33"/>
    <col min="14859" max="14859" width="9.42578125" style="33" customWidth="1"/>
    <col min="14860" max="14860" width="14.85546875" style="33" customWidth="1"/>
    <col min="14861" max="14871" width="0" style="33" hidden="1" customWidth="1"/>
    <col min="14872" max="14872" width="17.7109375" style="33" customWidth="1"/>
    <col min="14873" max="14873" width="25" style="33" customWidth="1"/>
    <col min="14874" max="14874" width="11.5703125" style="33" customWidth="1"/>
    <col min="14875" max="14876" width="11" style="33" customWidth="1"/>
    <col min="14877" max="14877" width="8.42578125" style="33" customWidth="1"/>
    <col min="14878" max="14880" width="6.28515625" style="33" bestFit="1" customWidth="1"/>
    <col min="14881" max="15104" width="9.140625" style="33"/>
    <col min="15105" max="15106" width="9.42578125" style="33" customWidth="1"/>
    <col min="15107" max="15107" width="6.42578125" style="33" customWidth="1"/>
    <col min="15108" max="15108" width="48.85546875" style="33" customWidth="1"/>
    <col min="15109" max="15109" width="21.140625" style="33" customWidth="1"/>
    <col min="15110" max="15110" width="13" style="33" customWidth="1"/>
    <col min="15111" max="15111" width="11.5703125" style="33" customWidth="1"/>
    <col min="15112" max="15113" width="13.5703125" style="33" customWidth="1"/>
    <col min="15114" max="15114" width="9.140625" style="33"/>
    <col min="15115" max="15115" width="9.42578125" style="33" customWidth="1"/>
    <col min="15116" max="15116" width="14.85546875" style="33" customWidth="1"/>
    <col min="15117" max="15127" width="0" style="33" hidden="1" customWidth="1"/>
    <col min="15128" max="15128" width="17.7109375" style="33" customWidth="1"/>
    <col min="15129" max="15129" width="25" style="33" customWidth="1"/>
    <col min="15130" max="15130" width="11.5703125" style="33" customWidth="1"/>
    <col min="15131" max="15132" width="11" style="33" customWidth="1"/>
    <col min="15133" max="15133" width="8.42578125" style="33" customWidth="1"/>
    <col min="15134" max="15136" width="6.28515625" style="33" bestFit="1" customWidth="1"/>
    <col min="15137" max="15360" width="9.140625" style="33"/>
    <col min="15361" max="15362" width="9.42578125" style="33" customWidth="1"/>
    <col min="15363" max="15363" width="6.42578125" style="33" customWidth="1"/>
    <col min="15364" max="15364" width="48.85546875" style="33" customWidth="1"/>
    <col min="15365" max="15365" width="21.140625" style="33" customWidth="1"/>
    <col min="15366" max="15366" width="13" style="33" customWidth="1"/>
    <col min="15367" max="15367" width="11.5703125" style="33" customWidth="1"/>
    <col min="15368" max="15369" width="13.5703125" style="33" customWidth="1"/>
    <col min="15370" max="15370" width="9.140625" style="33"/>
    <col min="15371" max="15371" width="9.42578125" style="33" customWidth="1"/>
    <col min="15372" max="15372" width="14.85546875" style="33" customWidth="1"/>
    <col min="15373" max="15383" width="0" style="33" hidden="1" customWidth="1"/>
    <col min="15384" max="15384" width="17.7109375" style="33" customWidth="1"/>
    <col min="15385" max="15385" width="25" style="33" customWidth="1"/>
    <col min="15386" max="15386" width="11.5703125" style="33" customWidth="1"/>
    <col min="15387" max="15388" width="11" style="33" customWidth="1"/>
    <col min="15389" max="15389" width="8.42578125" style="33" customWidth="1"/>
    <col min="15390" max="15392" width="6.28515625" style="33" bestFit="1" customWidth="1"/>
    <col min="15393" max="15616" width="9.140625" style="33"/>
    <col min="15617" max="15618" width="9.42578125" style="33" customWidth="1"/>
    <col min="15619" max="15619" width="6.42578125" style="33" customWidth="1"/>
    <col min="15620" max="15620" width="48.85546875" style="33" customWidth="1"/>
    <col min="15621" max="15621" width="21.140625" style="33" customWidth="1"/>
    <col min="15622" max="15622" width="13" style="33" customWidth="1"/>
    <col min="15623" max="15623" width="11.5703125" style="33" customWidth="1"/>
    <col min="15624" max="15625" width="13.5703125" style="33" customWidth="1"/>
    <col min="15626" max="15626" width="9.140625" style="33"/>
    <col min="15627" max="15627" width="9.42578125" style="33" customWidth="1"/>
    <col min="15628" max="15628" width="14.85546875" style="33" customWidth="1"/>
    <col min="15629" max="15639" width="0" style="33" hidden="1" customWidth="1"/>
    <col min="15640" max="15640" width="17.7109375" style="33" customWidth="1"/>
    <col min="15641" max="15641" width="25" style="33" customWidth="1"/>
    <col min="15642" max="15642" width="11.5703125" style="33" customWidth="1"/>
    <col min="15643" max="15644" width="11" style="33" customWidth="1"/>
    <col min="15645" max="15645" width="8.42578125" style="33" customWidth="1"/>
    <col min="15646" max="15648" width="6.28515625" style="33" bestFit="1" customWidth="1"/>
    <col min="15649" max="15872" width="9.140625" style="33"/>
    <col min="15873" max="15874" width="9.42578125" style="33" customWidth="1"/>
    <col min="15875" max="15875" width="6.42578125" style="33" customWidth="1"/>
    <col min="15876" max="15876" width="48.85546875" style="33" customWidth="1"/>
    <col min="15877" max="15877" width="21.140625" style="33" customWidth="1"/>
    <col min="15878" max="15878" width="13" style="33" customWidth="1"/>
    <col min="15879" max="15879" width="11.5703125" style="33" customWidth="1"/>
    <col min="15880" max="15881" width="13.5703125" style="33" customWidth="1"/>
    <col min="15882" max="15882" width="9.140625" style="33"/>
    <col min="15883" max="15883" width="9.42578125" style="33" customWidth="1"/>
    <col min="15884" max="15884" width="14.85546875" style="33" customWidth="1"/>
    <col min="15885" max="15895" width="0" style="33" hidden="1" customWidth="1"/>
    <col min="15896" max="15896" width="17.7109375" style="33" customWidth="1"/>
    <col min="15897" max="15897" width="25" style="33" customWidth="1"/>
    <col min="15898" max="15898" width="11.5703125" style="33" customWidth="1"/>
    <col min="15899" max="15900" width="11" style="33" customWidth="1"/>
    <col min="15901" max="15901" width="8.42578125" style="33" customWidth="1"/>
    <col min="15902" max="15904" width="6.28515625" style="33" bestFit="1" customWidth="1"/>
    <col min="15905" max="16128" width="9.140625" style="33"/>
    <col min="16129" max="16130" width="9.42578125" style="33" customWidth="1"/>
    <col min="16131" max="16131" width="6.42578125" style="33" customWidth="1"/>
    <col min="16132" max="16132" width="48.85546875" style="33" customWidth="1"/>
    <col min="16133" max="16133" width="21.140625" style="33" customWidth="1"/>
    <col min="16134" max="16134" width="13" style="33" customWidth="1"/>
    <col min="16135" max="16135" width="11.5703125" style="33" customWidth="1"/>
    <col min="16136" max="16137" width="13.5703125" style="33" customWidth="1"/>
    <col min="16138" max="16138" width="9.140625" style="33"/>
    <col min="16139" max="16139" width="9.42578125" style="33" customWidth="1"/>
    <col min="16140" max="16140" width="14.85546875" style="33" customWidth="1"/>
    <col min="16141" max="16151" width="0" style="33" hidden="1" customWidth="1"/>
    <col min="16152" max="16152" width="17.7109375" style="33" customWidth="1"/>
    <col min="16153" max="16153" width="25" style="33" customWidth="1"/>
    <col min="16154" max="16154" width="11.5703125" style="33" customWidth="1"/>
    <col min="16155" max="16156" width="11" style="33" customWidth="1"/>
    <col min="16157" max="16157" width="8.42578125" style="33" customWidth="1"/>
    <col min="16158" max="16160" width="6.28515625" style="33" bestFit="1" customWidth="1"/>
    <col min="16161" max="16384" width="9.140625" style="33"/>
  </cols>
  <sheetData>
    <row r="1" spans="1:23" s="20" customFormat="1" x14ac:dyDescent="0.2">
      <c r="A1" s="14"/>
      <c r="B1" s="14"/>
      <c r="C1" s="15"/>
      <c r="D1" s="16" t="s">
        <v>30</v>
      </c>
      <c r="E1" s="16" t="s">
        <v>31</v>
      </c>
      <c r="F1" s="17"/>
      <c r="G1" s="17"/>
      <c r="H1" s="18" t="s">
        <v>32</v>
      </c>
      <c r="I1" s="14"/>
      <c r="J1" s="19"/>
      <c r="K1" s="19"/>
      <c r="L1" s="19"/>
      <c r="M1" s="19"/>
      <c r="N1" s="19"/>
      <c r="O1" s="19"/>
      <c r="P1" s="19"/>
      <c r="Q1" s="19"/>
      <c r="R1" s="19"/>
      <c r="S1" s="19"/>
      <c r="T1" s="19"/>
      <c r="U1" s="19"/>
      <c r="V1" s="19"/>
      <c r="W1" s="19"/>
    </row>
    <row r="2" spans="1:23" s="20" customFormat="1" ht="14.25" x14ac:dyDescent="0.2">
      <c r="A2" s="14"/>
      <c r="B2" s="14"/>
      <c r="C2" s="15"/>
      <c r="D2" s="21" t="s">
        <v>33</v>
      </c>
      <c r="E2" s="417"/>
      <c r="F2" s="418"/>
      <c r="G2" s="419"/>
      <c r="H2" s="22" t="s">
        <v>32</v>
      </c>
      <c r="I2" s="19"/>
      <c r="J2" s="19"/>
      <c r="K2" s="19"/>
      <c r="L2" s="19"/>
      <c r="M2" s="19"/>
      <c r="N2" s="19"/>
      <c r="O2" s="19"/>
      <c r="P2" s="19"/>
      <c r="Q2" s="19"/>
      <c r="R2" s="19"/>
      <c r="S2" s="19"/>
      <c r="T2" s="19"/>
      <c r="U2" s="19"/>
      <c r="V2" s="19"/>
      <c r="W2" s="19"/>
    </row>
    <row r="3" spans="1:23" s="20" customFormat="1" x14ac:dyDescent="0.2">
      <c r="A3" s="14"/>
      <c r="B3" s="14"/>
      <c r="C3" s="15"/>
      <c r="D3" s="23" t="s">
        <v>34</v>
      </c>
      <c r="E3" s="24"/>
      <c r="F3" s="17"/>
      <c r="G3" s="17"/>
      <c r="H3" s="18" t="s">
        <v>32</v>
      </c>
      <c r="I3" s="19"/>
      <c r="J3" s="19"/>
      <c r="K3" s="19"/>
      <c r="L3" s="19"/>
      <c r="M3" s="19"/>
      <c r="N3" s="19"/>
      <c r="O3" s="19"/>
      <c r="P3" s="19"/>
      <c r="Q3" s="19"/>
      <c r="R3" s="19"/>
      <c r="S3" s="19"/>
      <c r="T3" s="19"/>
      <c r="U3" s="19"/>
      <c r="V3" s="19"/>
      <c r="W3" s="19"/>
    </row>
    <row r="4" spans="1:23" s="20" customFormat="1" ht="14.25" x14ac:dyDescent="0.2">
      <c r="A4" s="25"/>
      <c r="B4" s="25"/>
      <c r="C4" s="15"/>
      <c r="D4" s="417" t="s">
        <v>165</v>
      </c>
      <c r="E4" s="420"/>
      <c r="F4" s="420"/>
      <c r="G4" s="421"/>
      <c r="H4" s="22" t="s">
        <v>32</v>
      </c>
      <c r="I4" s="19"/>
      <c r="J4" s="19"/>
      <c r="K4" s="19"/>
      <c r="L4" s="19"/>
      <c r="M4" s="19"/>
      <c r="N4" s="19"/>
      <c r="O4" s="19"/>
      <c r="P4" s="19"/>
      <c r="Q4" s="19"/>
      <c r="R4" s="19"/>
      <c r="S4" s="19"/>
      <c r="T4" s="19"/>
      <c r="U4" s="19"/>
      <c r="V4" s="19"/>
      <c r="W4" s="19"/>
    </row>
    <row r="5" spans="1:23" s="20" customFormat="1" x14ac:dyDescent="0.2">
      <c r="A5" s="14"/>
      <c r="B5" s="14"/>
      <c r="C5" s="15"/>
      <c r="D5" s="23" t="s">
        <v>35</v>
      </c>
      <c r="E5" s="26" t="s">
        <v>36</v>
      </c>
      <c r="F5" s="17"/>
      <c r="G5" s="17"/>
      <c r="H5" s="18" t="s">
        <v>32</v>
      </c>
      <c r="I5" s="19"/>
      <c r="J5" s="19"/>
      <c r="K5" s="19"/>
      <c r="L5" s="19"/>
      <c r="M5" s="19"/>
      <c r="N5" s="19"/>
      <c r="O5" s="19"/>
      <c r="P5" s="19"/>
      <c r="Q5" s="19"/>
      <c r="R5" s="19"/>
      <c r="S5" s="19"/>
      <c r="T5" s="19"/>
      <c r="U5" s="19"/>
      <c r="V5" s="19"/>
      <c r="W5" s="19"/>
    </row>
    <row r="6" spans="1:23" s="20" customFormat="1" ht="14.25" x14ac:dyDescent="0.2">
      <c r="A6" s="14"/>
      <c r="B6" s="14"/>
      <c r="C6" s="15"/>
      <c r="D6" s="21" t="s">
        <v>166</v>
      </c>
      <c r="E6" s="417"/>
      <c r="F6" s="420"/>
      <c r="G6" s="421"/>
      <c r="H6" s="22" t="s">
        <v>32</v>
      </c>
      <c r="I6" s="19"/>
      <c r="J6" s="27"/>
      <c r="K6" s="19"/>
      <c r="L6" s="28" t="s">
        <v>37</v>
      </c>
      <c r="M6" s="19"/>
      <c r="N6" s="29"/>
      <c r="O6" s="19"/>
      <c r="P6" s="19"/>
      <c r="Q6" s="19"/>
      <c r="R6" s="19"/>
      <c r="S6" s="19"/>
      <c r="T6" s="19"/>
      <c r="U6" s="19"/>
      <c r="V6" s="19"/>
      <c r="W6" s="19"/>
    </row>
    <row r="7" spans="1:23" ht="6" customHeight="1" thickBot="1" x14ac:dyDescent="0.25">
      <c r="A7" s="30"/>
      <c r="B7" s="30"/>
      <c r="C7" s="31"/>
      <c r="D7" s="30"/>
      <c r="E7" s="30"/>
      <c r="F7" s="30"/>
      <c r="G7" s="32"/>
      <c r="H7" s="30"/>
      <c r="I7" s="30"/>
      <c r="J7" s="30"/>
      <c r="K7" s="30"/>
      <c r="L7" s="30"/>
    </row>
    <row r="8" spans="1:23" s="36" customFormat="1" ht="18" customHeight="1" thickBot="1" x14ac:dyDescent="0.25">
      <c r="A8" s="422" t="str">
        <f>IF(N24=1,N26,N25)</f>
        <v>Composição do BDI para obras com mão-de-obra desonerada (conforme Lei 13.161 de 2015)</v>
      </c>
      <c r="B8" s="423"/>
      <c r="C8" s="423"/>
      <c r="D8" s="423"/>
      <c r="E8" s="423"/>
      <c r="F8" s="423"/>
      <c r="G8" s="423"/>
      <c r="H8" s="423"/>
      <c r="I8" s="423"/>
      <c r="J8" s="423"/>
      <c r="K8" s="423"/>
      <c r="L8" s="424"/>
      <c r="M8" s="34"/>
      <c r="N8" s="35" t="b">
        <v>1</v>
      </c>
      <c r="O8" s="34"/>
      <c r="P8" s="34"/>
      <c r="Q8" s="34"/>
      <c r="R8" s="34"/>
      <c r="S8" s="34"/>
      <c r="T8" s="34"/>
      <c r="U8" s="34"/>
      <c r="V8" s="34"/>
      <c r="W8" s="34"/>
    </row>
    <row r="9" spans="1:23" ht="2.1" customHeight="1" x14ac:dyDescent="0.2">
      <c r="A9" s="37"/>
      <c r="B9" s="37"/>
      <c r="C9" s="38"/>
      <c r="D9" s="39"/>
      <c r="E9" s="40"/>
      <c r="F9" s="40"/>
      <c r="G9" s="40"/>
      <c r="H9" s="40"/>
      <c r="I9" s="40"/>
      <c r="J9" s="40"/>
      <c r="K9" s="30"/>
      <c r="L9" s="30"/>
      <c r="O9" s="41"/>
    </row>
    <row r="10" spans="1:23" s="46" customFormat="1" x14ac:dyDescent="0.2">
      <c r="A10" s="37"/>
      <c r="B10" s="37"/>
      <c r="C10" s="38"/>
      <c r="D10" s="42" t="s">
        <v>38</v>
      </c>
      <c r="E10" s="40"/>
      <c r="F10" s="42"/>
      <c r="G10" s="425"/>
      <c r="H10" s="43"/>
      <c r="I10" s="43"/>
      <c r="J10" s="40"/>
      <c r="K10" s="41"/>
      <c r="L10" s="41"/>
      <c r="M10" s="41"/>
      <c r="N10" s="44" t="s">
        <v>39</v>
      </c>
      <c r="O10" s="45">
        <v>1</v>
      </c>
      <c r="P10" s="41" t="str">
        <f>IF(O10=1,N10,IF(O10=2,N11,IF(O10=3,N12,IF(O10=4,N13,IF(O10=5,N14,IF(O10=6,N15," "))))))</f>
        <v>Construção de Edifícios</v>
      </c>
      <c r="Q10" s="41"/>
      <c r="R10" s="41"/>
      <c r="S10" s="41"/>
      <c r="T10" s="41"/>
      <c r="U10" s="41"/>
      <c r="V10" s="41"/>
      <c r="W10" s="41"/>
    </row>
    <row r="11" spans="1:23" s="46" customFormat="1" x14ac:dyDescent="0.2">
      <c r="A11" s="37"/>
      <c r="B11" s="37"/>
      <c r="C11" s="38"/>
      <c r="D11" s="42"/>
      <c r="E11" s="40"/>
      <c r="F11" s="40"/>
      <c r="G11" s="425"/>
      <c r="H11" s="47"/>
      <c r="I11" s="47"/>
      <c r="J11" s="40"/>
      <c r="K11" s="41"/>
      <c r="L11" s="41"/>
      <c r="M11" s="41"/>
      <c r="N11" s="44" t="s">
        <v>40</v>
      </c>
      <c r="O11" s="41"/>
      <c r="P11" s="41"/>
      <c r="Q11" s="41"/>
      <c r="R11" s="44"/>
      <c r="S11" s="41"/>
      <c r="T11" s="41"/>
      <c r="U11" s="41"/>
      <c r="V11" s="41"/>
      <c r="W11" s="41"/>
    </row>
    <row r="12" spans="1:23" s="46" customFormat="1" ht="13.5" thickBot="1" x14ac:dyDescent="0.25">
      <c r="A12" s="37"/>
      <c r="B12" s="37"/>
      <c r="C12" s="38"/>
      <c r="D12" s="42"/>
      <c r="E12" s="40"/>
      <c r="F12" s="40"/>
      <c r="G12" s="40"/>
      <c r="H12" s="40"/>
      <c r="I12" s="40"/>
      <c r="J12" s="40"/>
      <c r="K12" s="41"/>
      <c r="L12" s="41"/>
      <c r="M12" s="41"/>
      <c r="N12" s="44" t="s">
        <v>41</v>
      </c>
      <c r="O12" s="41"/>
      <c r="P12" s="41"/>
      <c r="Q12" s="41"/>
      <c r="R12" s="44"/>
      <c r="S12" s="41"/>
      <c r="T12" s="41"/>
      <c r="U12" s="41"/>
      <c r="V12" s="41"/>
      <c r="W12" s="41"/>
    </row>
    <row r="13" spans="1:23" s="46" customFormat="1" ht="14.1" customHeight="1" thickBot="1" x14ac:dyDescent="0.25">
      <c r="A13" s="37"/>
      <c r="B13" s="37"/>
      <c r="C13" s="414" t="str">
        <f>"COMPOSIÇÃO - BDI para "&amp;P10</f>
        <v>COMPOSIÇÃO - BDI para Construção de Edifícios</v>
      </c>
      <c r="D13" s="415"/>
      <c r="E13" s="415"/>
      <c r="F13" s="415"/>
      <c r="G13" s="415"/>
      <c r="H13" s="415"/>
      <c r="I13" s="416"/>
      <c r="J13" s="30"/>
      <c r="K13" s="41"/>
      <c r="L13" s="41"/>
      <c r="M13" s="41"/>
      <c r="N13" s="44" t="s">
        <v>42</v>
      </c>
      <c r="O13" s="41"/>
      <c r="P13" s="41"/>
      <c r="Q13" s="41"/>
      <c r="R13" s="44"/>
      <c r="S13" s="41"/>
      <c r="T13" s="41"/>
      <c r="U13" s="41"/>
      <c r="V13" s="41"/>
      <c r="W13" s="41"/>
    </row>
    <row r="14" spans="1:23" s="46" customFormat="1" ht="27.95" customHeight="1" x14ac:dyDescent="0.2">
      <c r="A14" s="37"/>
      <c r="B14" s="37"/>
      <c r="C14" s="48" t="s">
        <v>4</v>
      </c>
      <c r="D14" s="49" t="s">
        <v>43</v>
      </c>
      <c r="E14" s="49" t="s">
        <v>44</v>
      </c>
      <c r="F14" s="49" t="s">
        <v>45</v>
      </c>
      <c r="G14" s="49" t="s">
        <v>46</v>
      </c>
      <c r="H14" s="50" t="s">
        <v>47</v>
      </c>
      <c r="I14" s="50" t="s">
        <v>48</v>
      </c>
      <c r="J14" s="30"/>
      <c r="K14" s="41"/>
      <c r="L14" s="41"/>
      <c r="M14" s="41"/>
      <c r="N14" s="44" t="s">
        <v>49</v>
      </c>
      <c r="O14" s="41"/>
      <c r="P14" s="41"/>
      <c r="Q14" s="41"/>
      <c r="R14" s="44"/>
      <c r="S14" s="41"/>
      <c r="T14" s="41"/>
      <c r="U14" s="41"/>
      <c r="V14" s="41"/>
      <c r="W14" s="41"/>
    </row>
    <row r="15" spans="1:23" s="46" customFormat="1" ht="14.1" customHeight="1" x14ac:dyDescent="0.2">
      <c r="A15" s="37"/>
      <c r="B15" s="37"/>
      <c r="C15" s="51">
        <v>1</v>
      </c>
      <c r="D15" s="52" t="s">
        <v>50</v>
      </c>
      <c r="E15" s="53" t="s">
        <v>51</v>
      </c>
      <c r="F15" s="54">
        <v>0.03</v>
      </c>
      <c r="G15" s="55" t="str">
        <f>IF(F15="","",IF(AND(F15&gt;=H15,F15&lt;=I15),"OK",""))</f>
        <v>OK</v>
      </c>
      <c r="H15" s="56">
        <f>INDEX(matriz,$W17,$O$10)</f>
        <v>0.03</v>
      </c>
      <c r="I15" s="56">
        <f>INDEX(matriz2,$W23,$O$10)</f>
        <v>5.5E-2</v>
      </c>
      <c r="J15" s="30"/>
      <c r="K15" s="41"/>
      <c r="L15" s="41"/>
      <c r="M15" s="41"/>
      <c r="N15" s="41" t="s">
        <v>52</v>
      </c>
      <c r="O15" s="41"/>
      <c r="P15" s="41"/>
      <c r="Q15" s="41"/>
      <c r="R15" s="44"/>
      <c r="S15" s="41"/>
      <c r="T15" s="41"/>
      <c r="U15" s="41"/>
      <c r="V15" s="41"/>
      <c r="W15" s="41"/>
    </row>
    <row r="16" spans="1:23" s="46" customFormat="1" ht="14.1" customHeight="1" x14ac:dyDescent="0.2">
      <c r="A16" s="37"/>
      <c r="B16" s="37"/>
      <c r="C16" s="57">
        <v>2</v>
      </c>
      <c r="D16" s="58" t="s">
        <v>53</v>
      </c>
      <c r="E16" s="59" t="s">
        <v>54</v>
      </c>
      <c r="F16" s="60">
        <v>8.0000000000000002E-3</v>
      </c>
      <c r="G16" s="61" t="str">
        <f t="shared" ref="G16:G24" si="0">IF(F16="","",IF(AND(F16&gt;=H16,F16&lt;=I16),"OK",""))</f>
        <v>OK</v>
      </c>
      <c r="H16" s="56">
        <f>INDEX(matriz,$W18,$O$10)</f>
        <v>8.0000000000000002E-3</v>
      </c>
      <c r="I16" s="56">
        <f>INDEX(matriz2,$W24,$O$10)</f>
        <v>0.01</v>
      </c>
      <c r="J16" s="30"/>
      <c r="K16" s="41"/>
      <c r="L16" s="41"/>
      <c r="M16" s="41"/>
      <c r="N16" s="44"/>
      <c r="O16" s="41"/>
      <c r="P16" s="44" t="s">
        <v>55</v>
      </c>
      <c r="Q16" s="44">
        <v>1</v>
      </c>
      <c r="R16" s="41">
        <v>2</v>
      </c>
      <c r="S16" s="41">
        <v>3</v>
      </c>
      <c r="T16" s="41">
        <v>4</v>
      </c>
      <c r="U16" s="41">
        <v>5</v>
      </c>
      <c r="V16" s="41">
        <v>6</v>
      </c>
      <c r="W16" s="41"/>
    </row>
    <row r="17" spans="1:23" s="46" customFormat="1" ht="14.1" customHeight="1" x14ac:dyDescent="0.2">
      <c r="A17" s="37"/>
      <c r="B17" s="37"/>
      <c r="C17" s="57">
        <v>3</v>
      </c>
      <c r="D17" s="58" t="s">
        <v>56</v>
      </c>
      <c r="E17" s="59" t="s">
        <v>57</v>
      </c>
      <c r="F17" s="60">
        <v>9.7000000000000003E-3</v>
      </c>
      <c r="G17" s="61" t="str">
        <f t="shared" si="0"/>
        <v>OK</v>
      </c>
      <c r="H17" s="56">
        <f>INDEX(matriz,$W19,$O$10)</f>
        <v>9.7000000000000003E-3</v>
      </c>
      <c r="I17" s="56">
        <f>INDEX(matriz2,$W25,$O$10)</f>
        <v>1.2699999999999999E-2</v>
      </c>
      <c r="J17" s="30"/>
      <c r="K17" s="62"/>
      <c r="L17" s="41"/>
      <c r="M17" s="41"/>
      <c r="N17" s="63"/>
      <c r="O17" s="41"/>
      <c r="P17" s="41"/>
      <c r="Q17" s="64">
        <v>0.03</v>
      </c>
      <c r="R17" s="64">
        <v>3.7999999999999999E-2</v>
      </c>
      <c r="S17" s="64">
        <v>3.4299999999999997E-2</v>
      </c>
      <c r="T17" s="64">
        <v>5.2900000000000003E-2</v>
      </c>
      <c r="U17" s="64">
        <v>0.04</v>
      </c>
      <c r="V17" s="64">
        <v>1.4999999999999999E-2</v>
      </c>
      <c r="W17" s="41">
        <v>1</v>
      </c>
    </row>
    <row r="18" spans="1:23" s="46" customFormat="1" ht="14.1" customHeight="1" x14ac:dyDescent="0.2">
      <c r="A18" s="37"/>
      <c r="B18" s="37"/>
      <c r="C18" s="57">
        <v>4</v>
      </c>
      <c r="D18" s="58" t="s">
        <v>58</v>
      </c>
      <c r="E18" s="59" t="s">
        <v>59</v>
      </c>
      <c r="F18" s="60">
        <v>8.0000000000000002E-3</v>
      </c>
      <c r="G18" s="61" t="str">
        <f t="shared" si="0"/>
        <v>OK</v>
      </c>
      <c r="H18" s="56">
        <f>INDEX(matriz,$W20,$O$10)</f>
        <v>5.8999999999999999E-3</v>
      </c>
      <c r="I18" s="56">
        <f>INDEX(matriz2,$W26,$O$10)</f>
        <v>1.3899999999999999E-2</v>
      </c>
      <c r="J18" s="30"/>
      <c r="K18" s="62"/>
      <c r="L18" s="41"/>
      <c r="M18" s="41"/>
      <c r="N18" s="65">
        <f>((((1+F15+F16+F17)*(1+F18)*(1+F19))/(1-(F20-0.045))-1))</f>
        <v>0.20484938832351385</v>
      </c>
      <c r="O18" s="41"/>
      <c r="P18" s="41"/>
      <c r="Q18" s="64">
        <v>8.0000000000000002E-3</v>
      </c>
      <c r="R18" s="64">
        <v>3.2000000000000002E-3</v>
      </c>
      <c r="S18" s="64">
        <v>2.8E-3</v>
      </c>
      <c r="T18" s="64">
        <v>2.5000000000000001E-3</v>
      </c>
      <c r="U18" s="64">
        <v>8.0999999999999996E-3</v>
      </c>
      <c r="V18" s="64">
        <v>3.0000000000000001E-3</v>
      </c>
      <c r="W18" s="41">
        <v>2</v>
      </c>
    </row>
    <row r="19" spans="1:23" s="46" customFormat="1" ht="14.1" customHeight="1" x14ac:dyDescent="0.2">
      <c r="A19" s="37"/>
      <c r="B19" s="37"/>
      <c r="C19" s="57">
        <v>5</v>
      </c>
      <c r="D19" s="58" t="s">
        <v>60</v>
      </c>
      <c r="E19" s="59" t="s">
        <v>61</v>
      </c>
      <c r="F19" s="60">
        <v>6.5000000000000002E-2</v>
      </c>
      <c r="G19" s="61" t="str">
        <f t="shared" si="0"/>
        <v>OK</v>
      </c>
      <c r="H19" s="56">
        <f>INDEX(matriz,$W21,$O$10)</f>
        <v>6.1600000000000002E-2</v>
      </c>
      <c r="I19" s="56">
        <f>INDEX(matriz2,$W27,$O$10)</f>
        <v>8.9599999999999999E-2</v>
      </c>
      <c r="J19" s="30"/>
      <c r="K19" s="62"/>
      <c r="L19" s="41"/>
      <c r="M19" s="41"/>
      <c r="N19" s="63" t="str">
        <f>"Percentual de BDI superior ao limite estipulado pelo Acórdão TCU 2.622/2013 devido a soma de 4,5% (CPRB, conforme LEI 13.161/2015) no item Tributos, referente a desoneração na Contribuição Previdenciária. O cálculo dessa composição onerada resulta em " &amp;N22</f>
        <v>Percentual de BDI superior ao limite estipulado pelo Acórdão TCU 2.622/2013 devido a soma de 4,5% (CPRB, conforme LEI 13.161/2015) no item Tributos, referente a desoneração na Contribuição Previdenciária. O cálculo dessa composição onerada resulta em 20,48%</v>
      </c>
      <c r="O19" s="41"/>
      <c r="P19" s="41"/>
      <c r="Q19" s="64">
        <v>9.7000000000000003E-3</v>
      </c>
      <c r="R19" s="64">
        <v>5.0000000000000001E-3</v>
      </c>
      <c r="S19" s="64">
        <v>0.01</v>
      </c>
      <c r="T19" s="64">
        <v>0.01</v>
      </c>
      <c r="U19" s="64">
        <v>1.46E-2</v>
      </c>
      <c r="V19" s="64">
        <v>5.5999999999999999E-3</v>
      </c>
      <c r="W19" s="41">
        <v>3</v>
      </c>
    </row>
    <row r="20" spans="1:23" s="46" customFormat="1" ht="14.1" customHeight="1" x14ac:dyDescent="0.2">
      <c r="A20" s="37"/>
      <c r="B20" s="37"/>
      <c r="C20" s="57">
        <v>6</v>
      </c>
      <c r="D20" s="58" t="s">
        <v>62</v>
      </c>
      <c r="E20" s="59" t="s">
        <v>63</v>
      </c>
      <c r="F20" s="66">
        <f>SUM(F21:F24)</f>
        <v>0.11149999999999999</v>
      </c>
      <c r="G20" s="61" t="str">
        <f t="shared" si="0"/>
        <v>OK</v>
      </c>
      <c r="H20" s="56">
        <f>IF(N24=1,0.0365,0.0815)</f>
        <v>8.1500000000000003E-2</v>
      </c>
      <c r="I20" s="56">
        <f>IF(N24=1,0.0865,0.1315)</f>
        <v>0.13150000000000001</v>
      </c>
      <c r="J20" s="30"/>
      <c r="K20" s="41"/>
      <c r="L20" s="41"/>
      <c r="M20" s="41"/>
      <c r="N20" s="67">
        <f>ROUND(N18*100,2)</f>
        <v>20.48</v>
      </c>
      <c r="O20" s="41"/>
      <c r="P20" s="41"/>
      <c r="Q20" s="64">
        <v>5.8999999999999999E-3</v>
      </c>
      <c r="R20" s="64">
        <v>1.0200000000000001E-2</v>
      </c>
      <c r="S20" s="64">
        <v>9.4000000000000004E-3</v>
      </c>
      <c r="T20" s="64">
        <v>1.01E-2</v>
      </c>
      <c r="U20" s="64">
        <v>9.4000000000000004E-3</v>
      </c>
      <c r="V20" s="64">
        <v>8.5000000000000006E-3</v>
      </c>
      <c r="W20" s="41">
        <v>4</v>
      </c>
    </row>
    <row r="21" spans="1:23" s="46" customFormat="1" ht="14.1" customHeight="1" thickBot="1" x14ac:dyDescent="0.25">
      <c r="A21" s="383"/>
      <c r="B21" s="383"/>
      <c r="C21" s="57" t="s">
        <v>16</v>
      </c>
      <c r="D21" s="58" t="s">
        <v>64</v>
      </c>
      <c r="E21" s="59" t="s">
        <v>64</v>
      </c>
      <c r="F21" s="66">
        <v>6.4999999999999997E-3</v>
      </c>
      <c r="G21" s="61" t="str">
        <f t="shared" si="0"/>
        <v>OK</v>
      </c>
      <c r="H21" s="56">
        <v>6.4999999999999997E-3</v>
      </c>
      <c r="I21" s="56">
        <v>6.4999999999999997E-3</v>
      </c>
      <c r="J21" s="384" t="str">
        <f>IF(N24=2,"Foi incluída a CPRB com a alíquota de 4,50% sobre a Receita Bruta"," ")</f>
        <v>Foi incluída a CPRB com a alíquota de 4,50% sobre a Receita Bruta</v>
      </c>
      <c r="K21" s="384"/>
      <c r="L21" s="384"/>
      <c r="M21" s="41"/>
      <c r="N21" s="63" t="s">
        <v>65</v>
      </c>
      <c r="O21" s="41"/>
      <c r="P21" s="41"/>
      <c r="Q21" s="64">
        <v>6.1600000000000002E-2</v>
      </c>
      <c r="R21" s="64">
        <v>6.6400000000000001E-2</v>
      </c>
      <c r="S21" s="64">
        <v>6.7400000000000002E-2</v>
      </c>
      <c r="T21" s="64">
        <v>0.08</v>
      </c>
      <c r="U21" s="64">
        <v>7.1400000000000005E-2</v>
      </c>
      <c r="V21" s="64">
        <v>3.5000000000000003E-2</v>
      </c>
      <c r="W21" s="41">
        <v>5</v>
      </c>
    </row>
    <row r="22" spans="1:23" ht="14.1" customHeight="1" x14ac:dyDescent="0.2">
      <c r="A22" s="385" t="s">
        <v>66</v>
      </c>
      <c r="B22" s="387" t="s">
        <v>67</v>
      </c>
      <c r="C22" s="57" t="s">
        <v>17</v>
      </c>
      <c r="D22" s="58" t="s">
        <v>68</v>
      </c>
      <c r="E22" s="59" t="s">
        <v>68</v>
      </c>
      <c r="F22" s="66">
        <v>0.03</v>
      </c>
      <c r="G22" s="61" t="str">
        <f t="shared" si="0"/>
        <v>OK</v>
      </c>
      <c r="H22" s="56">
        <v>0.03</v>
      </c>
      <c r="I22" s="56">
        <v>0.03</v>
      </c>
      <c r="J22" s="384"/>
      <c r="K22" s="384"/>
      <c r="L22" s="384"/>
      <c r="N22" s="68" t="str">
        <f>N20&amp;N21</f>
        <v>20,48%</v>
      </c>
      <c r="P22" s="69" t="s">
        <v>69</v>
      </c>
      <c r="Q22" s="69">
        <v>1</v>
      </c>
      <c r="R22" s="30">
        <v>2</v>
      </c>
      <c r="S22" s="30">
        <v>3</v>
      </c>
      <c r="T22" s="30">
        <v>4</v>
      </c>
      <c r="U22" s="30">
        <v>5</v>
      </c>
      <c r="V22" s="30">
        <v>6</v>
      </c>
    </row>
    <row r="23" spans="1:23" ht="14.1" customHeight="1" thickBot="1" x14ac:dyDescent="0.25">
      <c r="A23" s="386"/>
      <c r="B23" s="388"/>
      <c r="C23" s="70" t="s">
        <v>18</v>
      </c>
      <c r="D23" s="71" t="s">
        <v>70</v>
      </c>
      <c r="E23" s="72" t="s">
        <v>71</v>
      </c>
      <c r="F23" s="73">
        <f>IF(N24=1,0,0.045)</f>
        <v>4.4999999999999998E-2</v>
      </c>
      <c r="G23" s="61" t="str">
        <f t="shared" si="0"/>
        <v>OK</v>
      </c>
      <c r="H23" s="74">
        <f>IF(N24=1,0,0.045)</f>
        <v>4.4999999999999998E-2</v>
      </c>
      <c r="I23" s="74">
        <f>IF(N24=1,0,0.045)</f>
        <v>4.4999999999999998E-2</v>
      </c>
      <c r="J23" s="75"/>
      <c r="K23" s="75"/>
      <c r="L23" s="75"/>
      <c r="N23" s="68"/>
      <c r="Q23" s="64">
        <v>5.5E-2</v>
      </c>
      <c r="R23" s="64">
        <v>4.6699999999999998E-2</v>
      </c>
      <c r="S23" s="64">
        <v>6.7100000000000007E-2</v>
      </c>
      <c r="T23" s="64">
        <v>7.9299999999999995E-2</v>
      </c>
      <c r="U23" s="64">
        <v>7.85E-2</v>
      </c>
      <c r="V23" s="64">
        <v>4.4900000000000002E-2</v>
      </c>
      <c r="W23" s="30">
        <v>1</v>
      </c>
    </row>
    <row r="24" spans="1:23" ht="14.1" customHeight="1" thickBot="1" x14ac:dyDescent="0.25">
      <c r="A24" s="76">
        <v>0.03</v>
      </c>
      <c r="B24" s="77">
        <v>1</v>
      </c>
      <c r="C24" s="78" t="s">
        <v>19</v>
      </c>
      <c r="D24" s="79" t="s">
        <v>72</v>
      </c>
      <c r="E24" s="80" t="s">
        <v>72</v>
      </c>
      <c r="F24" s="81">
        <f>A24*B24</f>
        <v>0.03</v>
      </c>
      <c r="G24" s="82" t="str">
        <f t="shared" si="0"/>
        <v>OK</v>
      </c>
      <c r="H24" s="83">
        <f>IF(B24=0,0.02,0.02*B24)</f>
        <v>0.02</v>
      </c>
      <c r="I24" s="83">
        <f>IF(B24=0,0.05,0.05*B24)</f>
        <v>0.05</v>
      </c>
      <c r="J24" s="84"/>
      <c r="K24" s="84"/>
      <c r="L24" s="84"/>
      <c r="N24" s="85">
        <f>IF(N8=TRUE,2,1)</f>
        <v>2</v>
      </c>
      <c r="Q24" s="64">
        <v>0.01</v>
      </c>
      <c r="R24" s="64">
        <v>7.4000000000000003E-3</v>
      </c>
      <c r="S24" s="64">
        <v>7.4999999999999997E-3</v>
      </c>
      <c r="T24" s="64">
        <v>5.5999999999999999E-3</v>
      </c>
      <c r="U24" s="64">
        <v>1.9900000000000001E-2</v>
      </c>
      <c r="V24" s="64">
        <v>8.2000000000000007E-3</v>
      </c>
      <c r="W24" s="30">
        <v>2</v>
      </c>
    </row>
    <row r="25" spans="1:23" ht="14.1" customHeight="1" x14ac:dyDescent="0.25">
      <c r="A25" s="37"/>
      <c r="B25" s="37"/>
      <c r="C25" s="38"/>
      <c r="D25" s="42"/>
      <c r="E25" s="389" t="s">
        <v>73</v>
      </c>
      <c r="F25" s="390"/>
      <c r="G25" s="391"/>
      <c r="H25" s="392" t="str">
        <f>IF(O10=1,S30,IF(O10=2,S31,IF(O10=3,S32,IF(O10=4,S33,IF(O10=5,S34,IF(O10=6,S35," "))))))</f>
        <v>de 20,34% a 25,00%</v>
      </c>
      <c r="I25" s="393"/>
      <c r="J25" s="86"/>
      <c r="K25" s="86"/>
      <c r="L25" s="86"/>
      <c r="N25" s="69" t="s">
        <v>74</v>
      </c>
      <c r="Q25" s="64">
        <v>1.2699999999999999E-2</v>
      </c>
      <c r="R25" s="64">
        <v>9.7000000000000003E-3</v>
      </c>
      <c r="S25" s="64">
        <v>1.7399999999999999E-2</v>
      </c>
      <c r="T25" s="64">
        <v>1.9699999999999999E-2</v>
      </c>
      <c r="U25" s="64">
        <v>3.1600000000000003E-2</v>
      </c>
      <c r="V25" s="64">
        <v>8.8999999999999999E-3</v>
      </c>
      <c r="W25" s="30">
        <v>3</v>
      </c>
    </row>
    <row r="26" spans="1:23" ht="12.75" customHeight="1" thickBot="1" x14ac:dyDescent="0.25">
      <c r="A26" s="37"/>
      <c r="B26" s="394" t="s">
        <v>75</v>
      </c>
      <c r="C26" s="395"/>
      <c r="D26" s="396"/>
      <c r="E26" s="40"/>
      <c r="F26" s="40"/>
      <c r="G26" s="40"/>
      <c r="H26" s="40"/>
      <c r="I26" s="41"/>
      <c r="J26" s="87"/>
      <c r="K26" s="87"/>
      <c r="L26" s="88"/>
      <c r="N26" s="69" t="s">
        <v>76</v>
      </c>
      <c r="Q26" s="64">
        <v>1.3899999999999999E-2</v>
      </c>
      <c r="R26" s="64">
        <v>1.21E-2</v>
      </c>
      <c r="S26" s="64">
        <v>1.17E-2</v>
      </c>
      <c r="T26" s="64">
        <v>1.11E-2</v>
      </c>
      <c r="U26" s="64">
        <v>1.3299999999999999E-2</v>
      </c>
      <c r="V26" s="64">
        <v>1.11E-2</v>
      </c>
      <c r="W26" s="30">
        <v>4</v>
      </c>
    </row>
    <row r="27" spans="1:23" ht="18" customHeight="1" x14ac:dyDescent="0.2">
      <c r="A27" s="89"/>
      <c r="B27" s="90"/>
      <c r="C27" s="91"/>
      <c r="D27" s="42"/>
      <c r="E27" s="397" t="s">
        <v>1</v>
      </c>
      <c r="F27" s="399">
        <f>((((1+F15+F16+F17)*(1+F18)*(1+F19))/(1-F20))-1)</f>
        <v>0.26587158581879566</v>
      </c>
      <c r="G27" s="400" t="str">
        <f>N54</f>
        <v>OK! Percentual do BDI quando calculado sem desoneração atende ao limite estipulado pelo Acórdão TCU 2.622/2013.</v>
      </c>
      <c r="H27" s="401"/>
      <c r="I27" s="402"/>
      <c r="J27" s="41"/>
      <c r="K27" s="41"/>
      <c r="L27" s="41"/>
      <c r="N27" s="30" t="str">
        <f>IF(Q44=2,N44,IF(Q44=3,N45,IF(Q44=4,N46,IF(Q44=5,N47,IF(Q44=6,O48,"Erro")))))</f>
        <v>OK! Percentual do BDI quando calculado sem desoneração atende ao limite estipulado pelo Acórdão TCU 2.622/2013.</v>
      </c>
      <c r="Q27" s="64">
        <v>8.9599999999999999E-2</v>
      </c>
      <c r="R27" s="64">
        <v>8.6900000000000005E-2</v>
      </c>
      <c r="S27" s="64">
        <v>9.4E-2</v>
      </c>
      <c r="T27" s="64">
        <v>9.5100000000000004E-2</v>
      </c>
      <c r="U27" s="64">
        <v>0.1043</v>
      </c>
      <c r="V27" s="64">
        <v>6.2199999999999998E-2</v>
      </c>
      <c r="W27" s="30">
        <v>5</v>
      </c>
    </row>
    <row r="28" spans="1:23" ht="18" customHeight="1" thickBot="1" x14ac:dyDescent="0.25">
      <c r="A28" s="89"/>
      <c r="B28" s="90"/>
      <c r="C28" s="91"/>
      <c r="D28" s="42"/>
      <c r="E28" s="398"/>
      <c r="F28" s="398"/>
      <c r="G28" s="403"/>
      <c r="H28" s="403"/>
      <c r="I28" s="404"/>
      <c r="J28" s="41"/>
      <c r="K28" s="41"/>
      <c r="L28" s="41"/>
      <c r="N28" s="69" t="str">
        <f>IF(R44=2,N44,IF(R44=3,N46,IF(R44=4,O48,"Erro")))</f>
        <v>Percentual do BDI superior ao limite estipulado pelo Acórdão TCU 2.622/2013.</v>
      </c>
    </row>
    <row r="29" spans="1:23" ht="18" customHeight="1" x14ac:dyDescent="0.2">
      <c r="A29" s="92"/>
      <c r="B29" s="93"/>
      <c r="C29" s="94"/>
      <c r="D29" s="95"/>
      <c r="E29" s="40"/>
      <c r="F29" s="40"/>
      <c r="G29" s="405"/>
      <c r="H29" s="406"/>
      <c r="I29" s="407"/>
      <c r="J29" s="41"/>
      <c r="K29" s="41"/>
      <c r="L29" s="41"/>
    </row>
    <row r="30" spans="1:23" ht="12.75" customHeight="1" x14ac:dyDescent="0.2">
      <c r="A30" s="92"/>
      <c r="B30" s="37"/>
      <c r="C30" s="42"/>
      <c r="D30" s="41"/>
      <c r="E30" s="40"/>
      <c r="F30" s="40"/>
      <c r="G30" s="40"/>
      <c r="H30" s="40"/>
      <c r="I30" s="40"/>
      <c r="J30" s="41"/>
      <c r="K30" s="41"/>
      <c r="L30" s="41"/>
      <c r="N30" s="30" t="str">
        <f>(B24*100)&amp;N21</f>
        <v>100%</v>
      </c>
      <c r="P30" s="44" t="s">
        <v>39</v>
      </c>
      <c r="Q30" s="96">
        <v>0.2034</v>
      </c>
      <c r="R30" s="96">
        <v>0.25</v>
      </c>
      <c r="S30" s="69" t="s">
        <v>77</v>
      </c>
      <c r="W30" s="30">
        <v>1</v>
      </c>
    </row>
    <row r="31" spans="1:23" ht="12.75" customHeight="1" x14ac:dyDescent="0.2">
      <c r="A31" s="37"/>
      <c r="B31" s="97" t="s">
        <v>78</v>
      </c>
      <c r="C31" s="98"/>
      <c r="D31" s="99"/>
      <c r="E31" s="99"/>
      <c r="F31" s="99"/>
      <c r="G31" s="99"/>
      <c r="H31" s="99"/>
      <c r="I31" s="99"/>
      <c r="J31" s="41"/>
      <c r="K31" s="41"/>
      <c r="L31" s="41"/>
      <c r="N31" s="30" t="str">
        <f>(A24*100)&amp;N21</f>
        <v>3%</v>
      </c>
      <c r="P31" s="44" t="s">
        <v>40</v>
      </c>
      <c r="Q31" s="96">
        <v>0.19600000000000001</v>
      </c>
      <c r="R31" s="96">
        <v>0.24229999999999999</v>
      </c>
      <c r="S31" s="69" t="s">
        <v>79</v>
      </c>
      <c r="W31" s="30">
        <v>2</v>
      </c>
    </row>
    <row r="32" spans="1:23" ht="12.75" customHeight="1" x14ac:dyDescent="0.2">
      <c r="A32" s="37"/>
      <c r="B32" s="97"/>
      <c r="C32" s="98"/>
      <c r="D32" s="99"/>
      <c r="E32" s="99"/>
      <c r="F32" s="99"/>
      <c r="G32" s="99"/>
      <c r="H32" s="99"/>
      <c r="I32" s="99"/>
      <c r="J32" s="41"/>
      <c r="K32" s="41"/>
      <c r="L32" s="41"/>
      <c r="N32" s="30" t="str">
        <f>" e a sua base de cálculo é de "&amp;N30</f>
        <v xml:space="preserve"> e a sua base de cálculo é de 100%</v>
      </c>
      <c r="P32" s="44" t="s">
        <v>41</v>
      </c>
      <c r="Q32" s="96">
        <v>0.20760000000000001</v>
      </c>
      <c r="R32" s="96">
        <v>0.26440000000000002</v>
      </c>
      <c r="S32" s="69" t="s">
        <v>80</v>
      </c>
      <c r="W32" s="30">
        <v>3</v>
      </c>
    </row>
    <row r="33" spans="1:24" ht="12.75" customHeight="1" x14ac:dyDescent="0.2">
      <c r="A33" s="99"/>
      <c r="B33" s="100"/>
      <c r="C33" s="101"/>
      <c r="D33" s="100"/>
      <c r="E33" s="100"/>
      <c r="F33" s="100"/>
      <c r="G33" s="100"/>
      <c r="H33" s="100"/>
      <c r="I33" s="100"/>
      <c r="J33" s="99"/>
      <c r="K33" s="99"/>
      <c r="L33" s="99"/>
      <c r="N33" s="30" t="str">
        <f>N31&amp;N32</f>
        <v>3% e a sua base de cálculo é de 100%</v>
      </c>
      <c r="P33" s="44" t="s">
        <v>42</v>
      </c>
      <c r="Q33" s="96">
        <v>0.24</v>
      </c>
      <c r="R33" s="96">
        <v>0.27860000000000001</v>
      </c>
      <c r="S33" s="69" t="s">
        <v>81</v>
      </c>
      <c r="W33" s="30">
        <v>4</v>
      </c>
    </row>
    <row r="34" spans="1:24" ht="12.75" customHeight="1" x14ac:dyDescent="0.2">
      <c r="A34" s="100"/>
      <c r="B34" s="100"/>
      <c r="C34" s="101"/>
      <c r="D34" s="100"/>
      <c r="E34" s="100"/>
      <c r="F34" s="100"/>
      <c r="G34" s="102"/>
      <c r="H34" s="100"/>
      <c r="I34" s="100"/>
      <c r="J34" s="100"/>
      <c r="K34" s="100"/>
      <c r="L34" s="100"/>
      <c r="M34" s="41"/>
      <c r="N34" s="44" t="str">
        <f>" sobre o valor total do orçamento."</f>
        <v xml:space="preserve"> sobre o valor total do orçamento.</v>
      </c>
      <c r="O34" s="41"/>
      <c r="P34" s="44" t="s">
        <v>49</v>
      </c>
      <c r="Q34" s="64">
        <v>0.22800000000000001</v>
      </c>
      <c r="R34" s="64">
        <v>0.3095</v>
      </c>
      <c r="S34" s="69" t="s">
        <v>82</v>
      </c>
      <c r="T34" s="41"/>
      <c r="U34" s="41"/>
      <c r="V34" s="41"/>
      <c r="W34" s="41">
        <v>5</v>
      </c>
      <c r="X34" s="46"/>
    </row>
    <row r="35" spans="1:24" s="46" customFormat="1" ht="12.75" customHeight="1" x14ac:dyDescent="0.2">
      <c r="A35" s="100"/>
      <c r="B35" s="100"/>
      <c r="C35" s="101"/>
      <c r="D35" s="100"/>
      <c r="E35" s="100"/>
      <c r="F35" s="100"/>
      <c r="G35" s="102"/>
      <c r="H35" s="100"/>
      <c r="I35" s="100"/>
      <c r="J35" s="100"/>
      <c r="K35" s="100"/>
      <c r="L35" s="100"/>
      <c r="M35" s="41"/>
      <c r="N35" s="41" t="str">
        <f>N33&amp;N34</f>
        <v>3% e a sua base de cálculo é de 100% sobre o valor total do orçamento.</v>
      </c>
      <c r="O35" s="41"/>
      <c r="P35" s="41" t="s">
        <v>52</v>
      </c>
      <c r="Q35" s="64">
        <v>0.111</v>
      </c>
      <c r="R35" s="64">
        <v>0.16800000000000001</v>
      </c>
      <c r="S35" s="69" t="s">
        <v>83</v>
      </c>
      <c r="T35" s="41"/>
      <c r="U35" s="41"/>
      <c r="V35" s="41"/>
      <c r="W35" s="41">
        <v>6</v>
      </c>
    </row>
    <row r="36" spans="1:24" s="46" customFormat="1" ht="12.75" customHeight="1" x14ac:dyDescent="0.2">
      <c r="A36" s="32"/>
      <c r="B36" s="408" t="str">
        <f>IF(N24=2,(IF(Q44=5,N19," "))," ")</f>
        <v>Percentual de BDI superior ao limite estipulado pelo Acórdão TCU 2.622/2013 devido a soma de 4,5% (CPRB, conforme LEI 13.161/2015) no item Tributos, referente a desoneração na Contribuição Previdenciária. O cálculo dessa composição onerada resulta em 20,48%</v>
      </c>
      <c r="C36" s="409"/>
      <c r="D36" s="409"/>
      <c r="E36" s="409"/>
      <c r="F36" s="409"/>
      <c r="G36" s="409"/>
      <c r="H36" s="409"/>
      <c r="I36" s="409"/>
      <c r="J36" s="409"/>
      <c r="K36" s="410"/>
      <c r="L36" s="32"/>
      <c r="M36" s="41"/>
      <c r="N36" s="41"/>
      <c r="O36" s="41"/>
      <c r="P36" s="41"/>
      <c r="Q36" s="41"/>
      <c r="R36" s="41"/>
      <c r="S36" s="41"/>
      <c r="T36" s="41"/>
      <c r="U36" s="41"/>
      <c r="V36" s="41"/>
      <c r="W36" s="41"/>
    </row>
    <row r="37" spans="1:24" s="46" customFormat="1" ht="12.75" customHeight="1" x14ac:dyDescent="0.2">
      <c r="A37" s="32"/>
      <c r="B37" s="411"/>
      <c r="C37" s="412"/>
      <c r="D37" s="412"/>
      <c r="E37" s="412"/>
      <c r="F37" s="412"/>
      <c r="G37" s="412"/>
      <c r="H37" s="412"/>
      <c r="I37" s="412"/>
      <c r="J37" s="412"/>
      <c r="K37" s="413"/>
      <c r="L37" s="32"/>
      <c r="M37" s="41"/>
      <c r="N37" s="41"/>
      <c r="O37" s="41"/>
      <c r="P37" s="44" t="s">
        <v>84</v>
      </c>
      <c r="Q37" s="64">
        <f>INDEX(Q30:R35,O10,1)</f>
        <v>0.2034</v>
      </c>
      <c r="R37" s="64">
        <f>INDEX(Q30:R35,O10,2)</f>
        <v>0.25</v>
      </c>
      <c r="S37" s="41"/>
      <c r="T37" s="41"/>
      <c r="U37" s="41"/>
      <c r="V37" s="41"/>
      <c r="W37" s="41"/>
    </row>
    <row r="38" spans="1:24" s="46" customFormat="1" ht="12.75" customHeight="1" x14ac:dyDescent="0.2">
      <c r="A38" s="32"/>
      <c r="B38" s="103" t="s">
        <v>85</v>
      </c>
      <c r="C38" s="104"/>
      <c r="D38" s="104"/>
      <c r="E38" s="104"/>
      <c r="F38" s="104"/>
      <c r="G38" s="105"/>
      <c r="H38" s="105"/>
      <c r="I38" s="105"/>
      <c r="J38" s="105"/>
      <c r="K38" s="105"/>
      <c r="L38" s="32"/>
      <c r="M38" s="41"/>
      <c r="N38" s="41"/>
      <c r="O38" s="41"/>
      <c r="P38" s="41"/>
      <c r="Q38" s="64"/>
      <c r="R38" s="41"/>
      <c r="S38" s="41"/>
      <c r="T38" s="41"/>
      <c r="U38" s="41"/>
      <c r="V38" s="41"/>
      <c r="W38" s="41"/>
    </row>
    <row r="39" spans="1:24" s="46" customFormat="1" ht="12.75" customHeight="1" x14ac:dyDescent="0.2">
      <c r="A39" s="32"/>
      <c r="B39" s="103" t="str">
        <f>IF(N24=2,"Obs²: O cálculo desta composição de BDI considera a desoneração da contribuição previdenciária, conforme Lei 13.161/2015."," ")</f>
        <v>Obs²: O cálculo desta composição de BDI considera a desoneração da contribuição previdenciária, conforme Lei 13.161/2015.</v>
      </c>
      <c r="C39" s="106"/>
      <c r="D39" s="97"/>
      <c r="E39" s="107"/>
      <c r="F39" s="107"/>
      <c r="G39" s="105"/>
      <c r="H39" s="105"/>
      <c r="I39" s="105"/>
      <c r="J39" s="105"/>
      <c r="K39" s="105"/>
      <c r="L39" s="32"/>
      <c r="M39" s="41"/>
      <c r="N39" s="41"/>
      <c r="O39" s="41"/>
      <c r="P39" s="44" t="s">
        <v>86</v>
      </c>
      <c r="Q39" s="64">
        <f>IF(N24=1,F27,N20/100)</f>
        <v>0.20480000000000001</v>
      </c>
      <c r="R39" s="41"/>
      <c r="S39" s="41"/>
      <c r="T39" s="41"/>
      <c r="U39" s="41"/>
      <c r="V39" s="41"/>
      <c r="W39" s="41"/>
    </row>
    <row r="40" spans="1:24" s="46" customFormat="1" ht="36" customHeight="1" thickBot="1" x14ac:dyDescent="0.25">
      <c r="A40" s="32"/>
      <c r="B40" s="381" t="str">
        <f>IF(N24=2,N50,N51)</f>
        <v>Eu, responsável técnico pelo orçamento, declaro para os devidos fins, que a opção pela desoneração sobre a folha de pagamento é mais adequada para a administração pública.</v>
      </c>
      <c r="C40" s="382"/>
      <c r="D40" s="382"/>
      <c r="E40" s="382"/>
      <c r="F40" s="382"/>
      <c r="G40" s="382"/>
      <c r="H40" s="382"/>
      <c r="I40" s="382"/>
      <c r="J40" s="382"/>
      <c r="K40" s="382"/>
      <c r="L40" s="32"/>
      <c r="M40" s="41"/>
      <c r="N40" s="41"/>
      <c r="O40" s="41"/>
      <c r="P40" s="44"/>
      <c r="Q40" s="41"/>
      <c r="R40" s="41"/>
      <c r="S40" s="64"/>
      <c r="T40" s="64"/>
      <c r="U40" s="41"/>
      <c r="V40" s="41"/>
      <c r="W40" s="41"/>
    </row>
    <row r="41" spans="1:24" s="46" customFormat="1" ht="12.75" customHeight="1" thickTop="1" thickBot="1" x14ac:dyDescent="0.25">
      <c r="A41" s="32"/>
      <c r="B41" s="103"/>
      <c r="C41" s="106"/>
      <c r="D41" s="97"/>
      <c r="E41" s="107"/>
      <c r="F41" s="107"/>
      <c r="G41" s="368" t="s">
        <v>87</v>
      </c>
      <c r="H41" s="369"/>
      <c r="I41" s="369"/>
      <c r="J41" s="369"/>
      <c r="K41" s="370"/>
      <c r="L41" s="41"/>
      <c r="M41" s="41"/>
      <c r="N41" s="41"/>
      <c r="O41" s="44"/>
      <c r="P41" s="41"/>
      <c r="Q41" s="44" t="s">
        <v>88</v>
      </c>
      <c r="R41" s="44" t="s">
        <v>89</v>
      </c>
      <c r="S41" s="44" t="s">
        <v>90</v>
      </c>
      <c r="T41" s="41"/>
      <c r="U41" s="41"/>
      <c r="V41" s="41"/>
      <c r="W41" s="41"/>
    </row>
    <row r="42" spans="1:24" s="46" customFormat="1" ht="13.5" customHeight="1" thickTop="1" x14ac:dyDescent="0.2">
      <c r="A42" s="32"/>
      <c r="B42" s="32"/>
      <c r="C42" s="106"/>
      <c r="D42" s="97"/>
      <c r="E42" s="32"/>
      <c r="F42" s="32"/>
      <c r="G42" s="371" t="str">
        <f>"        Declaro, conforme legislação tributária municipal, que a alíquota do ISS é de "&amp;N35</f>
        <v xml:space="preserve">        Declaro, conforme legislação tributária municipal, que a alíquota do ISS é de 3% e a sua base de cálculo é de 100% sobre o valor total do orçamento.</v>
      </c>
      <c r="H42" s="372"/>
      <c r="I42" s="372"/>
      <c r="J42" s="372"/>
      <c r="K42" s="373"/>
      <c r="L42" s="41"/>
      <c r="M42" s="41"/>
      <c r="N42" s="41"/>
      <c r="O42" s="44"/>
      <c r="P42" s="44" t="s">
        <v>91</v>
      </c>
      <c r="Q42" s="108">
        <f>IF(N18&lt;Q37,1,IF(N18&gt;R37,3,2))</f>
        <v>2</v>
      </c>
      <c r="R42" s="41">
        <f>IF(F27&lt;Q37,1,2)</f>
        <v>2</v>
      </c>
      <c r="S42" s="41"/>
      <c r="T42" s="41"/>
      <c r="U42" s="41"/>
      <c r="V42" s="41"/>
      <c r="W42" s="41"/>
    </row>
    <row r="43" spans="1:24" s="46" customFormat="1" x14ac:dyDescent="0.2">
      <c r="A43" s="377">
        <v>45595</v>
      </c>
      <c r="B43" s="377"/>
      <c r="C43" s="377"/>
      <c r="D43" s="97"/>
      <c r="E43" s="41"/>
      <c r="F43" s="109"/>
      <c r="G43" s="374"/>
      <c r="H43" s="375"/>
      <c r="I43" s="375"/>
      <c r="J43" s="375"/>
      <c r="K43" s="376"/>
      <c r="L43" s="99"/>
      <c r="M43" s="99"/>
      <c r="N43" s="99"/>
      <c r="O43" s="99" t="s">
        <v>92</v>
      </c>
      <c r="P43" s="99" t="s">
        <v>93</v>
      </c>
      <c r="Q43" s="110">
        <f>IF(F27&lt;Q37,1,IF(F27&gt;R37,3,2))</f>
        <v>3</v>
      </c>
      <c r="R43" s="99">
        <f>IF(F27&lt;R37,1,2)</f>
        <v>2</v>
      </c>
      <c r="S43" s="99"/>
      <c r="T43" s="99"/>
      <c r="U43" s="99"/>
      <c r="V43" s="99"/>
      <c r="W43" s="99"/>
    </row>
    <row r="44" spans="1:24" s="113" customFormat="1" ht="12.75" customHeight="1" x14ac:dyDescent="0.2">
      <c r="A44" s="378" t="s">
        <v>94</v>
      </c>
      <c r="B44" s="378"/>
      <c r="C44" s="378"/>
      <c r="D44" s="97"/>
      <c r="E44" s="111"/>
      <c r="F44" s="111"/>
      <c r="G44" s="374"/>
      <c r="H44" s="375"/>
      <c r="I44" s="375"/>
      <c r="J44" s="375"/>
      <c r="K44" s="376"/>
      <c r="L44" s="100"/>
      <c r="M44" s="100">
        <v>2</v>
      </c>
      <c r="N44" s="100" t="s">
        <v>95</v>
      </c>
      <c r="O44" s="100" t="s">
        <v>96</v>
      </c>
      <c r="P44" s="112"/>
      <c r="Q44" s="110">
        <f>SUM(Q42:Q43)</f>
        <v>5</v>
      </c>
      <c r="R44" s="100">
        <f>SUM(R42:R43)</f>
        <v>4</v>
      </c>
      <c r="S44" s="100"/>
      <c r="T44" s="100"/>
      <c r="U44" s="100"/>
      <c r="V44" s="100"/>
      <c r="W44" s="100"/>
    </row>
    <row r="45" spans="1:24" s="118" customFormat="1" ht="12.75" customHeight="1" x14ac:dyDescent="0.2">
      <c r="A45" s="30"/>
      <c r="B45" s="30"/>
      <c r="C45" s="31"/>
      <c r="D45" s="107"/>
      <c r="E45" s="114"/>
      <c r="F45" s="115"/>
      <c r="G45" s="116"/>
      <c r="H45" s="109"/>
      <c r="I45" s="107"/>
      <c r="J45" s="109"/>
      <c r="K45" s="117"/>
      <c r="L45" s="100"/>
      <c r="M45" s="100"/>
      <c r="N45" s="100" t="s">
        <v>97</v>
      </c>
      <c r="O45" s="100" t="s">
        <v>98</v>
      </c>
      <c r="P45" s="112"/>
      <c r="Q45" s="100"/>
      <c r="R45" s="100"/>
      <c r="S45" s="100"/>
      <c r="T45" s="100"/>
      <c r="U45" s="100"/>
      <c r="V45" s="100"/>
      <c r="W45" s="100"/>
    </row>
    <row r="46" spans="1:24" s="118" customFormat="1" ht="12.75" customHeight="1" x14ac:dyDescent="0.2">
      <c r="A46" s="30"/>
      <c r="B46" s="30"/>
      <c r="C46" s="31"/>
      <c r="D46" s="32"/>
      <c r="E46" s="119"/>
      <c r="F46" s="120"/>
      <c r="G46" s="116"/>
      <c r="H46" s="109"/>
      <c r="I46" s="107"/>
      <c r="J46" s="109"/>
      <c r="K46" s="117"/>
      <c r="L46" s="100"/>
      <c r="M46" s="100">
        <v>3</v>
      </c>
      <c r="N46" s="100" t="s">
        <v>99</v>
      </c>
      <c r="O46" s="100" t="s">
        <v>100</v>
      </c>
      <c r="P46" s="100"/>
      <c r="Q46" s="100"/>
      <c r="R46" s="100"/>
      <c r="S46" s="100"/>
      <c r="T46" s="100"/>
      <c r="U46" s="100"/>
      <c r="V46" s="100"/>
      <c r="W46" s="100"/>
    </row>
    <row r="47" spans="1:24" s="118" customFormat="1" ht="12.75" customHeight="1" thickBot="1" x14ac:dyDescent="0.25">
      <c r="A47" s="30"/>
      <c r="B47" s="30"/>
      <c r="C47" s="121"/>
      <c r="D47" s="122"/>
      <c r="E47" s="119"/>
      <c r="F47" s="120"/>
      <c r="G47" s="123"/>
      <c r="H47" s="41"/>
      <c r="I47" s="41"/>
      <c r="J47" s="41"/>
      <c r="K47" s="124"/>
      <c r="L47" s="100"/>
      <c r="M47" s="100"/>
      <c r="N47" s="100" t="s">
        <v>101</v>
      </c>
      <c r="O47" s="100" t="s">
        <v>102</v>
      </c>
      <c r="P47" s="100"/>
      <c r="Q47" s="100"/>
      <c r="R47" s="100"/>
      <c r="S47" s="100"/>
      <c r="T47" s="100"/>
      <c r="U47" s="100"/>
      <c r="V47" s="100"/>
      <c r="W47" s="100"/>
    </row>
    <row r="48" spans="1:24" s="118" customFormat="1" ht="14.25" customHeight="1" x14ac:dyDescent="0.2">
      <c r="A48" s="30"/>
      <c r="B48" s="30"/>
      <c r="C48" s="121"/>
      <c r="D48" s="125" t="s">
        <v>103</v>
      </c>
      <c r="E48" s="30"/>
      <c r="F48" s="30"/>
      <c r="G48" s="123"/>
      <c r="H48" s="379" t="s">
        <v>104</v>
      </c>
      <c r="I48" s="379"/>
      <c r="J48" s="379"/>
      <c r="K48" s="124"/>
      <c r="L48" s="30"/>
      <c r="M48" s="100"/>
      <c r="N48" s="100">
        <v>4</v>
      </c>
      <c r="O48" s="100" t="s">
        <v>105</v>
      </c>
      <c r="P48" s="100" t="s">
        <v>106</v>
      </c>
      <c r="Q48" s="100"/>
      <c r="R48" s="100"/>
      <c r="S48" s="100"/>
      <c r="T48" s="100"/>
      <c r="U48" s="100"/>
      <c r="V48" s="100"/>
      <c r="W48" s="100"/>
    </row>
    <row r="49" spans="1:24" s="118" customFormat="1" x14ac:dyDescent="0.2">
      <c r="A49" s="30"/>
      <c r="B49" s="30"/>
      <c r="C49" s="121" t="s">
        <v>107</v>
      </c>
      <c r="D49" s="126" t="s">
        <v>108</v>
      </c>
      <c r="E49" s="30"/>
      <c r="F49" s="30"/>
      <c r="G49" s="127" t="s">
        <v>109</v>
      </c>
      <c r="H49" s="380"/>
      <c r="I49" s="380"/>
      <c r="J49" s="380"/>
      <c r="K49" s="124"/>
      <c r="L49" s="30"/>
      <c r="M49" s="30"/>
      <c r="N49" s="30"/>
      <c r="O49" s="30"/>
      <c r="P49" s="69"/>
      <c r="Q49" s="30"/>
      <c r="R49" s="30"/>
      <c r="S49" s="30"/>
      <c r="T49" s="30"/>
      <c r="U49" s="30"/>
      <c r="V49" s="30"/>
      <c r="W49" s="30"/>
      <c r="X49" s="33"/>
    </row>
    <row r="50" spans="1:24" x14ac:dyDescent="0.2">
      <c r="A50" s="30"/>
      <c r="B50" s="30"/>
      <c r="C50" s="121" t="s">
        <v>110</v>
      </c>
      <c r="D50" s="128" t="s">
        <v>111</v>
      </c>
      <c r="E50" s="30"/>
      <c r="F50" s="30"/>
      <c r="G50" s="129" t="s">
        <v>112</v>
      </c>
      <c r="H50" s="366"/>
      <c r="I50" s="366"/>
      <c r="J50" s="366"/>
      <c r="K50" s="124"/>
      <c r="L50" s="30"/>
      <c r="M50" s="32"/>
      <c r="N50" s="130" t="s">
        <v>113</v>
      </c>
      <c r="O50" s="32"/>
      <c r="P50" s="32"/>
      <c r="Q50" s="32"/>
      <c r="R50" s="32"/>
      <c r="S50" s="32"/>
      <c r="T50" s="32"/>
      <c r="U50" s="32"/>
      <c r="V50" s="32"/>
      <c r="W50" s="32"/>
    </row>
    <row r="51" spans="1:24" ht="13.5" thickBot="1" x14ac:dyDescent="0.25">
      <c r="A51" s="30"/>
      <c r="B51" s="30"/>
      <c r="C51" s="121" t="s">
        <v>114</v>
      </c>
      <c r="D51" s="131" t="s">
        <v>190</v>
      </c>
      <c r="E51" s="30"/>
      <c r="F51" s="30"/>
      <c r="G51" s="132" t="s">
        <v>115</v>
      </c>
      <c r="H51" s="367"/>
      <c r="I51" s="367"/>
      <c r="J51" s="367"/>
      <c r="K51" s="133"/>
      <c r="L51" s="30"/>
      <c r="M51" s="32"/>
      <c r="N51" s="130" t="s">
        <v>116</v>
      </c>
      <c r="O51" s="32"/>
      <c r="P51" s="32"/>
      <c r="Q51" s="32"/>
      <c r="R51" s="32"/>
      <c r="S51" s="32"/>
      <c r="T51" s="32"/>
      <c r="U51" s="32"/>
      <c r="V51" s="32"/>
      <c r="W51" s="32"/>
    </row>
    <row r="52" spans="1:24" ht="9.75" customHeight="1" thickTop="1" x14ac:dyDescent="0.2">
      <c r="A52" s="30"/>
      <c r="B52" s="30"/>
      <c r="C52" s="31"/>
      <c r="D52" s="30"/>
      <c r="E52" s="30"/>
      <c r="F52" s="30"/>
      <c r="G52" s="120"/>
      <c r="H52" s="120"/>
      <c r="I52" s="30"/>
      <c r="J52" s="30"/>
      <c r="K52" s="30"/>
      <c r="L52" s="30"/>
    </row>
    <row r="53" spans="1:24" ht="30.75" customHeight="1" x14ac:dyDescent="0.2"/>
    <row r="54" spans="1:24" ht="11.1" customHeight="1" x14ac:dyDescent="0.2">
      <c r="N54" s="135" t="str">
        <f>IF(N24=1,N57,N58)</f>
        <v>OK! Percentual do BDI quando calculado sem desoneração atende ao limite estipulado pelo Acórdão TCU 2.622/2013.</v>
      </c>
    </row>
    <row r="55" spans="1:24" ht="11.1" customHeight="1" x14ac:dyDescent="0.2">
      <c r="N55" s="135"/>
    </row>
    <row r="56" spans="1:24" ht="11.1" customHeight="1" x14ac:dyDescent="0.2">
      <c r="N56" s="135"/>
    </row>
    <row r="57" spans="1:24" ht="11.1" customHeight="1" x14ac:dyDescent="0.2">
      <c r="N57" s="135" t="str">
        <f>IF(Q39&lt;Q37,N44,IF(Q39&gt;R37,O48,N46))</f>
        <v>OK!</v>
      </c>
      <c r="R57" s="69" t="s">
        <v>117</v>
      </c>
    </row>
    <row r="58" spans="1:24" x14ac:dyDescent="0.2">
      <c r="N58" s="135" t="str">
        <f>IF(Q39&lt;Q37,N44,IF(Q39&gt;R37,O48,N59))</f>
        <v>OK! Percentual do BDI quando calculado sem desoneração atende ao limite estipulado pelo Acórdão TCU 2.622/2013.</v>
      </c>
      <c r="R58" s="69" t="s">
        <v>118</v>
      </c>
    </row>
    <row r="59" spans="1:24" x14ac:dyDescent="0.2">
      <c r="N59" s="135" t="str">
        <f>IF(F27&gt;R37,N47,N46)</f>
        <v>OK! Percentual do BDI quando calculado sem desoneração atende ao limite estipulado pelo Acórdão TCU 2.622/2013.</v>
      </c>
      <c r="R59" s="69" t="s">
        <v>118</v>
      </c>
    </row>
  </sheetData>
  <sheetProtection password="CCED" sheet="1" selectLockedCells="1"/>
  <mergeCells count="26">
    <mergeCell ref="C13:I13"/>
    <mergeCell ref="E2:G2"/>
    <mergeCell ref="D4:G4"/>
    <mergeCell ref="E6:G6"/>
    <mergeCell ref="A8:L8"/>
    <mergeCell ref="G10:G11"/>
    <mergeCell ref="B40:K40"/>
    <mergeCell ref="A21:B21"/>
    <mergeCell ref="J21:L22"/>
    <mergeCell ref="A22:A23"/>
    <mergeCell ref="B22:B23"/>
    <mergeCell ref="E25:G25"/>
    <mergeCell ref="H25:I25"/>
    <mergeCell ref="B26:D26"/>
    <mergeCell ref="E27:E28"/>
    <mergeCell ref="F27:F28"/>
    <mergeCell ref="G27:I29"/>
    <mergeCell ref="B36:K37"/>
    <mergeCell ref="H50:J50"/>
    <mergeCell ref="H51:J51"/>
    <mergeCell ref="G41:K41"/>
    <mergeCell ref="G42:K44"/>
    <mergeCell ref="A43:C43"/>
    <mergeCell ref="A44:C44"/>
    <mergeCell ref="H48:J48"/>
    <mergeCell ref="H49:J49"/>
  </mergeCells>
  <conditionalFormatting sqref="A43 D6:G6 D2:G2 D4:G4 D49:D51 E45:F47 G50:G52 H52">
    <cfRule type="cellIs" dxfId="6" priority="1" stopIfTrue="1" operator="notEqual">
      <formula>""</formula>
    </cfRule>
  </conditionalFormatting>
  <conditionalFormatting sqref="G26">
    <cfRule type="cellIs" dxfId="5" priority="2" stopIfTrue="1" operator="equal">
      <formula>"NÃO OK"</formula>
    </cfRule>
    <cfRule type="cellIs" dxfId="4" priority="3" stopIfTrue="1" operator="equal">
      <formula>"OK"</formula>
    </cfRule>
  </conditionalFormatting>
  <conditionalFormatting sqref="F15:F19 A24:B24 H49:J51">
    <cfRule type="cellIs" dxfId="3" priority="4" stopIfTrue="1" operator="equal">
      <formula>""</formula>
    </cfRule>
  </conditionalFormatting>
  <conditionalFormatting sqref="G27:I29">
    <cfRule type="cellIs" dxfId="2" priority="5" stopIfTrue="1" operator="equal">
      <formula>"OK! Percentual do BDI quando calculado sem desoneração atende ao limite estipulado pelo Acórdão TCU 2.622/2013."</formula>
    </cfRule>
    <cfRule type="cellIs" dxfId="1" priority="6" stopIfTrue="1" operator="equal">
      <formula>"OK!"</formula>
    </cfRule>
    <cfRule type="cellIs" dxfId="0" priority="7" stopIfTrue="1" operator="notEqual">
      <formula>"OK!"</formula>
    </cfRule>
  </conditionalFormatting>
  <dataValidations count="3">
    <dataValidation type="list" allowBlank="1" showInputMessage="1" showErrorMessage="1" promptTitle="Escolha" prompt="o tipo de obra"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$N$10:$N$14</formula1>
    </dataValidation>
    <dataValidation allowBlank="1" showInputMessage="1" showErrorMessage="1" promptTitle="Data" prompt="Indique a data da assinatura do documento" sqref="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dataValidation type="custom" allowBlank="1" showInputMessage="1" showErrorMessage="1" sqref="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formula1>A1</formula1>
    </dataValidation>
  </dataValidations>
  <printOptions horizontalCentered="1"/>
  <pageMargins left="0.98425196850393704" right="0.51181102362204722" top="0.78740157480314965" bottom="0.78740157480314965" header="0.31496062992125984" footer="0.31496062992125984"/>
  <pageSetup paperSize="9" scale="6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locked="0" defaultSize="0" autoLine="0" autoPict="0" altText="teste">
                <anchor moveWithCells="1">
                  <from>
                    <xdr:col>3</xdr:col>
                    <xdr:colOff>28575</xdr:colOff>
                    <xdr:row>10</xdr:row>
                    <xdr:rowOff>9525</xdr:rowOff>
                  </from>
                  <to>
                    <xdr:col>5</xdr:col>
                    <xdr:colOff>485775</xdr:colOff>
                    <xdr:row>11</xdr:row>
                    <xdr:rowOff>47625</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9</xdr:col>
                    <xdr:colOff>19050</xdr:colOff>
                    <xdr:row>21</xdr:row>
                    <xdr:rowOff>142875</xdr:rowOff>
                  </from>
                  <to>
                    <xdr:col>11</xdr:col>
                    <xdr:colOff>819150</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7</vt:i4>
      </vt:variant>
    </vt:vector>
  </HeadingPairs>
  <TitlesOfParts>
    <vt:vector size="12" baseType="lpstr">
      <vt:lpstr>PLANILHA ORÇAMENTÁRIA</vt:lpstr>
      <vt:lpstr>CRONOGRAMA</vt:lpstr>
      <vt:lpstr>ABC</vt:lpstr>
      <vt:lpstr>INCC-M</vt:lpstr>
      <vt:lpstr>BDI</vt:lpstr>
      <vt:lpstr>ABC!Area_de_impressao</vt:lpstr>
      <vt:lpstr>BDI!Area_de_impressao</vt:lpstr>
      <vt:lpstr>CRONOGRAMA!Area_de_impressao</vt:lpstr>
      <vt:lpstr>'INCC-M'!Area_de_impressao</vt:lpstr>
      <vt:lpstr>'PLANILHA ORÇAMENTÁRIA'!Area_de_impressao</vt:lpstr>
      <vt:lpstr>BDI!matriz</vt:lpstr>
      <vt:lpstr>BDI!matriz2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Kazuiti Omura Junior</dc:creator>
  <cp:lastModifiedBy>Ricardo Kazuiti Omura Junior</cp:lastModifiedBy>
  <cp:lastPrinted>2024-11-06T17:36:36Z</cp:lastPrinted>
  <dcterms:created xsi:type="dcterms:W3CDTF">2024-07-29T13:25:31Z</dcterms:created>
  <dcterms:modified xsi:type="dcterms:W3CDTF">2024-11-07T13:55:24Z</dcterms:modified>
</cp:coreProperties>
</file>