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EstaPasta_de_trabalho"/>
  <bookViews>
    <workbookView xWindow="0" yWindow="0" windowWidth="17700" windowHeight="10065" tabRatio="913" firstSheet="3" activeTab="7"/>
  </bookViews>
  <sheets>
    <sheet name="Dados de entrada Veíc. e Equip." sheetId="42" state="hidden" r:id="rId1"/>
    <sheet name="DIMENSIONAMENTO DA FROTA" sheetId="45" state="hidden" r:id="rId2"/>
    <sheet name="DIMENSIONAMENTO DA FROTA COMPLE" sheetId="46" state="hidden" r:id="rId3"/>
    <sheet name="RESUMO" sheetId="59" r:id="rId4"/>
    <sheet name="DADOS DE ENTRADA" sheetId="44" r:id="rId5"/>
    <sheet name="PREÇOS UNITÁRIOS" sheetId="40" r:id="rId6"/>
    <sheet name="ADM" sheetId="56" r:id="rId7"/>
    <sheet name="COLETA URBANA " sheetId="43" r:id="rId8"/>
    <sheet name="Orç. Equi. Veículo " sheetId="35" r:id="rId9"/>
    <sheet name="Orç. EPI" sheetId="47" r:id="rId10"/>
    <sheet name="Orç. Pneus" sheetId="58" r:id="rId11"/>
  </sheets>
  <definedNames>
    <definedName name="_xlnm.Print_Area" localSheetId="6">ADM!$A$8:$D$25</definedName>
    <definedName name="_xlnm.Print_Area" localSheetId="7">'COLETA URBANA '!$A$1:$H$352</definedName>
    <definedName name="_xlnm.Print_Area" localSheetId="4">'DADOS DE ENTRADA'!#REF!</definedName>
    <definedName name="_xlnm.Print_Area" localSheetId="0">'Dados de entrada Veíc. e Equip.'!#REF!</definedName>
    <definedName name="_xlnm.Print_Area" localSheetId="5">'PREÇOS UNITÁRIOS'!$B$2:$F$62</definedName>
    <definedName name="_xlnm.Print_Area" localSheetId="3">RESUMO!$B$2:$F$11</definedName>
    <definedName name="_xlnm.Print_Titles" localSheetId="7">'COLETA URBANA '!$1:$6</definedName>
    <definedName name="_xlnm.Print_Titles" localSheetId="4">'DADOS DE ENTRADA'!#REF!</definedName>
    <definedName name="_xlnm.Print_Titles" localSheetId="0">'Dados de entrada Veíc. e Equip.'!#REF!</definedName>
  </definedNames>
  <calcPr calcId="152511" fullCalcOnLoad="1" fullPrecision="0"/>
</workbook>
</file>

<file path=xl/calcChain.xml><?xml version="1.0" encoding="utf-8"?>
<calcChain xmlns="http://schemas.openxmlformats.org/spreadsheetml/2006/main">
  <c r="F249" i="43" l="1"/>
  <c r="G249" i="43"/>
  <c r="F248" i="43"/>
  <c r="G248" i="43"/>
  <c r="F201" i="43"/>
  <c r="F199" i="43"/>
  <c r="G30" i="43"/>
  <c r="F12" i="43"/>
  <c r="G12" i="43"/>
  <c r="G13" i="43"/>
  <c r="G23" i="43"/>
  <c r="G62" i="43"/>
  <c r="G82" i="43"/>
  <c r="G69" i="43"/>
  <c r="G107" i="43"/>
  <c r="F108" i="43"/>
  <c r="G108" i="43"/>
  <c r="G146" i="43"/>
  <c r="F147" i="43"/>
  <c r="G147" i="43"/>
  <c r="G49" i="43"/>
  <c r="G42" i="43"/>
  <c r="G11" i="43"/>
  <c r="E338" i="43"/>
  <c r="E341" i="43"/>
  <c r="C213" i="43"/>
  <c r="K161" i="44"/>
  <c r="K162" i="44"/>
  <c r="F177" i="43"/>
  <c r="G177" i="43"/>
  <c r="F207" i="43"/>
  <c r="F205" i="43"/>
  <c r="F230" i="43"/>
  <c r="G230" i="43"/>
  <c r="F204" i="43"/>
  <c r="G204" i="43"/>
  <c r="F116" i="43"/>
  <c r="G116" i="43"/>
  <c r="F128" i="43"/>
  <c r="B128" i="43"/>
  <c r="F126" i="43"/>
  <c r="G126" i="43"/>
  <c r="F127" i="43"/>
  <c r="F124" i="43"/>
  <c r="E113" i="43"/>
  <c r="E123" i="43"/>
  <c r="E125" i="43"/>
  <c r="E114" i="43"/>
  <c r="F114" i="43"/>
  <c r="G114" i="43"/>
  <c r="E107" i="43"/>
  <c r="F107" i="43"/>
  <c r="E105" i="43"/>
  <c r="E94" i="43"/>
  <c r="E104" i="43"/>
  <c r="E115" i="43"/>
  <c r="E95" i="43"/>
  <c r="E133" i="43"/>
  <c r="E143" i="43"/>
  <c r="E145" i="43"/>
  <c r="E97" i="43"/>
  <c r="C91" i="44"/>
  <c r="C80" i="44"/>
  <c r="C79" i="44"/>
  <c r="E124" i="43"/>
  <c r="G124" i="43"/>
  <c r="F125" i="43"/>
  <c r="B122" i="43"/>
  <c r="B120" i="43"/>
  <c r="F165" i="43"/>
  <c r="G165" i="43"/>
  <c r="F164" i="43"/>
  <c r="G164" i="43"/>
  <c r="F163" i="43"/>
  <c r="G163" i="43"/>
  <c r="F162" i="43"/>
  <c r="F161" i="43"/>
  <c r="G161" i="43"/>
  <c r="F160" i="43"/>
  <c r="G160" i="43"/>
  <c r="F159" i="43"/>
  <c r="G159" i="43"/>
  <c r="K160" i="44"/>
  <c r="D155" i="44"/>
  <c r="C155" i="44"/>
  <c r="C162" i="44"/>
  <c r="J162" i="44"/>
  <c r="I162" i="44"/>
  <c r="H162" i="44"/>
  <c r="G162" i="44"/>
  <c r="F162" i="44"/>
  <c r="E162" i="44"/>
  <c r="D162" i="44"/>
  <c r="C154" i="44"/>
  <c r="J161" i="44"/>
  <c r="F161" i="44"/>
  <c r="E161" i="44"/>
  <c r="D161" i="44"/>
  <c r="G161" i="44"/>
  <c r="H161" i="44"/>
  <c r="C161" i="44"/>
  <c r="C160" i="44"/>
  <c r="J160" i="44"/>
  <c r="I161" i="44"/>
  <c r="C153" i="44"/>
  <c r="D153" i="44"/>
  <c r="D154" i="44"/>
  <c r="E266" i="43"/>
  <c r="F4" i="47"/>
  <c r="F5" i="47"/>
  <c r="F6" i="47"/>
  <c r="F7" i="47"/>
  <c r="F8" i="47"/>
  <c r="F9" i="47"/>
  <c r="F10" i="47"/>
  <c r="F11" i="47"/>
  <c r="F12" i="47"/>
  <c r="F13" i="47"/>
  <c r="F14" i="47"/>
  <c r="F15" i="47"/>
  <c r="F3" i="47"/>
  <c r="E25" i="44"/>
  <c r="F168" i="44"/>
  <c r="F169" i="44"/>
  <c r="F2" i="35"/>
  <c r="G2" i="35"/>
  <c r="E14" i="35"/>
  <c r="E15" i="35"/>
  <c r="E79" i="43"/>
  <c r="H2" i="35"/>
  <c r="E267" i="43"/>
  <c r="E232" i="43"/>
  <c r="E268" i="43"/>
  <c r="F148" i="43"/>
  <c r="G148" i="43"/>
  <c r="F109" i="43"/>
  <c r="G109" i="43"/>
  <c r="F84" i="43"/>
  <c r="G84" i="43"/>
  <c r="F64" i="43"/>
  <c r="G64" i="43"/>
  <c r="F44" i="43"/>
  <c r="G44" i="43"/>
  <c r="F25" i="43"/>
  <c r="D160" i="44"/>
  <c r="B11" i="58"/>
  <c r="C124" i="44"/>
  <c r="H154" i="44"/>
  <c r="H155" i="44"/>
  <c r="AM190" i="44"/>
  <c r="AM189" i="44"/>
  <c r="AM187" i="44"/>
  <c r="AM186" i="44"/>
  <c r="AM185" i="44"/>
  <c r="AM183" i="44"/>
  <c r="AM182" i="44"/>
  <c r="AM181" i="44"/>
  <c r="AM179" i="44"/>
  <c r="AM178" i="44"/>
  <c r="C207" i="43"/>
  <c r="E207" i="43"/>
  <c r="E154" i="44"/>
  <c r="E155" i="44"/>
  <c r="F154" i="44"/>
  <c r="F155" i="44"/>
  <c r="G154" i="44"/>
  <c r="E39" i="43"/>
  <c r="E41" i="43"/>
  <c r="E43" i="43"/>
  <c r="E44" i="43"/>
  <c r="C8" i="46"/>
  <c r="C10" i="46"/>
  <c r="E182" i="44"/>
  <c r="E346" i="43"/>
  <c r="C205" i="43"/>
  <c r="C204" i="43"/>
  <c r="E204" i="43"/>
  <c r="C203" i="43"/>
  <c r="E203" i="43"/>
  <c r="C202" i="43"/>
  <c r="E186" i="44"/>
  <c r="E185" i="44"/>
  <c r="E183" i="44"/>
  <c r="C198" i="43"/>
  <c r="E198" i="43"/>
  <c r="G153" i="44"/>
  <c r="G155" i="44"/>
  <c r="F215" i="43"/>
  <c r="H19" i="46"/>
  <c r="H20" i="46"/>
  <c r="B35" i="46"/>
  <c r="B74" i="46"/>
  <c r="B75" i="46"/>
  <c r="H12" i="46"/>
  <c r="J9" i="45"/>
  <c r="I9" i="45"/>
  <c r="H9" i="45"/>
  <c r="C9" i="45"/>
  <c r="C10" i="45"/>
  <c r="J16" i="46"/>
  <c r="K13" i="46"/>
  <c r="J13" i="46"/>
  <c r="B26" i="45"/>
  <c r="B26" i="46"/>
  <c r="B42" i="46"/>
  <c r="B33" i="45"/>
  <c r="B76" i="45"/>
  <c r="B101" i="43"/>
  <c r="B103" i="43"/>
  <c r="B140" i="43"/>
  <c r="B142" i="43"/>
  <c r="E100" i="43"/>
  <c r="E99" i="43"/>
  <c r="E59" i="43"/>
  <c r="E61" i="43"/>
  <c r="E63" i="43"/>
  <c r="E64" i="43"/>
  <c r="E20" i="43"/>
  <c r="E22" i="43"/>
  <c r="E51" i="43"/>
  <c r="E297" i="43"/>
  <c r="E295" i="43"/>
  <c r="E306" i="43"/>
  <c r="E305" i="43"/>
  <c r="E303" i="43"/>
  <c r="E302" i="43"/>
  <c r="B133" i="43"/>
  <c r="B94" i="43"/>
  <c r="B110" i="43"/>
  <c r="B75" i="43"/>
  <c r="B77" i="43"/>
  <c r="B55" i="43"/>
  <c r="B57" i="43"/>
  <c r="B35" i="43"/>
  <c r="B37" i="43"/>
  <c r="B45" i="43"/>
  <c r="B18" i="43"/>
  <c r="B16" i="43"/>
  <c r="E290" i="43"/>
  <c r="E289" i="43"/>
  <c r="E288" i="43"/>
  <c r="E287" i="43"/>
  <c r="E286" i="43"/>
  <c r="E284" i="43"/>
  <c r="E279" i="43"/>
  <c r="E278" i="43"/>
  <c r="E277" i="43"/>
  <c r="E276" i="43"/>
  <c r="E275" i="43"/>
  <c r="E273" i="43"/>
  <c r="E304" i="43"/>
  <c r="E296" i="43"/>
  <c r="F260" i="43"/>
  <c r="G260" i="43"/>
  <c r="E259" i="43"/>
  <c r="E260" i="43"/>
  <c r="F259" i="43"/>
  <c r="G259" i="43"/>
  <c r="E233" i="43"/>
  <c r="E231" i="43"/>
  <c r="E238" i="43"/>
  <c r="E239" i="43"/>
  <c r="E240" i="43"/>
  <c r="E237" i="43"/>
  <c r="E230" i="43"/>
  <c r="E229" i="43"/>
  <c r="E228" i="43"/>
  <c r="E227" i="43"/>
  <c r="E224" i="43"/>
  <c r="E225" i="43"/>
  <c r="E226" i="43"/>
  <c r="E223" i="43"/>
  <c r="E30" i="43"/>
  <c r="F69" i="43"/>
  <c r="B69" i="43"/>
  <c r="C215" i="43"/>
  <c r="E215" i="43"/>
  <c r="C208" i="43"/>
  <c r="E208" i="43"/>
  <c r="C214" i="43"/>
  <c r="E214" i="43"/>
  <c r="C212" i="43"/>
  <c r="E212" i="43"/>
  <c r="C206" i="43"/>
  <c r="E206" i="43"/>
  <c r="C201" i="43"/>
  <c r="E201" i="43"/>
  <c r="E247" i="43"/>
  <c r="C200" i="43"/>
  <c r="E200" i="43"/>
  <c r="C199" i="43"/>
  <c r="E199" i="43"/>
  <c r="H153" i="44"/>
  <c r="C167" i="44"/>
  <c r="C169" i="44"/>
  <c r="F160" i="44"/>
  <c r="E160" i="44"/>
  <c r="F188" i="43"/>
  <c r="G188" i="43"/>
  <c r="F187" i="43"/>
  <c r="G187" i="43"/>
  <c r="F186" i="43"/>
  <c r="G186" i="43"/>
  <c r="F185" i="43"/>
  <c r="G185" i="43"/>
  <c r="F176" i="43"/>
  <c r="G176" i="43"/>
  <c r="F175" i="43"/>
  <c r="G175" i="43"/>
  <c r="F174" i="43"/>
  <c r="F173" i="43"/>
  <c r="F184" i="43"/>
  <c r="F172" i="43"/>
  <c r="F183" i="43"/>
  <c r="F171" i="43"/>
  <c r="G171" i="43"/>
  <c r="G178" i="43"/>
  <c r="F182" i="43"/>
  <c r="G182" i="43"/>
  <c r="F170" i="43"/>
  <c r="G170" i="43"/>
  <c r="F181" i="43"/>
  <c r="G181" i="43"/>
  <c r="F169" i="43"/>
  <c r="F153" i="44"/>
  <c r="E153" i="44"/>
  <c r="F144" i="43"/>
  <c r="G144" i="43"/>
  <c r="F145" i="43"/>
  <c r="G145" i="43"/>
  <c r="F136" i="43"/>
  <c r="G136" i="43"/>
  <c r="E136" i="43"/>
  <c r="E135" i="43"/>
  <c r="E134" i="43"/>
  <c r="F134" i="43"/>
  <c r="B134" i="43"/>
  <c r="G134" i="43"/>
  <c r="E147" i="43"/>
  <c r="E148" i="43"/>
  <c r="E74" i="43"/>
  <c r="E73" i="43"/>
  <c r="E54" i="43"/>
  <c r="E53" i="43"/>
  <c r="E34" i="43"/>
  <c r="E33" i="43"/>
  <c r="E15" i="43"/>
  <c r="E14" i="43"/>
  <c r="E11" i="43"/>
  <c r="F11" i="43"/>
  <c r="E12" i="43"/>
  <c r="E69" i="43"/>
  <c r="E70" i="43"/>
  <c r="E71" i="43"/>
  <c r="F71" i="43"/>
  <c r="G71" i="43"/>
  <c r="F40" i="43"/>
  <c r="G40" i="43"/>
  <c r="F41" i="43"/>
  <c r="G41" i="43"/>
  <c r="F83" i="43"/>
  <c r="G83" i="43"/>
  <c r="F105" i="43"/>
  <c r="F95" i="43"/>
  <c r="G95" i="43"/>
  <c r="F96" i="43"/>
  <c r="E96" i="43"/>
  <c r="F97" i="43"/>
  <c r="G97" i="43"/>
  <c r="C136" i="44"/>
  <c r="C145" i="44"/>
  <c r="C147" i="44"/>
  <c r="C143" i="44"/>
  <c r="E80" i="43"/>
  <c r="C88" i="44"/>
  <c r="E82" i="43"/>
  <c r="F82" i="43"/>
  <c r="E49" i="43"/>
  <c r="E50" i="43"/>
  <c r="F51" i="43"/>
  <c r="C77" i="44"/>
  <c r="E60" i="43"/>
  <c r="F60" i="43"/>
  <c r="G60" i="43"/>
  <c r="F63" i="43"/>
  <c r="G63" i="43"/>
  <c r="E31" i="43"/>
  <c r="F31" i="43"/>
  <c r="C78" i="44"/>
  <c r="E40" i="43"/>
  <c r="F43" i="43"/>
  <c r="G43" i="43"/>
  <c r="C76" i="44"/>
  <c r="E21" i="43"/>
  <c r="F21" i="43"/>
  <c r="G21" i="43"/>
  <c r="F22" i="43"/>
  <c r="G22" i="43"/>
  <c r="F24" i="43"/>
  <c r="G24" i="43"/>
  <c r="C86" i="44"/>
  <c r="E62" i="43"/>
  <c r="F62" i="43"/>
  <c r="C87" i="44"/>
  <c r="E42" i="43"/>
  <c r="F42" i="43"/>
  <c r="C85" i="44"/>
  <c r="E23" i="43"/>
  <c r="F23" i="43"/>
  <c r="C90" i="44"/>
  <c r="C89" i="44"/>
  <c r="D296" i="43"/>
  <c r="D304" i="43"/>
  <c r="D285" i="43"/>
  <c r="D274" i="43"/>
  <c r="F257" i="43"/>
  <c r="G257" i="43"/>
  <c r="F258" i="43"/>
  <c r="C21" i="46"/>
  <c r="L13" i="46"/>
  <c r="M13" i="46"/>
  <c r="C11" i="46"/>
  <c r="C12" i="46"/>
  <c r="C13" i="46"/>
  <c r="B51" i="46"/>
  <c r="H13" i="46"/>
  <c r="H16" i="46"/>
  <c r="H17" i="46"/>
  <c r="C26" i="46"/>
  <c r="B66" i="46"/>
  <c r="B67" i="46"/>
  <c r="E258" i="43"/>
  <c r="E285" i="43"/>
  <c r="E274" i="43"/>
  <c r="E257" i="43"/>
  <c r="F277" i="43"/>
  <c r="G277" i="43"/>
  <c r="F279" i="43"/>
  <c r="G279" i="43"/>
  <c r="F275" i="43"/>
  <c r="F278" i="43"/>
  <c r="G278" i="43"/>
  <c r="F276" i="43"/>
  <c r="G276" i="43"/>
  <c r="F290" i="43"/>
  <c r="G290" i="43"/>
  <c r="F306" i="43"/>
  <c r="G306" i="43"/>
  <c r="N13" i="46"/>
  <c r="F305" i="43"/>
  <c r="G305" i="43"/>
  <c r="G307" i="43"/>
  <c r="F239" i="43"/>
  <c r="G239" i="43"/>
  <c r="F286" i="43"/>
  <c r="G286" i="43"/>
  <c r="G291" i="43"/>
  <c r="G292" i="43"/>
  <c r="F252" i="43"/>
  <c r="G252" i="43"/>
  <c r="F297" i="43"/>
  <c r="G297" i="43"/>
  <c r="G298" i="43"/>
  <c r="G299" i="43"/>
  <c r="F287" i="43"/>
  <c r="G287" i="43"/>
  <c r="F251" i="43"/>
  <c r="G251" i="43"/>
  <c r="F267" i="43"/>
  <c r="G267" i="43"/>
  <c r="F268" i="43"/>
  <c r="G268" i="43"/>
  <c r="F250" i="43"/>
  <c r="G250" i="43"/>
  <c r="F289" i="43"/>
  <c r="G289" i="43"/>
  <c r="F288" i="43"/>
  <c r="G288" i="43"/>
  <c r="F266" i="43"/>
  <c r="G266" i="43"/>
  <c r="F212" i="43"/>
  <c r="G212" i="43"/>
  <c r="E144" i="43"/>
  <c r="E146" i="43"/>
  <c r="F146" i="43"/>
  <c r="H168" i="44"/>
  <c r="H169" i="44"/>
  <c r="C168" i="44"/>
  <c r="I168" i="44"/>
  <c r="I169" i="44"/>
  <c r="E205" i="43"/>
  <c r="C146" i="44"/>
  <c r="E168" i="44"/>
  <c r="E169" i="44"/>
  <c r="G168" i="44"/>
  <c r="G169" i="44"/>
  <c r="D168" i="44"/>
  <c r="D169" i="44"/>
  <c r="E139" i="43"/>
  <c r="E138" i="43"/>
  <c r="F206" i="43"/>
  <c r="G206" i="43"/>
  <c r="F214" i="43"/>
  <c r="F208" i="43"/>
  <c r="F233" i="43"/>
  <c r="G233" i="43"/>
  <c r="B212" i="43"/>
  <c r="G215" i="43"/>
  <c r="E213" i="43"/>
  <c r="G258" i="43"/>
  <c r="G51" i="43"/>
  <c r="G207" i="43"/>
  <c r="G205" i="43"/>
  <c r="G214" i="43"/>
  <c r="G174" i="43"/>
  <c r="G173" i="43"/>
  <c r="G172" i="43"/>
  <c r="E202" i="43"/>
  <c r="F30" i="43"/>
  <c r="G208" i="43"/>
  <c r="E106" i="43"/>
  <c r="E108" i="43"/>
  <c r="E109" i="43"/>
  <c r="C11" i="45"/>
  <c r="B42" i="45"/>
  <c r="B43" i="45"/>
  <c r="B78" i="45"/>
  <c r="B79" i="45"/>
  <c r="B80" i="45"/>
  <c r="C100" i="44"/>
  <c r="E141" i="43"/>
  <c r="C95" i="44"/>
  <c r="E17" i="43"/>
  <c r="C101" i="44"/>
  <c r="C96" i="44"/>
  <c r="E56" i="43"/>
  <c r="C99" i="44"/>
  <c r="E102" i="43"/>
  <c r="I160" i="44"/>
  <c r="C97" i="44"/>
  <c r="E36" i="43"/>
  <c r="H160" i="44"/>
  <c r="G160" i="44"/>
  <c r="C98" i="44"/>
  <c r="E76" i="43"/>
  <c r="G169" i="43"/>
  <c r="I154" i="44"/>
  <c r="I155" i="44"/>
  <c r="E159" i="43" a="1"/>
  <c r="J168" i="44"/>
  <c r="J169" i="44"/>
  <c r="E181" i="43" a="1"/>
  <c r="F49" i="43"/>
  <c r="B49" i="43"/>
  <c r="E24" i="43"/>
  <c r="E25" i="43"/>
  <c r="G25" i="43"/>
  <c r="G105" i="43"/>
  <c r="F106" i="43"/>
  <c r="G106" i="43"/>
  <c r="E78" i="43"/>
  <c r="E81" i="43"/>
  <c r="E83" i="43"/>
  <c r="E84" i="43"/>
  <c r="E246" i="43"/>
  <c r="E250" i="43"/>
  <c r="E249" i="43"/>
  <c r="E252" i="43"/>
  <c r="F232" i="43"/>
  <c r="G232" i="43"/>
  <c r="B95" i="43"/>
  <c r="F203" i="43"/>
  <c r="G203" i="43"/>
  <c r="F202" i="43"/>
  <c r="F227" i="43"/>
  <c r="G227" i="43"/>
  <c r="F198" i="43"/>
  <c r="G198" i="43"/>
  <c r="G209" i="43"/>
  <c r="E248" i="43"/>
  <c r="E159" i="43"/>
  <c r="E163" i="43"/>
  <c r="E160" i="43"/>
  <c r="E164" i="43"/>
  <c r="E165" i="43"/>
  <c r="E162" i="43"/>
  <c r="G162" i="43"/>
  <c r="E161" i="43"/>
  <c r="E184" i="43"/>
  <c r="G184" i="43"/>
  <c r="E183" i="43"/>
  <c r="G183" i="43"/>
  <c r="E181" i="43"/>
  <c r="E182" i="43"/>
  <c r="E186" i="43"/>
  <c r="E187" i="43"/>
  <c r="E185" i="43"/>
  <c r="E188" i="43"/>
  <c r="B198" i="43"/>
  <c r="E251" i="43"/>
  <c r="F50" i="43"/>
  <c r="E118" i="43"/>
  <c r="E119" i="43"/>
  <c r="E127" i="43"/>
  <c r="K16" i="46"/>
  <c r="H11" i="46"/>
  <c r="E128" i="43"/>
  <c r="G202" i="43"/>
  <c r="B12" i="43"/>
  <c r="B31" i="43"/>
  <c r="G128" i="43"/>
  <c r="B126" i="43"/>
  <c r="G127" i="43"/>
  <c r="B127" i="43"/>
  <c r="G199" i="43"/>
  <c r="B204" i="43"/>
  <c r="B207" i="43"/>
  <c r="F224" i="43"/>
  <c r="G224" i="43"/>
  <c r="G201" i="43"/>
  <c r="F226" i="43"/>
  <c r="G226" i="43"/>
  <c r="F231" i="43"/>
  <c r="G231" i="43"/>
  <c r="B50" i="43"/>
  <c r="G275" i="43"/>
  <c r="G280" i="43"/>
  <c r="G281" i="43"/>
  <c r="F80" i="43"/>
  <c r="G80" i="43"/>
  <c r="F81" i="43"/>
  <c r="G81" i="43"/>
  <c r="F213" i="43"/>
  <c r="B215" i="43"/>
  <c r="F237" i="43"/>
  <c r="F246" i="43"/>
  <c r="G246" i="43"/>
  <c r="G253" i="43"/>
  <c r="G254" i="43"/>
  <c r="F200" i="43"/>
  <c r="B202" i="43"/>
  <c r="B203" i="43"/>
  <c r="F247" i="43"/>
  <c r="G247" i="43"/>
  <c r="B213" i="43"/>
  <c r="G237" i="43"/>
  <c r="F225" i="43"/>
  <c r="G225" i="43"/>
  <c r="G200" i="43"/>
  <c r="B124" i="43"/>
  <c r="B125" i="43"/>
  <c r="G125" i="43"/>
  <c r="G308" i="43"/>
  <c r="F15" i="43"/>
  <c r="G15" i="43"/>
  <c r="F14" i="43"/>
  <c r="G166" i="43"/>
  <c r="G189" i="43"/>
  <c r="G190" i="43"/>
  <c r="H320" i="43"/>
  <c r="B96" i="43"/>
  <c r="B97" i="43"/>
  <c r="G96" i="43"/>
  <c r="G98" i="43"/>
  <c r="F61" i="43"/>
  <c r="G61" i="43"/>
  <c r="G261" i="43"/>
  <c r="F311" i="43"/>
  <c r="G311" i="43"/>
  <c r="G312" i="43"/>
  <c r="G313" i="43"/>
  <c r="F115" i="43"/>
  <c r="B136" i="43"/>
  <c r="B205" i="43"/>
  <c r="F229" i="43"/>
  <c r="G229" i="43"/>
  <c r="B200" i="43"/>
  <c r="F240" i="43"/>
  <c r="G240" i="43"/>
  <c r="B206" i="43"/>
  <c r="B51" i="43"/>
  <c r="B11" i="43"/>
  <c r="F70" i="43"/>
  <c r="F135" i="43"/>
  <c r="B208" i="43"/>
  <c r="B199" i="43"/>
  <c r="G31" i="43"/>
  <c r="G32" i="43"/>
  <c r="F223" i="43"/>
  <c r="B214" i="43"/>
  <c r="B14" i="43"/>
  <c r="F228" i="43"/>
  <c r="G228" i="43"/>
  <c r="F238" i="43"/>
  <c r="B201" i="43"/>
  <c r="B30" i="43"/>
  <c r="G213" i="43"/>
  <c r="G216" i="43"/>
  <c r="G217" i="43"/>
  <c r="G50" i="43"/>
  <c r="G52" i="43"/>
  <c r="G14" i="43"/>
  <c r="G16" i="43"/>
  <c r="F17" i="43"/>
  <c r="G70" i="43"/>
  <c r="G72" i="43"/>
  <c r="B15" i="43"/>
  <c r="F265" i="43"/>
  <c r="G265" i="43"/>
  <c r="G238" i="43"/>
  <c r="G241" i="43"/>
  <c r="F243" i="43"/>
  <c r="G243" i="43"/>
  <c r="F264" i="43"/>
  <c r="G264" i="43"/>
  <c r="G223" i="43"/>
  <c r="G234" i="43"/>
  <c r="F34" i="43"/>
  <c r="G34" i="43"/>
  <c r="F33" i="43"/>
  <c r="B135" i="43"/>
  <c r="G135" i="43"/>
  <c r="G137" i="43"/>
  <c r="B71" i="43"/>
  <c r="G115" i="43"/>
  <c r="G117" i="43"/>
  <c r="F99" i="43"/>
  <c r="F100" i="43"/>
  <c r="G100" i="43"/>
  <c r="B70" i="43"/>
  <c r="F54" i="43"/>
  <c r="G54" i="43"/>
  <c r="F53" i="43"/>
  <c r="F138" i="43"/>
  <c r="F139" i="43"/>
  <c r="G139" i="43"/>
  <c r="G53" i="43"/>
  <c r="G55" i="43"/>
  <c r="B53" i="43"/>
  <c r="B54" i="43"/>
  <c r="B33" i="43"/>
  <c r="G33" i="43"/>
  <c r="G35" i="43"/>
  <c r="B34" i="43"/>
  <c r="B17" i="43"/>
  <c r="G99" i="43"/>
  <c r="G101" i="43"/>
  <c r="F102" i="43"/>
  <c r="G102" i="43"/>
  <c r="G103" i="43"/>
  <c r="F104" i="43"/>
  <c r="G104" i="43"/>
  <c r="G110" i="43"/>
  <c r="B102" i="43"/>
  <c r="B105" i="43"/>
  <c r="B109" i="43"/>
  <c r="B104" i="43"/>
  <c r="B108" i="43"/>
  <c r="B99" i="43"/>
  <c r="B100" i="43"/>
  <c r="B106" i="43"/>
  <c r="F74" i="43"/>
  <c r="G74" i="43"/>
  <c r="F73" i="43"/>
  <c r="F119" i="43"/>
  <c r="F118" i="43"/>
  <c r="G17" i="43"/>
  <c r="G18" i="43"/>
  <c r="G269" i="43"/>
  <c r="G314" i="43"/>
  <c r="H321" i="43"/>
  <c r="B107" i="43"/>
  <c r="G118" i="43"/>
  <c r="F19" i="43"/>
  <c r="F20" i="43"/>
  <c r="G20" i="43"/>
  <c r="G138" i="43"/>
  <c r="G140" i="43"/>
  <c r="B139" i="43"/>
  <c r="B138" i="43"/>
  <c r="F36" i="43"/>
  <c r="F56" i="43"/>
  <c r="G119" i="43"/>
  <c r="G73" i="43"/>
  <c r="G75" i="43"/>
  <c r="B73" i="43"/>
  <c r="B74" i="43"/>
  <c r="G19" i="43"/>
  <c r="G26" i="43"/>
  <c r="B19" i="43"/>
  <c r="B25" i="43"/>
  <c r="B21" i="43"/>
  <c r="B24" i="43"/>
  <c r="B22" i="43"/>
  <c r="B20" i="43"/>
  <c r="B23" i="43"/>
  <c r="G56" i="43"/>
  <c r="G57" i="43"/>
  <c r="B56" i="43"/>
  <c r="G120" i="43"/>
  <c r="F141" i="43"/>
  <c r="F76" i="43"/>
  <c r="G36" i="43"/>
  <c r="G37" i="43"/>
  <c r="B36" i="43"/>
  <c r="G141" i="43"/>
  <c r="G142" i="43"/>
  <c r="F143" i="43"/>
  <c r="G143" i="43"/>
  <c r="G149" i="43"/>
  <c r="B141" i="43"/>
  <c r="B144" i="43"/>
  <c r="B148" i="43"/>
  <c r="B146" i="43"/>
  <c r="B143" i="43"/>
  <c r="B145" i="43"/>
  <c r="B147" i="43"/>
  <c r="F39" i="43"/>
  <c r="G39" i="43"/>
  <c r="F38" i="43"/>
  <c r="F58" i="43"/>
  <c r="F59" i="43"/>
  <c r="G59" i="43"/>
  <c r="G76" i="43"/>
  <c r="G77" i="43"/>
  <c r="F78" i="43"/>
  <c r="B76" i="43"/>
  <c r="B78" i="43"/>
  <c r="F121" i="43"/>
  <c r="G78" i="43"/>
  <c r="F79" i="43"/>
  <c r="G38" i="43"/>
  <c r="G45" i="43"/>
  <c r="B39" i="43"/>
  <c r="B38" i="43"/>
  <c r="B42" i="43"/>
  <c r="B41" i="43"/>
  <c r="B43" i="43"/>
  <c r="B40" i="43"/>
  <c r="B44" i="43"/>
  <c r="G121" i="43"/>
  <c r="G122" i="43"/>
  <c r="F123" i="43"/>
  <c r="B113" i="43"/>
  <c r="B116" i="43"/>
  <c r="B119" i="43"/>
  <c r="B115" i="43"/>
  <c r="B81" i="43"/>
  <c r="G58" i="43"/>
  <c r="G65" i="43"/>
  <c r="B58" i="43"/>
  <c r="B62" i="43"/>
  <c r="B61" i="43"/>
  <c r="B60" i="43"/>
  <c r="B59" i="43"/>
  <c r="B63" i="43"/>
  <c r="B64" i="43"/>
  <c r="B84" i="43"/>
  <c r="G123" i="43"/>
  <c r="G129" i="43"/>
  <c r="G150" i="43"/>
  <c r="B123" i="43"/>
  <c r="B121" i="43"/>
  <c r="B114" i="43"/>
  <c r="G79" i="43"/>
  <c r="B83" i="43"/>
  <c r="B79" i="43"/>
  <c r="B80" i="43"/>
  <c r="B82" i="43"/>
  <c r="B118" i="43"/>
  <c r="G85" i="43"/>
  <c r="G86" i="43"/>
  <c r="D16" i="56"/>
  <c r="D20" i="56"/>
  <c r="D23" i="56"/>
  <c r="H318" i="43"/>
  <c r="H323" i="43"/>
  <c r="H319" i="43"/>
  <c r="G192" i="43"/>
  <c r="F329" i="43"/>
  <c r="F330" i="43"/>
  <c r="F332" i="43"/>
  <c r="D24" i="56"/>
  <c r="F347" i="43"/>
  <c r="F349" i="43"/>
  <c r="F11" i="59"/>
  <c r="E11" i="59"/>
  <c r="F351" i="43"/>
</calcChain>
</file>

<file path=xl/sharedStrings.xml><?xml version="1.0" encoding="utf-8"?>
<sst xmlns="http://schemas.openxmlformats.org/spreadsheetml/2006/main" count="1665" uniqueCount="727">
  <si>
    <t>Serviços</t>
  </si>
  <si>
    <t>%</t>
  </si>
  <si>
    <t>1.</t>
  </si>
  <si>
    <t>Km</t>
  </si>
  <si>
    <t>un.</t>
  </si>
  <si>
    <t>2.</t>
  </si>
  <si>
    <t>Dimensionamento da Frota e Equipamentos</t>
  </si>
  <si>
    <t>item</t>
  </si>
  <si>
    <t>Discriminação</t>
  </si>
  <si>
    <t>Unidade</t>
  </si>
  <si>
    <t>Quantidade</t>
  </si>
  <si>
    <t>R$ unitário</t>
  </si>
  <si>
    <t>R$ total</t>
  </si>
  <si>
    <t>Frota Operacional</t>
  </si>
  <si>
    <t>Frota auxiliar</t>
  </si>
  <si>
    <t xml:space="preserve">Utilitário leve </t>
  </si>
  <si>
    <t>Moto 125 CC</t>
  </si>
  <si>
    <t>3.</t>
  </si>
  <si>
    <t>Mão de Obra Direta</t>
  </si>
  <si>
    <t>Motorista diurno</t>
  </si>
  <si>
    <t>Horas normais</t>
  </si>
  <si>
    <t>hora</t>
  </si>
  <si>
    <t>Insalubridade</t>
  </si>
  <si>
    <t>Encargos sociais</t>
  </si>
  <si>
    <t>Número de motoristas</t>
  </si>
  <si>
    <t>homem</t>
  </si>
  <si>
    <t>Reserva técnica</t>
  </si>
  <si>
    <t>Vale transporte</t>
  </si>
  <si>
    <t>Número de motoristas - com reserva</t>
  </si>
  <si>
    <t>Vale alimentação</t>
  </si>
  <si>
    <t>Coletor diurno</t>
  </si>
  <si>
    <t>Número de coletores</t>
  </si>
  <si>
    <t>Número de coletores - com reserva</t>
  </si>
  <si>
    <t>Motorista noturno</t>
  </si>
  <si>
    <t>Adicional noturno</t>
  </si>
  <si>
    <t>Coletor noturno</t>
  </si>
  <si>
    <t>Total dos Custos com Mão de Obra Direta</t>
  </si>
  <si>
    <t>horas</t>
  </si>
  <si>
    <t>Sub-total</t>
  </si>
  <si>
    <t>Total dos Custos com Mão de Obra Indireta</t>
  </si>
  <si>
    <t>4.</t>
  </si>
  <si>
    <t>Custos Gerais</t>
  </si>
  <si>
    <t>Uniformes e Equipamentos de Proteção Individual</t>
  </si>
  <si>
    <t>Calça</t>
  </si>
  <si>
    <t>Camisa</t>
  </si>
  <si>
    <t>Calçado</t>
  </si>
  <si>
    <t>Colete fiscal</t>
  </si>
  <si>
    <t>Coletores</t>
  </si>
  <si>
    <t>Boné</t>
  </si>
  <si>
    <t>Luva</t>
  </si>
  <si>
    <t>5.</t>
  </si>
  <si>
    <t>Custos Operacionais da Frota</t>
  </si>
  <si>
    <t>Depreciação</t>
  </si>
  <si>
    <t>Depreciação da frota auxiliar</t>
  </si>
  <si>
    <t>Imposto, seguro e licencimento</t>
  </si>
  <si>
    <t xml:space="preserve">Consumo de combustível </t>
  </si>
  <si>
    <t>Preço óleo diesel</t>
  </si>
  <si>
    <t>Preço gasolina</t>
  </si>
  <si>
    <t>Consumo médio da frota auxiliar - moto</t>
  </si>
  <si>
    <t>Consumo médio da frota auxiliar - utilitário</t>
  </si>
  <si>
    <t>Frota operacional</t>
  </si>
  <si>
    <t>Pneus e câmaras</t>
  </si>
  <si>
    <t>Durabilidade estimada</t>
  </si>
  <si>
    <t xml:space="preserve">Quilometragem rodada pela frota operacional </t>
  </si>
  <si>
    <t>Câmara</t>
  </si>
  <si>
    <t>Protetor</t>
  </si>
  <si>
    <t>Recapagem</t>
  </si>
  <si>
    <t>Consertos</t>
  </si>
  <si>
    <t>Frota auxiliar (moto)</t>
  </si>
  <si>
    <t xml:space="preserve">Quilometragem rodada pela frota auxiliar </t>
  </si>
  <si>
    <t>Frota auxiliar (utilitário)</t>
  </si>
  <si>
    <t>Quilometragem rodada pela frota auxiliar</t>
  </si>
  <si>
    <t>Valor</t>
  </si>
  <si>
    <t xml:space="preserve">Moto 125 CC </t>
  </si>
  <si>
    <t>Dimensionamento da Frota</t>
  </si>
  <si>
    <t>Mão de Obra Indireta</t>
  </si>
  <si>
    <t>5.1.2</t>
  </si>
  <si>
    <t>1.4</t>
  </si>
  <si>
    <t>3.1.2</t>
  </si>
  <si>
    <t>Motocicleta 125 CC</t>
  </si>
  <si>
    <t>Contentores</t>
  </si>
  <si>
    <t>5.1.3</t>
  </si>
  <si>
    <t>Caminhão para coleta – operando em 1 turno</t>
  </si>
  <si>
    <t>Caminhão para coleta – reserva</t>
  </si>
  <si>
    <t>Caçamba compactadora - operando em 3 turnos</t>
  </si>
  <si>
    <t>Caçamba compactadora - operando em 1 turno</t>
  </si>
  <si>
    <t>Caçamba compactadora - reserva</t>
  </si>
  <si>
    <t>Conjunto impermeável</t>
  </si>
  <si>
    <t xml:space="preserve">IPVA do utilitário </t>
  </si>
  <si>
    <t xml:space="preserve">Pneu </t>
  </si>
  <si>
    <t>Encarregado</t>
  </si>
  <si>
    <t>1.1</t>
  </si>
  <si>
    <t>1.2</t>
  </si>
  <si>
    <t>1.3</t>
  </si>
  <si>
    <t>2.1</t>
  </si>
  <si>
    <t>2.1.1</t>
  </si>
  <si>
    <t>2.2</t>
  </si>
  <si>
    <t>4.2</t>
  </si>
  <si>
    <t>4.1</t>
  </si>
  <si>
    <t>5.1</t>
  </si>
  <si>
    <t>Motoristas e encarregados</t>
  </si>
  <si>
    <t>Fiscais</t>
  </si>
  <si>
    <t>5.1.1</t>
  </si>
  <si>
    <t>6.1</t>
  </si>
  <si>
    <t>Depreciação frota operacional</t>
  </si>
  <si>
    <t>R$/ano</t>
  </si>
  <si>
    <t>7.1</t>
  </si>
  <si>
    <t>8.1</t>
  </si>
  <si>
    <t>R$ /ano</t>
  </si>
  <si>
    <t>Furgão com carroceria revestida</t>
  </si>
  <si>
    <t>3.1.3</t>
  </si>
  <si>
    <t>3.1.1</t>
  </si>
  <si>
    <t>3.1</t>
  </si>
  <si>
    <t>Caçamba compactadora PP - operando em 2 turnos</t>
  </si>
  <si>
    <t>Caminhão PP para coleta - operando em 2 turnos</t>
  </si>
  <si>
    <t>Consumo médio dos caminhões da frota operacional</t>
  </si>
  <si>
    <t>Consumo médio do caminhão PP da frota operacional</t>
  </si>
  <si>
    <t>Durabilidade estimada pneu dianteiro</t>
  </si>
  <si>
    <t xml:space="preserve">Jogo de pneu dianteiro e câmara </t>
  </si>
  <si>
    <t>Jogo de pneu traseiro e câmara</t>
  </si>
  <si>
    <t>Capa de chuva coletor</t>
  </si>
  <si>
    <t xml:space="preserve">Calçado </t>
  </si>
  <si>
    <t>Óculos de sol</t>
  </si>
  <si>
    <t>Protetor solar</t>
  </si>
  <si>
    <t>Frota operacional - Caminhão compactador</t>
  </si>
  <si>
    <t>Frota operacional - Caminhão Pequeno Porte (PP)</t>
  </si>
  <si>
    <t>Remuneração capital investido</t>
  </si>
  <si>
    <t xml:space="preserve">Jogo de pneu </t>
  </si>
  <si>
    <t>Durabilidade estimada pneu traseiro</t>
  </si>
  <si>
    <t>Caminhão para coleta – operando em 2 turnos</t>
  </si>
  <si>
    <t>Caçamba compactadora - operando em 2 turnos</t>
  </si>
  <si>
    <t>Jaqueta com fita refletiva</t>
  </si>
  <si>
    <t>IPVA caminhão coletor</t>
  </si>
  <si>
    <t xml:space="preserve">IPVA caminhão PP coletor </t>
  </si>
  <si>
    <t>Óculos de proteção</t>
  </si>
  <si>
    <t>5.2</t>
  </si>
  <si>
    <t>5.3</t>
  </si>
  <si>
    <t>5.4</t>
  </si>
  <si>
    <t>5.5</t>
  </si>
  <si>
    <t>5.6</t>
  </si>
  <si>
    <t>5.7</t>
  </si>
  <si>
    <t>Reserva técnica (rateio com a coleta rural)</t>
  </si>
  <si>
    <t xml:space="preserve">Modelo </t>
  </si>
  <si>
    <t>Tipo do veículo (Toco ou truck)</t>
  </si>
  <si>
    <t>Caminhão baú</t>
  </si>
  <si>
    <t>Máscara PFF2</t>
  </si>
  <si>
    <t>Média</t>
  </si>
  <si>
    <t>EPI</t>
  </si>
  <si>
    <t xml:space="preserve">Caminhão para coleta – operando em 3 turnos </t>
  </si>
  <si>
    <t>Caminhão</t>
  </si>
  <si>
    <t>Caçamba</t>
  </si>
  <si>
    <t>Moto</t>
  </si>
  <si>
    <t>Veículo utilitário</t>
  </si>
  <si>
    <t>Coleta Convencional Urb.</t>
  </si>
  <si>
    <t>Coleta Convencional Rural.</t>
  </si>
  <si>
    <t>Coleta Seletiva</t>
  </si>
  <si>
    <t>Colera de RSS</t>
  </si>
  <si>
    <t>Veículo Furgão</t>
  </si>
  <si>
    <t>Varrição</t>
  </si>
  <si>
    <t>Equipamentos</t>
  </si>
  <si>
    <t>Mão de obra</t>
  </si>
  <si>
    <t>Itens</t>
  </si>
  <si>
    <t xml:space="preserve">Dimensionamento </t>
  </si>
  <si>
    <t>Máscara respiratórioa PFF2</t>
  </si>
  <si>
    <t>Óculos incolor</t>
  </si>
  <si>
    <t>Salário Mínimo</t>
  </si>
  <si>
    <t>Salário / Benefícios</t>
  </si>
  <si>
    <t xml:space="preserve">Referência </t>
  </si>
  <si>
    <t>Imposto / licencimento</t>
  </si>
  <si>
    <t>Capinadeira bobcat (similar)</t>
  </si>
  <si>
    <t>Varredora bobcat</t>
  </si>
  <si>
    <t>Caminhão basculante Cabine Simples com capacidade mínima de 02 toneladas</t>
  </si>
  <si>
    <t>Soprador de folhas costal a gasolina</t>
  </si>
  <si>
    <t>Roçadeira costal/lateral a gasolina</t>
  </si>
  <si>
    <t>Podador de altura a gasolina</t>
  </si>
  <si>
    <t>Veículo pick up</t>
  </si>
  <si>
    <t>Van 16 Lugares</t>
  </si>
  <si>
    <t>Fiscal de operação</t>
  </si>
  <si>
    <t>Coletor (Piso da Categoria)</t>
  </si>
  <si>
    <t>Motorista (Piso da Categoria)</t>
  </si>
  <si>
    <t xml:space="preserve">Preço (R$) </t>
  </si>
  <si>
    <t>Adicional Noturno</t>
  </si>
  <si>
    <t>Encargos Sociais</t>
  </si>
  <si>
    <t>Depreciação
(nº de meses)</t>
  </si>
  <si>
    <t>Quilometragem percorrida 
(km)</t>
  </si>
  <si>
    <t>Capacidade
(m³)</t>
  </si>
  <si>
    <t>Consumo médio</t>
  </si>
  <si>
    <t>Durabilidade estimada
(km)</t>
  </si>
  <si>
    <t>Durabilidade estimada pneu dianteiro
(km)</t>
  </si>
  <si>
    <t>Durabilidade estimada pneu traseiro
(km)</t>
  </si>
  <si>
    <t>Jogo de pneu dianteiro e câmara 
(un)</t>
  </si>
  <si>
    <t>Jogo de pneu traseiro e câmara
(un)</t>
  </si>
  <si>
    <t xml:space="preserve">Jogo de pneu
(un) </t>
  </si>
  <si>
    <t>Idade
(anos)</t>
  </si>
  <si>
    <t>IPVA moto</t>
  </si>
  <si>
    <t>Pneu  
(un)</t>
  </si>
  <si>
    <t>Câmara
(un)</t>
  </si>
  <si>
    <t>Protetor
(un)</t>
  </si>
  <si>
    <t>Recapagem
(un)</t>
  </si>
  <si>
    <t>Consertos
(un)</t>
  </si>
  <si>
    <t>Número de Turnos que Opera</t>
  </si>
  <si>
    <t xml:space="preserve">Quantidade de Veículos/Equi. </t>
  </si>
  <si>
    <t>Código</t>
  </si>
  <si>
    <t>Descrição</t>
  </si>
  <si>
    <t>A1</t>
  </si>
  <si>
    <t>INSS</t>
  </si>
  <si>
    <t>A2</t>
  </si>
  <si>
    <t>SESI</t>
  </si>
  <si>
    <t>A3</t>
  </si>
  <si>
    <t>SENAI</t>
  </si>
  <si>
    <t>A4</t>
  </si>
  <si>
    <t>INCRA</t>
  </si>
  <si>
    <t>A5</t>
  </si>
  <si>
    <t>SEBRAE</t>
  </si>
  <si>
    <t>A6</t>
  </si>
  <si>
    <t>Salário educação</t>
  </si>
  <si>
    <t>A7</t>
  </si>
  <si>
    <t>Seguro contra acidentes de trabalho</t>
  </si>
  <si>
    <t>A8</t>
  </si>
  <si>
    <t>FGTS</t>
  </si>
  <si>
    <t>A</t>
  </si>
  <si>
    <t>SOMA GRUPO A</t>
  </si>
  <si>
    <t>B1</t>
  </si>
  <si>
    <t>Repouso Semanal Remunerado</t>
  </si>
  <si>
    <t>B2</t>
  </si>
  <si>
    <t>Feriados</t>
  </si>
  <si>
    <t>B3</t>
  </si>
  <si>
    <t>Auxílio - Enfermidade</t>
  </si>
  <si>
    <t>B4</t>
  </si>
  <si>
    <t>13º Salário</t>
  </si>
  <si>
    <t>B5</t>
  </si>
  <si>
    <t>Licença Paternidade</t>
  </si>
  <si>
    <t>B6</t>
  </si>
  <si>
    <t>Faltas Justificadas</t>
  </si>
  <si>
    <t>B7</t>
  </si>
  <si>
    <t>Dias de Chuva</t>
  </si>
  <si>
    <t>B8</t>
  </si>
  <si>
    <t>Auxílio Acidente de Trabalho</t>
  </si>
  <si>
    <t>B9</t>
  </si>
  <si>
    <t>Férias Gozadas</t>
  </si>
  <si>
    <t>B10</t>
  </si>
  <si>
    <t>Salário Maternidade</t>
  </si>
  <si>
    <t>B</t>
  </si>
  <si>
    <t>SOMA GRUPO B</t>
  </si>
  <si>
    <t>C1</t>
  </si>
  <si>
    <t>Aviso prévio indenizado</t>
  </si>
  <si>
    <t>C2</t>
  </si>
  <si>
    <t>Aviso prévio trabalhado</t>
  </si>
  <si>
    <t>C3</t>
  </si>
  <si>
    <t xml:space="preserve">Férias indenizadas </t>
  </si>
  <si>
    <t>C4</t>
  </si>
  <si>
    <t>Depósito rescisão sem justa causa</t>
  </si>
  <si>
    <t>C5</t>
  </si>
  <si>
    <t>Indenização adicional</t>
  </si>
  <si>
    <t>C</t>
  </si>
  <si>
    <t>SOMA GRUPO C</t>
  </si>
  <si>
    <t>D1</t>
  </si>
  <si>
    <t>Reincidência de Grupo A sobre Grupo B</t>
  </si>
  <si>
    <t>D2</t>
  </si>
  <si>
    <t>Reincidência de FGTS sobre aviso prévio indenizado</t>
  </si>
  <si>
    <t>D</t>
  </si>
  <si>
    <t>SOMA GRUPO D</t>
  </si>
  <si>
    <t>SOMA (A+B+C+D)</t>
  </si>
  <si>
    <t xml:space="preserve">Composição dos Encargos Sociais </t>
  </si>
  <si>
    <t>Mensalista</t>
  </si>
  <si>
    <t>Horas Trabalhadas</t>
  </si>
  <si>
    <t>Dias Trabalhados</t>
  </si>
  <si>
    <t>Hora Extra 50%</t>
  </si>
  <si>
    <t>Hora Extra 100%</t>
  </si>
  <si>
    <t>Vale Transporte</t>
  </si>
  <si>
    <t>Motorista Diurno</t>
  </si>
  <si>
    <t>Motorista Noturno</t>
  </si>
  <si>
    <t>Coletor Diurno</t>
  </si>
  <si>
    <t>Coletor Noturno</t>
  </si>
  <si>
    <t>Fiscal de Operação</t>
  </si>
  <si>
    <t>Número de Equipes</t>
  </si>
  <si>
    <t>Cargo</t>
  </si>
  <si>
    <t>Coleta Urbano Diurno Turno 1</t>
  </si>
  <si>
    <t>Coleta Urbano Diurno Turno 2</t>
  </si>
  <si>
    <t>Coleta Urbano Noturno Turno 3</t>
  </si>
  <si>
    <t>Quantidade de Vale Transporte no Mês</t>
  </si>
  <si>
    <t>Dias Trabalhados no Mês</t>
  </si>
  <si>
    <t>Horas Trabalhadas no Mês</t>
  </si>
  <si>
    <t>Percentual de Encargos Sociais no Mês</t>
  </si>
  <si>
    <t>9.1</t>
  </si>
  <si>
    <t>Vale Alimentação</t>
  </si>
  <si>
    <t>10.1</t>
  </si>
  <si>
    <t>Reserva técnica
Diurno Urbano</t>
  </si>
  <si>
    <t>Reserva técnica
Noturno Urbano</t>
  </si>
  <si>
    <t>Encarregado de Operação</t>
  </si>
  <si>
    <t>Coleta Urbano</t>
  </si>
  <si>
    <t xml:space="preserve">Encarregado de operação </t>
  </si>
  <si>
    <t>Quantidade de Vale Alimentação no Mês</t>
  </si>
  <si>
    <t xml:space="preserve">Encarregado de Operação </t>
  </si>
  <si>
    <t xml:space="preserve">Fiscal de operação </t>
  </si>
  <si>
    <t>Número de horas</t>
  </si>
  <si>
    <t>Vale transporte (por coletor)</t>
  </si>
  <si>
    <t>Vale alimentação (por coletor)</t>
  </si>
  <si>
    <t xml:space="preserve"> Total Motorista diurno</t>
  </si>
  <si>
    <t xml:space="preserve"> Total Coletor diurno</t>
  </si>
  <si>
    <t xml:space="preserve"> Total Motorista noturno</t>
  </si>
  <si>
    <t xml:space="preserve"> Total Coletor noturno</t>
  </si>
  <si>
    <t xml:space="preserve"> Total Encarregado de Operação </t>
  </si>
  <si>
    <t xml:space="preserve"> Total Fiscal de Operação </t>
  </si>
  <si>
    <t>Domingos e Feriados</t>
  </si>
  <si>
    <t>3.1.1.1</t>
  </si>
  <si>
    <t>3.1.2.1</t>
  </si>
  <si>
    <t>3.1.3.1</t>
  </si>
  <si>
    <t>Total com Custos Gerais</t>
  </si>
  <si>
    <t>EPIs</t>
  </si>
  <si>
    <t>Número de meses</t>
  </si>
  <si>
    <t>Quantidade por ano</t>
  </si>
  <si>
    <t>Quantidade por mês</t>
  </si>
  <si>
    <t>Veículo de apoio tipo picape.</t>
  </si>
  <si>
    <t>Veículo de apoio tipo picape, para suporte na distribuição de sacos verdes.</t>
  </si>
  <si>
    <t>Motocicleta cilindrada mínima 125 cc.</t>
  </si>
  <si>
    <t>Fota Operacional</t>
  </si>
  <si>
    <t>Dispositivo para coleta mecanizada (conteinerizada) - Reserva</t>
  </si>
  <si>
    <t>Motocicleta cilindrada mínima 125 cc reserva</t>
  </si>
  <si>
    <t>Dispositivo para coleta mecanizada (conteinerizada)</t>
  </si>
  <si>
    <t xml:space="preserve">Caminhão (80% em 36 meses) 03 turnos </t>
  </si>
  <si>
    <t>Caminhão (80% em 48 meses) 02 turnos</t>
  </si>
  <si>
    <t xml:space="preserve">Caminhão (80% em 60 meses) reserva </t>
  </si>
  <si>
    <t xml:space="preserve">Caminhão PP (80% em 48 meses) 02 turnos </t>
  </si>
  <si>
    <t>Compactador (80% em 36 meses) 03 turnos</t>
  </si>
  <si>
    <t xml:space="preserve">Compactador (80% em 48 meses) 02 turno </t>
  </si>
  <si>
    <t>Compactador (80% em 60 meses) reserva</t>
  </si>
  <si>
    <t>Compactador PP (80% em 48 meses) 02 turnos</t>
  </si>
  <si>
    <t>Depreciação da moto (80% em 60 meses) Reserva</t>
  </si>
  <si>
    <t>Total da Frota e Equipamentos</t>
  </si>
  <si>
    <t>Dispositivo para coleta mecanizada (conteinerizada) em 3 turnos</t>
  </si>
  <si>
    <t>IPVA da moto</t>
  </si>
  <si>
    <t>litros</t>
  </si>
  <si>
    <t>5.5.1</t>
  </si>
  <si>
    <t>5.5.2</t>
  </si>
  <si>
    <t>5.5.3</t>
  </si>
  <si>
    <t>5.5.4</t>
  </si>
  <si>
    <t>5.4.1</t>
  </si>
  <si>
    <t>5.4.2</t>
  </si>
  <si>
    <t>5.4.3</t>
  </si>
  <si>
    <t>5.4.4</t>
  </si>
  <si>
    <t>5.4.5</t>
  </si>
  <si>
    <t>5.4.6</t>
  </si>
  <si>
    <t>5.4.7</t>
  </si>
  <si>
    <t>5.6.1</t>
  </si>
  <si>
    <t>5.6.2</t>
  </si>
  <si>
    <t>Caminhões da frota operacional</t>
  </si>
  <si>
    <t>Caminhão PP da frota operacional</t>
  </si>
  <si>
    <t>Frota auxiliar - utilitário</t>
  </si>
  <si>
    <t>Frota auxiliar - moto</t>
  </si>
  <si>
    <t xml:space="preserve"> Frota</t>
  </si>
  <si>
    <t>Consumo médio (km/l)</t>
  </si>
  <si>
    <t>Durabilidade Estimada (km)</t>
  </si>
  <si>
    <t>Durabilidade Estimada pneu traseiro (km)</t>
  </si>
  <si>
    <t>Durabilidade Estimada pneu dianteiro (km)</t>
  </si>
  <si>
    <t>Veículos</t>
  </si>
  <si>
    <t>Pneu (un.)</t>
  </si>
  <si>
    <t>Câmara (un.)</t>
  </si>
  <si>
    <t>Protetor (un.)</t>
  </si>
  <si>
    <t>Recapagem (un.)</t>
  </si>
  <si>
    <t>Consertos (un.)</t>
  </si>
  <si>
    <t>Pneu dianteiro (un.)</t>
  </si>
  <si>
    <t>Pneu traseiro (un.)</t>
  </si>
  <si>
    <t>5.7.1</t>
  </si>
  <si>
    <t>5.7.2</t>
  </si>
  <si>
    <t>5.7.3</t>
  </si>
  <si>
    <t>5.7.4</t>
  </si>
  <si>
    <t>5.7.1.1</t>
  </si>
  <si>
    <t>5.7.1.2</t>
  </si>
  <si>
    <t>5.7.1.3</t>
  </si>
  <si>
    <t>5.7.1.4</t>
  </si>
  <si>
    <t>5.7.1.5</t>
  </si>
  <si>
    <t>5.7.1.6</t>
  </si>
  <si>
    <t>5.7.1.7</t>
  </si>
  <si>
    <t>5.7.2.1</t>
  </si>
  <si>
    <t>5.7.2.2</t>
  </si>
  <si>
    <t>5.7.2.3</t>
  </si>
  <si>
    <t>5.7.2.4</t>
  </si>
  <si>
    <t>5.7.2.5</t>
  </si>
  <si>
    <t>5.7.2.6</t>
  </si>
  <si>
    <t>5.7.2.7</t>
  </si>
  <si>
    <t xml:space="preserve">Sub Total </t>
  </si>
  <si>
    <t>Sub Total</t>
  </si>
  <si>
    <t>11.1</t>
  </si>
  <si>
    <t>11.1.1</t>
  </si>
  <si>
    <t>11.1.2</t>
  </si>
  <si>
    <t>11.1.3</t>
  </si>
  <si>
    <t>11.2</t>
  </si>
  <si>
    <t>11.2.1</t>
  </si>
  <si>
    <t>Frota Auxiliar</t>
  </si>
  <si>
    <t>5.1.4</t>
  </si>
  <si>
    <t>5.1.7</t>
  </si>
  <si>
    <t>5.1.6</t>
  </si>
  <si>
    <t>5.1.5</t>
  </si>
  <si>
    <t>5.1.8</t>
  </si>
  <si>
    <t>5.1.9</t>
  </si>
  <si>
    <t>5.1.10</t>
  </si>
  <si>
    <t>5.2.1</t>
  </si>
  <si>
    <t>5.2.2</t>
  </si>
  <si>
    <t>5.2.3</t>
  </si>
  <si>
    <t>5.2.4</t>
  </si>
  <si>
    <t>Sub-total mês</t>
  </si>
  <si>
    <t>Caminhão Operacional</t>
  </si>
  <si>
    <t>Caminhão PP</t>
  </si>
  <si>
    <t>3.1.1.2</t>
  </si>
  <si>
    <t>3.1.1.3</t>
  </si>
  <si>
    <t>3.1.1.4</t>
  </si>
  <si>
    <t>3.1.1.5</t>
  </si>
  <si>
    <t>3.1.1.6</t>
  </si>
  <si>
    <t>3.1.1.7</t>
  </si>
  <si>
    <t>3.1.2.2</t>
  </si>
  <si>
    <t>3.1.2.3</t>
  </si>
  <si>
    <t>3.1.2.4</t>
  </si>
  <si>
    <t>3.1.2.5</t>
  </si>
  <si>
    <t>3.1.2.6</t>
  </si>
  <si>
    <t>3.1.2.7</t>
  </si>
  <si>
    <t>3.1.2.8</t>
  </si>
  <si>
    <t>3.1.2.9</t>
  </si>
  <si>
    <t>3.1.3.2</t>
  </si>
  <si>
    <t>3.1.3.3</t>
  </si>
  <si>
    <t>3.1.3.4</t>
  </si>
  <si>
    <t>3.1.3.5</t>
  </si>
  <si>
    <t>3.1.3.6</t>
  </si>
  <si>
    <t>3.1.3.7</t>
  </si>
  <si>
    <t>3.1.3.8</t>
  </si>
  <si>
    <t>5.7.3.1</t>
  </si>
  <si>
    <t>5.7.3.2</t>
  </si>
  <si>
    <t>5.7.3.3</t>
  </si>
  <si>
    <t>5.7.4.1</t>
  </si>
  <si>
    <t>5.7.4.2</t>
  </si>
  <si>
    <t>5.7.4.3</t>
  </si>
  <si>
    <t>5.7.4.4</t>
  </si>
  <si>
    <t>5.7.4.5</t>
  </si>
  <si>
    <t>Número de encarregado</t>
  </si>
  <si>
    <t>Número de Encarregados</t>
  </si>
  <si>
    <t>Número de Fiscais</t>
  </si>
  <si>
    <t>Mari.</t>
  </si>
  <si>
    <t>DIMENSIONAMENTO DA FROTA</t>
  </si>
  <si>
    <t xml:space="preserve">CAPACIDADE DE CARGA </t>
  </si>
  <si>
    <t>CAMINHÃO COMPACTADOR 17 M3</t>
  </si>
  <si>
    <t>ÍNDICE DE COMPACTAÇÃO DOS RESÍDUOS</t>
  </si>
  <si>
    <t xml:space="preserve">VOLUME DE OCUPAÇÃO </t>
  </si>
  <si>
    <t>PESO ESPECÍFICO DOS RESÍDUOS</t>
  </si>
  <si>
    <t>CAPACIDADE DE CARGA POR VIAGEM</t>
  </si>
  <si>
    <t>TONELADAS</t>
  </si>
  <si>
    <t>KG/M3</t>
  </si>
  <si>
    <t>QUANTIDADE DIÁRIA DE RESÍDUOS</t>
  </si>
  <si>
    <t>COLETA CONVENCIONAL</t>
  </si>
  <si>
    <t>NUMERO DE VIAGENS</t>
  </si>
  <si>
    <t xml:space="preserve">NUMERO DE VIAGENS </t>
  </si>
  <si>
    <t>TEMPO DE COLETA</t>
  </si>
  <si>
    <t>TEMPO DE DESLOCAMENTO</t>
  </si>
  <si>
    <t>2 HORAS</t>
  </si>
  <si>
    <t>M3</t>
  </si>
  <si>
    <t>População total</t>
  </si>
  <si>
    <t>Geração de Resíduos</t>
  </si>
  <si>
    <t>ton/ano</t>
  </si>
  <si>
    <t>ton/dia</t>
  </si>
  <si>
    <t>Per capita</t>
  </si>
  <si>
    <t>DADOS DE ENTRADA</t>
  </si>
  <si>
    <t>Hab.</t>
  </si>
  <si>
    <t>IBGE 2022</t>
  </si>
  <si>
    <t>Edital SAMAE</t>
  </si>
  <si>
    <t>Domiculiar urbano, rural e coleta seletiva</t>
  </si>
  <si>
    <t>kg/há.dia</t>
  </si>
  <si>
    <t>Cálculo</t>
  </si>
  <si>
    <t>Item</t>
  </si>
  <si>
    <t>Referência</t>
  </si>
  <si>
    <t>Nf=(Qs/C*Nv)*Ff, onde:</t>
  </si>
  <si>
    <t>Ff = Fator frequência.</t>
  </si>
  <si>
    <t>Qs = Quantidade de resíduos diária a ser coletada em tonelada</t>
  </si>
  <si>
    <t>Nv = Número total de viagens realizadas por dia, por caminhão (somatório de viagens dos turnos em um dia);</t>
  </si>
  <si>
    <t>C = Capacidade efetiva do veículo de coleta, em tonelada;</t>
  </si>
  <si>
    <t>Estimado</t>
  </si>
  <si>
    <t>Nv = Número total de viagens realizadas por dia, por caminhão (somatório de viagens dos turnos em um dia)</t>
  </si>
  <si>
    <t>C = P * IC * V * 0,7</t>
  </si>
  <si>
    <t>7 = o número de dias da semana;</t>
  </si>
  <si>
    <t>Nc = o número de dias efetivamente coletados na semana.</t>
  </si>
  <si>
    <t>DIMENSIONAMENTO DA FROTA PARA CIDADES ATÉ 200.000 HABITANTES</t>
  </si>
  <si>
    <t xml:space="preserve"> ton/m³</t>
  </si>
  <si>
    <t>PROC-IBR-RSU 002/2017</t>
  </si>
  <si>
    <t>PROC-IBR-RSU 002/2018</t>
  </si>
  <si>
    <t>PROC-IBR-RSU 002/2019</t>
  </si>
  <si>
    <t>P = Peso específico aparente dos resíduos a serem coletados (ton/m³)</t>
  </si>
  <si>
    <t>IC = Índice de Compactação do equipamento</t>
  </si>
  <si>
    <t>m³</t>
  </si>
  <si>
    <t>dias</t>
  </si>
  <si>
    <t>-</t>
  </si>
  <si>
    <t>SAMAE</t>
  </si>
  <si>
    <t>Capacidade efetiva do veículo de coleta (ton):</t>
  </si>
  <si>
    <t>V = Volume nominal do reservatório de carga, em m³.</t>
  </si>
  <si>
    <t>C = Capacidade efetiva do veículo de coleta (ton):</t>
  </si>
  <si>
    <t>NF = Quantidade total de veículos necessária (un):</t>
  </si>
  <si>
    <t>Ff = Fator de frequência:</t>
  </si>
  <si>
    <t>Ff = 7 / Nc, onde:</t>
  </si>
  <si>
    <t>DIMENSIONAMENTO DA FROTA PARA CIDADES ACIMA DE 200.000 HABITANTES</t>
  </si>
  <si>
    <t>Ns = número de roteiros necessários por setor de coleta</t>
  </si>
  <si>
    <t>Ns = 1/J * {(L/Vc) + 2 * (Dg/Vt) + 2 * [(Dd/Vt) * (Q/C)]}, onde:</t>
  </si>
  <si>
    <t xml:space="preserve">Ns = número de roteiros necessários por setor de coleta; </t>
  </si>
  <si>
    <t xml:space="preserve">J = Duração útil da jornada de trabalho da equipe (em número de horas, desde a saída da garagem até o seu retorno, excluindo intervalo para refeições e outros tempos improdutivos); </t>
  </si>
  <si>
    <t>L = Extensão total das vias (ruas e avenidas) do setor de coleta, em km;</t>
  </si>
  <si>
    <t xml:space="preserve">Dg = Distância entre a garagem e o centro geométrico do setor de coleta, em km; </t>
  </si>
  <si>
    <t xml:space="preserve">Vt = Velocidade média do veículo fora do percurso de coleta, em km/h; </t>
  </si>
  <si>
    <t xml:space="preserve">Dd = Distância entre o centro geométrico do setor de coleta e o ponto de descarga, em km; </t>
  </si>
  <si>
    <t>Q = Quantidade total de resíduos a ser coletada por dia no setor, em tonelada. C = Capacidade efetiva do veículo de coleta, em tonelada.</t>
  </si>
  <si>
    <t xml:space="preserve">Vc = Velocidade média de coleta, em km/h; </t>
  </si>
  <si>
    <t>km</t>
  </si>
  <si>
    <t xml:space="preserve">Q = Quantidade total de resíduos a ser coletada por dia no setor, em tonelada. </t>
  </si>
  <si>
    <t>IC = Índice de Compactação do equipamento - compactadores</t>
  </si>
  <si>
    <t>IC = Índice de Compactação do equipamento - caçamba</t>
  </si>
  <si>
    <t>V = Volume nominal do reservatório de carga</t>
  </si>
  <si>
    <t>Nc = Número de dias efetivamente coletados na semana</t>
  </si>
  <si>
    <t>Número de viagens?</t>
  </si>
  <si>
    <t>DIMENSIONAMENTO DA EQUIPE</t>
  </si>
  <si>
    <t>Roteiro de coleta – distância de coleta efetuada por um único veículo coletor em um período/turno de trabalho, contemplando a saída e o retorno à garagem, estabelecido de forma a minimizar percurso improdutivo, podendo ser realizado em uma ou mais viagens;</t>
  </si>
  <si>
    <t xml:space="preserve">Rendimento diário coletor </t>
  </si>
  <si>
    <t>ton/gari.dia</t>
  </si>
  <si>
    <t>Quantidade de resíduos coletados por um caminhão em um turno de trabalho / rendimento diário do coletor</t>
  </si>
  <si>
    <t>Número de coletores necessários por caminhão por turno de trabalho</t>
  </si>
  <si>
    <t>Composição da equipe de coleta:</t>
  </si>
  <si>
    <t>res</t>
  </si>
  <si>
    <t>cap</t>
  </si>
  <si>
    <t>Coleta diária</t>
  </si>
  <si>
    <t>Coleta alternada</t>
  </si>
  <si>
    <t xml:space="preserve">Número de habitantes por residência </t>
  </si>
  <si>
    <t>IBGE 2023</t>
  </si>
  <si>
    <t>Hab./Res.</t>
  </si>
  <si>
    <t>Rural</t>
  </si>
  <si>
    <t xml:space="preserve">Urbano </t>
  </si>
  <si>
    <t>Seletiva</t>
  </si>
  <si>
    <t>Caminhão Accelo 815 - zero</t>
  </si>
  <si>
    <t>Caminhão Accelo 815 - 2021</t>
  </si>
  <si>
    <t>FIPE</t>
  </si>
  <si>
    <t>Grimaldi</t>
  </si>
  <si>
    <t>Usimeca</t>
  </si>
  <si>
    <t>Dispositivo hidráulico com braços</t>
  </si>
  <si>
    <t>Contêiner modelo 6014R - 20,16m³</t>
  </si>
  <si>
    <t>Caminhão Atego 1719 - zero km</t>
  </si>
  <si>
    <t xml:space="preserve">coef. </t>
  </si>
  <si>
    <t>Número de economias residenciais</t>
  </si>
  <si>
    <t>kg/dia</t>
  </si>
  <si>
    <t>unidades</t>
  </si>
  <si>
    <t>Total</t>
  </si>
  <si>
    <t xml:space="preserve">População </t>
  </si>
  <si>
    <t>Per capita (KG/hab.dia)</t>
  </si>
  <si>
    <t>Imavi</t>
  </si>
  <si>
    <t>Caçamba Coletora Compactadora19m4</t>
  </si>
  <si>
    <t>Contêiner modelo 6018R - 25,92m³ / Conteiner TP 6018R DF. 26m³</t>
  </si>
  <si>
    <t>26m³</t>
  </si>
  <si>
    <t>20m³</t>
  </si>
  <si>
    <t>6m³</t>
  </si>
  <si>
    <t>15m³</t>
  </si>
  <si>
    <t>zero km</t>
  </si>
  <si>
    <t>ano 2021</t>
  </si>
  <si>
    <t>Caminhão para caçamba baú</t>
  </si>
  <si>
    <t>Caçamba Compactadora</t>
  </si>
  <si>
    <t>Coleta Mecanizada</t>
  </si>
  <si>
    <t>DESCRIÇÃO</t>
  </si>
  <si>
    <t>VEÍCULO / EQUIPAMENTO</t>
  </si>
  <si>
    <t>Container</t>
  </si>
  <si>
    <t>FROTA AUXILIAR</t>
  </si>
  <si>
    <t>Strada Endurance 1.4 Flex 8V CD</t>
  </si>
  <si>
    <t>CG 160 START ES</t>
  </si>
  <si>
    <t>Site</t>
  </si>
  <si>
    <t>PREÇO ADOTADO (R$)</t>
  </si>
  <si>
    <t>DEPRECIAÇÃO:</t>
  </si>
  <si>
    <t>PROC-IBR-RSU 002/2018 - 600 kg/m³</t>
  </si>
  <si>
    <t>Caminhão para caçamba coletora compactadora com capacidade mínima de 15 m³ - Opreando em 3 turnos</t>
  </si>
  <si>
    <t>Caminhão para caçamba coletora compactadora com capacidade mínima de 15 m³ - Opreando em 2 turnos</t>
  </si>
  <si>
    <t>Caminhão para caçamba coletora de pequeno porte com capacidade mínima de 6 m³, para locais de difícil acesso - Operando em 2 turnos</t>
  </si>
  <si>
    <t>Caçamba compactadora de 15m³ - operando em 3 turnos</t>
  </si>
  <si>
    <t>Caçamba compactadora de 15m³- operando em 2 turnos</t>
  </si>
  <si>
    <t>Caçamba compactadora PP de 6m³ - operando em 2 turnos</t>
  </si>
  <si>
    <t>5.7.5</t>
  </si>
  <si>
    <t>5.7.5.1</t>
  </si>
  <si>
    <t>Resumo</t>
  </si>
  <si>
    <t>Total dos Custos Diretos</t>
  </si>
  <si>
    <t>Total dos Custos Gerais</t>
  </si>
  <si>
    <t>Total dos Custos Operacionais da Frota</t>
  </si>
  <si>
    <t>7.</t>
  </si>
  <si>
    <t>Custos Indiretos</t>
  </si>
  <si>
    <t>Despesas administrativas</t>
  </si>
  <si>
    <t>Total de Custos Indiretos</t>
  </si>
  <si>
    <t>8.</t>
  </si>
  <si>
    <t>Bonificações e Despesas Indiretas (BDI)</t>
  </si>
  <si>
    <t>Administração Central (AC)</t>
  </si>
  <si>
    <t>8.2</t>
  </si>
  <si>
    <t>Despesas Financeiras (DF)</t>
  </si>
  <si>
    <t>8.3</t>
  </si>
  <si>
    <t>Seguros, Riscos e Garantias (S)</t>
  </si>
  <si>
    <t>8.4</t>
  </si>
  <si>
    <t>8.5</t>
  </si>
  <si>
    <t>8.6</t>
  </si>
  <si>
    <t>Riscos (obras simples) (R)</t>
  </si>
  <si>
    <t>8.7</t>
  </si>
  <si>
    <t>Tributos (I)</t>
  </si>
  <si>
    <t>8.8</t>
  </si>
  <si>
    <t>ISS</t>
  </si>
  <si>
    <t>8.9</t>
  </si>
  <si>
    <t>PIS</t>
  </si>
  <si>
    <t>8.10</t>
  </si>
  <si>
    <t>COFINS</t>
  </si>
  <si>
    <t>8.11</t>
  </si>
  <si>
    <t>Lucro (L)</t>
  </si>
  <si>
    <t>BDI ADOTADO</t>
  </si>
  <si>
    <t>Total de bonificações e despesas indiretas (BDI)</t>
  </si>
  <si>
    <t>Total Geral Mensal</t>
  </si>
  <si>
    <t>Quantidade de Resíduos a Coletar (t / mês)</t>
  </si>
  <si>
    <t>Preço Unitário (R$ / t)</t>
  </si>
  <si>
    <t>Total dos Custos Diretos e Indiretos</t>
  </si>
  <si>
    <t>Seguros + Garantia (G)</t>
  </si>
  <si>
    <t>Licenciam. do utilitário</t>
  </si>
  <si>
    <t>TOTAL</t>
  </si>
  <si>
    <t>Caçamba Coletora Compactadora 15m³</t>
  </si>
  <si>
    <t>Caçamba coletora compactadora de 6 m³</t>
  </si>
  <si>
    <t xml:space="preserve">Atego 1719 4x2 Coletor de Lixo - V2 19 </t>
  </si>
  <si>
    <t>Dispositivo para coleta mecanizada (conteinerizada) em 2 turnos</t>
  </si>
  <si>
    <t>PLANILHA DE COMPOSIÇÃO DE PREÇOS COLETA CONVENCIONAL URBANA</t>
  </si>
  <si>
    <t>Motoristas e encarregados Convencional Urbana</t>
  </si>
  <si>
    <t>Total/mês Convencional Urbana</t>
  </si>
  <si>
    <t>Coletores Convencional Urbana</t>
  </si>
  <si>
    <t>Quilometragem percorrida no mês (km) Conv. Urbana</t>
  </si>
  <si>
    <t>5.1.11</t>
  </si>
  <si>
    <t xml:space="preserve"> URBANA</t>
  </si>
  <si>
    <t>Operacional 
(un. )</t>
  </si>
  <si>
    <t>Caminhão Atego 2430 6x2 2p (diesel)(E5) reserva</t>
  </si>
  <si>
    <t>Equipto. Hidr. Mod. "GT-25" c/ Tr. 3º Eixo reserva</t>
  </si>
  <si>
    <t>Conteiner TP 6525R DF. +ChMist(1/4+3/8) 39 m³ reserva</t>
  </si>
  <si>
    <t>Licenciam. caminhão coletor</t>
  </si>
  <si>
    <t>Licenciam. da moto</t>
  </si>
  <si>
    <t>Água, luz , telefone, internet  e correio</t>
  </si>
  <si>
    <t>Monitoramento</t>
  </si>
  <si>
    <t>Telefone celular  (gerente)</t>
  </si>
  <si>
    <t>1.5</t>
  </si>
  <si>
    <t>1.6</t>
  </si>
  <si>
    <t>Deslocamentos com veíc. próprio ou locado (gerente,adm,eng,tec seg)</t>
  </si>
  <si>
    <t>1.7</t>
  </si>
  <si>
    <t>Celulares da frota</t>
  </si>
  <si>
    <t>1.8</t>
  </si>
  <si>
    <t>Material de expediente e diversos</t>
  </si>
  <si>
    <t xml:space="preserve">Locação do imóvel  (filial) </t>
  </si>
  <si>
    <t xml:space="preserve">Capa de chuva </t>
  </si>
  <si>
    <t>A9</t>
  </si>
  <si>
    <t>SECONCI</t>
  </si>
  <si>
    <t>Total dos custos das Equipes de Coleta</t>
  </si>
  <si>
    <t>Óleos, filtros e lubrificantes</t>
  </si>
  <si>
    <t>Luva de vaqueta e raspa</t>
  </si>
  <si>
    <t>PLANILHA AUXILIAR DE COMPOSIÇÃO DE PREÇOS -DESPESAS ADMINISTRATIVAS LOCAIS</t>
  </si>
  <si>
    <t>Coleta  (R$)</t>
  </si>
  <si>
    <t>Despesas</t>
  </si>
  <si>
    <t xml:space="preserve">RECAPAGEM: </t>
  </si>
  <si>
    <t xml:space="preserve">CAMARA </t>
  </si>
  <si>
    <t xml:space="preserve">PROTETOR </t>
  </si>
  <si>
    <t>goodyear k-mas SII</t>
  </si>
  <si>
    <t>Bridgestone R 269</t>
  </si>
  <si>
    <t>Firestone FS-440</t>
  </si>
  <si>
    <t>Pirelli FR-440</t>
  </si>
  <si>
    <t>Importados</t>
  </si>
  <si>
    <t>X-BRI</t>
  </si>
  <si>
    <t xml:space="preserve">Preço Médio: </t>
  </si>
  <si>
    <t>Modelos Pneus</t>
  </si>
  <si>
    <t>Preço (R$)</t>
  </si>
  <si>
    <t>ORÇAMENTO PNEUS, CÂMARAS, PROTETOR E RECAPAGEM</t>
  </si>
  <si>
    <t>Dispositivo para coleta mecanizada (conteinerizada) (80% em 36 meses) 03 turnos</t>
  </si>
  <si>
    <t>Dispositivo para coleta mecanizada (conteinerizada) - (80% em 60 meses)  Reserva</t>
  </si>
  <si>
    <t>Caminhão Atego 2430 6x2 2p (diesel)(E5) operando 3 turnos</t>
  </si>
  <si>
    <t>Equipto. Hidr. Mod. "GT-25" c/ Tr. 3º Eixo operando 3 turnos</t>
  </si>
  <si>
    <t>Conteiner TP 6525R DF. +ChMist(1/4+3/8) 39 m³ operando 3 turnos</t>
  </si>
  <si>
    <t>Depreciação do utilitário (80% em 60 meses)</t>
  </si>
  <si>
    <t>Depreciação do utilitário (80% em 60 meses) distribuição de sacos verdes</t>
  </si>
  <si>
    <t xml:space="preserve">Depreciação da moto (80% em 60 meses) </t>
  </si>
  <si>
    <t xml:space="preserve">Seguro de vida e auxílio funeral </t>
  </si>
  <si>
    <t xml:space="preserve">Seguro de vida </t>
  </si>
  <si>
    <t>COLETA CONVENCIONAL URBANO</t>
  </si>
  <si>
    <t>ETAPA 1</t>
  </si>
  <si>
    <t>UNIDADE</t>
  </si>
  <si>
    <t xml:space="preserve">QUANTIDADE </t>
  </si>
  <si>
    <t>PLANILHA RESUMO</t>
  </si>
  <si>
    <t>ton/mês</t>
  </si>
  <si>
    <t xml:space="preserve">PREÇO 
UNITÁRIO (R$) </t>
  </si>
  <si>
    <t>SERVIÇOS</t>
  </si>
  <si>
    <t>PREÇO 
TOTAL (R$)</t>
  </si>
  <si>
    <r>
      <t>Strada Endurance 1.4 Flex 8V CD -</t>
    </r>
    <r>
      <rPr>
        <b/>
        <sz val="10"/>
        <rFont val="Times New Roman"/>
        <family val="1"/>
      </rPr>
      <t>195/65R15</t>
    </r>
  </si>
  <si>
    <r>
      <t xml:space="preserve">Fiorino Furgão Work. HARD 1.4 Flex 8V 2p- </t>
    </r>
    <r>
      <rPr>
        <b/>
        <sz val="10"/>
        <rFont val="Times New Roman"/>
        <family val="1"/>
      </rPr>
      <t>175/70R14</t>
    </r>
  </si>
  <si>
    <t>Motocicleta cilindrada  125 cc.</t>
  </si>
  <si>
    <t>Veículo de apoio</t>
  </si>
  <si>
    <t xml:space="preserve">Caçamba compactadora 15m³  </t>
  </si>
  <si>
    <t>Caminhão para caçamba coletora compactadora com capacidade de 15 m³</t>
  </si>
  <si>
    <t>Caminhão para caçamba coletora de pequeno porte com capacidade de 6 m³</t>
  </si>
  <si>
    <t xml:space="preserve">Caçamba compactadora PP 6m³ </t>
  </si>
  <si>
    <t>Caminhão para caçamba coletora compactadora com capacidade mínima de 15 m³ -  Operando em 1 turno</t>
  </si>
  <si>
    <t>Caçamba compactadora de 15m³ - Operando em 1 turno</t>
  </si>
  <si>
    <t>Dispositivo para coleta mecanizada (conteinerizada) em 1 turnos</t>
  </si>
  <si>
    <t>Manutenção, peças, serviços e lavagens</t>
  </si>
  <si>
    <t xml:space="preserve">Caminhão para caçamba coletora compactadora com capacidade mínima de 15 m³ - Reserva </t>
  </si>
  <si>
    <t>Lavação frota operacional</t>
  </si>
  <si>
    <t>Lavação frota reserva</t>
  </si>
  <si>
    <t>Lavação frota auxiliar utilitário</t>
  </si>
  <si>
    <t>Lavação frota auxiliar moto</t>
  </si>
  <si>
    <t>5.6.3</t>
  </si>
  <si>
    <t>5.6.4</t>
  </si>
  <si>
    <t>5.6.5</t>
  </si>
  <si>
    <t xml:space="preserve">Caçamba compactadora de 15m³ - Reserva </t>
  </si>
  <si>
    <t>Dispositivo para coleta mecanizada (conteinerizada) (80% em 36 meses) 02 turnos</t>
  </si>
  <si>
    <t>Despesas com pessoal (salários, encargos, benefícios)</t>
  </si>
  <si>
    <t>Fornecedor A</t>
  </si>
  <si>
    <t>Fornecedor B</t>
  </si>
  <si>
    <t>PNEU 195/65R15 91V FASTWAY G1 XBRI (MX)</t>
  </si>
  <si>
    <t>PNEU 175/70R14C 6PR 95/93S TR928 TRIANGLE (MX)</t>
  </si>
  <si>
    <t>275/80R22.5</t>
  </si>
  <si>
    <t>ARO 22.5</t>
  </si>
  <si>
    <t>COLETA CONVENCIONAL URBANA - DESTINO FINAL</t>
  </si>
  <si>
    <t>Secretaria Municipal de Águas e Saneamento do Município de Lages/SC</t>
  </si>
  <si>
    <t>Lavação completa  de caminhão</t>
  </si>
  <si>
    <t>Combustível</t>
  </si>
  <si>
    <t>SINAPI</t>
  </si>
  <si>
    <t>Gerente Operacional</t>
  </si>
  <si>
    <t>Coleta regular, transporte e destino final de resíduos domiciliares urbanos</t>
  </si>
  <si>
    <t>Secretaria Municipal de Águas e Saneamento de Lages/SC - SEMASA</t>
  </si>
  <si>
    <t>Secretaria Municipal de Águas e Saneamento do  de Lages/SC - SEMASA</t>
  </si>
  <si>
    <t>Total Custo mensal  total</t>
  </si>
  <si>
    <t>2.4</t>
  </si>
  <si>
    <t>Auxiliar Adiminsitrativo</t>
  </si>
  <si>
    <t/>
  </si>
  <si>
    <t>Gerente operacional</t>
  </si>
  <si>
    <t>Número de Gerente de Operação</t>
  </si>
  <si>
    <t>Gerente de Operação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</si>
</sst>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43" formatCode="_-* #,##0.00_-;\-* #,##0.00_-;_-* &quot;-&quot;??_-;_-@_-"/>
    <numFmt numFmtId="167" formatCode="&quot;R$&quot;\ #,##0.00;[Red]\-&quot;R$&quot;\ #,##0.00"/>
    <numFmt numFmtId="169" formatCode="_-&quot;R$&quot;\ * #,##0.00_-;\-&quot;R$&quot;\ * #,##0.00_-;_-&quot;R$&quot;\ * &quot;-&quot;??_-;_-@_-"/>
    <numFmt numFmtId="171" formatCode="_(* #,##0.00_);_(* \(#,##0.00\);_(* &quot;-&quot;??_);_(@_)"/>
    <numFmt numFmtId="172" formatCode="&quot;R$ &quot;#,##0_);\(&quot;R$ &quot;#,##0\)"/>
    <numFmt numFmtId="174" formatCode="_(&quot;R$ &quot;* #,##0.00_);_(&quot;R$ &quot;* \(#,##0.00\);_(&quot;R$ &quot;* &quot;-&quot;??_);_(@_)"/>
    <numFmt numFmtId="175" formatCode="_(* #,##0.00_);_(* \(#,##0.00\);_(* \-??_);_(@_)"/>
    <numFmt numFmtId="176" formatCode="&quot;R$&quot;#,##0.00_);&quot;(R$&quot;#,##0.00\)"/>
    <numFmt numFmtId="189" formatCode="_(* #,##0.0_);_(* \(#,##0.0\);_(* \-??_);_(@_)"/>
    <numFmt numFmtId="190" formatCode="General\ "/>
    <numFmt numFmtId="192" formatCode="_(&quot;R$ &quot;* #,##0.00_);_(&quot;R$ &quot;* \(#,##0.00\);_(&quot;R$ &quot;* \-??_);_(@_)"/>
    <numFmt numFmtId="203" formatCode="&quot;R$&quot;\ #,##0.00"/>
    <numFmt numFmtId="215" formatCode="_(* #,##0.0000000_);_(* \(#,##0.0000000\);_(* \-??_);_(@_)"/>
    <numFmt numFmtId="218" formatCode="\-"/>
    <numFmt numFmtId="226" formatCode="_-&quot;R$&quot;\ * #,##0.0000_-;\-&quot;R$&quot;\ * #,##0.0000_-;_-&quot;R$&quot;\ * &quot;-&quot;??_-;_-@_-"/>
  </numFmts>
  <fonts count="34" x14ac:knownFonts="1">
    <font>
      <sz val="10"/>
      <name val="Arial"/>
    </font>
    <font>
      <sz val="10"/>
      <name val="Arial"/>
    </font>
    <font>
      <sz val="10"/>
      <name val="Times New Roman"/>
      <family val="1"/>
    </font>
    <font>
      <sz val="10"/>
      <name val="Arial"/>
      <family val="2"/>
    </font>
    <font>
      <b/>
      <sz val="12"/>
      <name val="Times New Roman"/>
      <family val="1"/>
    </font>
    <font>
      <b/>
      <sz val="10"/>
      <name val="Times New Roman"/>
      <family val="1"/>
    </font>
    <font>
      <u/>
      <sz val="7"/>
      <color indexed="12"/>
      <name val="Arial"/>
      <family val="2"/>
    </font>
    <font>
      <sz val="10"/>
      <name val="Arial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sz val="10"/>
      <name val="Arial"/>
      <family val="2"/>
    </font>
    <font>
      <b/>
      <sz val="9"/>
      <name val="Times New Roman"/>
      <family val="1"/>
    </font>
    <font>
      <sz val="9"/>
      <name val="Times New Roman"/>
      <family val="1"/>
    </font>
    <font>
      <i/>
      <sz val="8"/>
      <name val="Arial"/>
      <family val="2"/>
    </font>
    <font>
      <sz val="8"/>
      <name val="Arial"/>
      <family val="2"/>
    </font>
    <font>
      <sz val="10"/>
      <color indexed="8"/>
      <name val="Times New Roman"/>
      <family val="1"/>
    </font>
    <font>
      <i/>
      <sz val="10"/>
      <name val="Times New Roman"/>
      <family val="1"/>
    </font>
    <font>
      <b/>
      <sz val="12"/>
      <name val="Arial"/>
      <family val="2"/>
    </font>
    <font>
      <u/>
      <sz val="10"/>
      <name val="Times New Roman"/>
      <family val="1"/>
    </font>
    <font>
      <sz val="16"/>
      <name val="Times New Roman"/>
      <family val="1"/>
    </font>
    <font>
      <b/>
      <sz val="11"/>
      <color theme="0"/>
      <name val="Calibri"/>
      <family val="2"/>
      <scheme val="minor"/>
    </font>
    <font>
      <sz val="10"/>
      <color rgb="FF000000"/>
      <name val="Times New Roman"/>
      <family val="1"/>
    </font>
    <font>
      <b/>
      <sz val="10"/>
      <color rgb="FF000000"/>
      <name val="Times New Roman"/>
      <family val="1"/>
    </font>
    <font>
      <sz val="10"/>
      <color theme="1"/>
      <name val="Times New Roman"/>
      <family val="1"/>
    </font>
    <font>
      <sz val="10"/>
      <color theme="0"/>
      <name val="Times New Roman"/>
      <family val="1"/>
    </font>
    <font>
      <b/>
      <sz val="14"/>
      <color theme="0"/>
      <name val="Times New Roman"/>
      <family val="1"/>
    </font>
    <font>
      <b/>
      <sz val="11"/>
      <color theme="0"/>
      <name val="Times New Roman"/>
      <family val="1"/>
    </font>
    <font>
      <sz val="10"/>
      <color rgb="FFFF0000"/>
      <name val="Arial"/>
      <family val="2"/>
    </font>
    <font>
      <sz val="10"/>
      <color rgb="FFFF0000"/>
      <name val="Times New Roman"/>
      <family val="1"/>
    </font>
    <font>
      <b/>
      <sz val="12"/>
      <color theme="0"/>
      <name val="Times New Roman"/>
      <family val="1"/>
    </font>
    <font>
      <sz val="10"/>
      <color rgb="FF162633"/>
      <name val="Arial"/>
      <family val="2"/>
    </font>
    <font>
      <sz val="10"/>
      <color rgb="FF00B050"/>
      <name val="Times New Roman"/>
      <family val="1"/>
    </font>
    <font>
      <sz val="11"/>
      <color theme="0"/>
      <name val="Times New Roman"/>
      <family val="1"/>
    </font>
    <font>
      <sz val="16"/>
      <name val="Calibri"/>
      <family val="2"/>
      <scheme val="minor"/>
    </font>
  </fonts>
  <fills count="2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3" tint="-0.499984740745262"/>
        <bgColor indexed="64"/>
      </patternFill>
    </fill>
  </fills>
  <borders count="79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theme="4" tint="-0.499984740745262"/>
      </top>
      <bottom/>
      <diagonal/>
    </border>
    <border>
      <left style="thin">
        <color indexed="64"/>
      </left>
      <right/>
      <top style="thin">
        <color indexed="64"/>
      </top>
      <bottom style="thin">
        <color theme="0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 style="thin">
        <color indexed="64"/>
      </right>
      <top style="thin">
        <color indexed="64"/>
      </top>
      <bottom style="thin">
        <color theme="0"/>
      </bottom>
      <diagonal/>
    </border>
    <border>
      <left/>
      <right/>
      <top style="thin">
        <color theme="4" tint="-0.499984740745262"/>
      </top>
      <bottom style="medium">
        <color indexed="64"/>
      </bottom>
      <diagonal/>
    </border>
    <border>
      <left style="thin">
        <color indexed="64"/>
      </left>
      <right/>
      <top style="thin">
        <color theme="4" tint="-0.499984740745262"/>
      </top>
      <bottom/>
      <diagonal/>
    </border>
    <border>
      <left/>
      <right style="thin">
        <color indexed="64"/>
      </right>
      <top style="thin">
        <color theme="4" tint="-0.499984740745262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indexed="64"/>
      </bottom>
      <diagonal/>
    </border>
    <border>
      <left/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/>
      <top style="thin">
        <color theme="0"/>
      </top>
      <bottom style="thin">
        <color indexed="64"/>
      </bottom>
      <diagonal/>
    </border>
    <border>
      <left style="thin">
        <color indexed="64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indexed="64"/>
      </right>
      <top/>
      <bottom style="thin">
        <color theme="0"/>
      </bottom>
      <diagonal/>
    </border>
    <border>
      <left style="medium">
        <color indexed="64"/>
      </left>
      <right/>
      <top style="thin">
        <color theme="4" tint="-0.499984740745262"/>
      </top>
      <bottom style="medium">
        <color indexed="64"/>
      </bottom>
      <diagonal/>
    </border>
    <border>
      <left/>
      <right style="medium">
        <color indexed="64"/>
      </right>
      <top style="thin">
        <color theme="4" tint="-0.499984740745262"/>
      </top>
      <bottom style="medium">
        <color indexed="64"/>
      </bottom>
      <diagonal/>
    </border>
    <border>
      <left/>
      <right/>
      <top style="thin">
        <color theme="4" tint="-0.499984740745262"/>
      </top>
      <bottom style="thin">
        <color indexed="64"/>
      </bottom>
      <diagonal/>
    </border>
  </borders>
  <cellStyleXfs count="3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174" fontId="1" fillId="0" borderId="0" applyFill="0" applyBorder="0" applyAlignment="0" applyProtection="0"/>
    <xf numFmtId="174" fontId="3" fillId="0" borderId="0" applyFont="0" applyFill="0" applyBorder="0" applyAlignment="0" applyProtection="0"/>
    <xf numFmtId="192" fontId="3" fillId="0" borderId="0" applyFill="0" applyBorder="0" applyAlignment="0" applyProtection="0"/>
    <xf numFmtId="0" fontId="3" fillId="0" borderId="0"/>
    <xf numFmtId="0" fontId="3" fillId="0" borderId="0"/>
    <xf numFmtId="0" fontId="3" fillId="0" borderId="0"/>
    <xf numFmtId="9" fontId="1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5" fontId="3" fillId="0" borderId="0" applyFill="0" applyBorder="0" applyAlignment="0" applyProtection="0"/>
    <xf numFmtId="172" fontId="3" fillId="0" borderId="0" applyFill="0" applyBorder="0" applyAlignment="0" applyProtection="0"/>
    <xf numFmtId="172" fontId="3" fillId="0" borderId="0" applyFill="0" applyBorder="0" applyAlignment="0" applyProtection="0"/>
    <xf numFmtId="0" fontId="3" fillId="0" borderId="0" applyFill="0" applyBorder="0" applyAlignment="0" applyProtection="0"/>
    <xf numFmtId="0" fontId="3" fillId="0" borderId="0" applyFill="0" applyBorder="0" applyAlignment="0" applyProtection="0"/>
    <xf numFmtId="190" fontId="3" fillId="0" borderId="0" applyFill="0" applyBorder="0" applyAlignment="0" applyProtection="0"/>
    <xf numFmtId="0" fontId="3" fillId="0" borderId="0" applyFill="0" applyBorder="0" applyAlignment="0" applyProtection="0"/>
    <xf numFmtId="0" fontId="3" fillId="0" borderId="0" applyFill="0" applyBorder="0" applyAlignment="0" applyProtection="0"/>
    <xf numFmtId="0" fontId="3" fillId="0" borderId="0" applyFill="0" applyBorder="0" applyAlignment="0" applyProtection="0"/>
    <xf numFmtId="190" fontId="3" fillId="0" borderId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0" fontId="3" fillId="0" borderId="0" applyFill="0" applyBorder="0" applyAlignment="0" applyProtection="0"/>
    <xf numFmtId="190" fontId="3" fillId="0" borderId="0" applyFill="0" applyBorder="0" applyAlignment="0" applyProtection="0"/>
    <xf numFmtId="189" fontId="3" fillId="0" borderId="0" applyFill="0" applyBorder="0" applyAlignment="0" applyProtection="0"/>
    <xf numFmtId="0" fontId="8" fillId="0" borderId="0" applyNumberFormat="0" applyFill="0" applyBorder="0" applyAlignment="0" applyProtection="0"/>
    <xf numFmtId="0" fontId="9" fillId="0" borderId="1" applyNumberFormat="0" applyFill="0" applyAlignment="0" applyProtection="0"/>
    <xf numFmtId="175" fontId="7" fillId="0" borderId="0" applyFill="0" applyBorder="0" applyAlignment="0" applyProtection="0"/>
    <xf numFmtId="175" fontId="3" fillId="0" borderId="0" applyFill="0" applyBorder="0" applyAlignment="0" applyProtection="0"/>
  </cellStyleXfs>
  <cellXfs count="741">
    <xf numFmtId="0" fontId="0" fillId="0" borderId="0" xfId="0"/>
    <xf numFmtId="0" fontId="2" fillId="0" borderId="0" xfId="0" applyFont="1" applyBorder="1" applyAlignment="1">
      <alignment horizontal="center"/>
    </xf>
    <xf numFmtId="14" fontId="2" fillId="0" borderId="0" xfId="0" applyNumberFormat="1" applyFont="1" applyAlignment="1">
      <alignment horizontal="left"/>
    </xf>
    <xf numFmtId="0" fontId="2" fillId="0" borderId="0" xfId="0" applyFont="1" applyAlignment="1">
      <alignment horizontal="center"/>
    </xf>
    <xf numFmtId="175" fontId="2" fillId="0" borderId="0" xfId="30" applyFont="1" applyFill="1" applyBorder="1" applyAlignment="1" applyProtection="1"/>
    <xf numFmtId="0" fontId="2" fillId="0" borderId="0" xfId="0" applyFont="1" applyBorder="1"/>
    <xf numFmtId="0" fontId="2" fillId="0" borderId="0" xfId="0" applyFont="1"/>
    <xf numFmtId="0" fontId="2" fillId="0" borderId="0" xfId="0" applyFont="1" applyFill="1"/>
    <xf numFmtId="0" fontId="2" fillId="0" borderId="2" xfId="0" applyFont="1" applyBorder="1"/>
    <xf numFmtId="0" fontId="2" fillId="0" borderId="3" xfId="0" applyFont="1" applyFill="1" applyBorder="1"/>
    <xf numFmtId="0" fontId="2" fillId="2" borderId="0" xfId="0" applyFont="1" applyFill="1"/>
    <xf numFmtId="175" fontId="2" fillId="0" borderId="3" xfId="30" applyFont="1" applyFill="1" applyBorder="1" applyAlignment="1" applyProtection="1"/>
    <xf numFmtId="0" fontId="2" fillId="0" borderId="0" xfId="0" applyFont="1" applyFill="1" applyBorder="1"/>
    <xf numFmtId="0" fontId="2" fillId="0" borderId="2" xfId="0" applyFont="1" applyFill="1" applyBorder="1"/>
    <xf numFmtId="0" fontId="2" fillId="0" borderId="0" xfId="0" applyFont="1" applyFill="1" applyBorder="1" applyAlignment="1">
      <alignment horizontal="center"/>
    </xf>
    <xf numFmtId="0" fontId="2" fillId="0" borderId="4" xfId="0" applyFont="1" applyFill="1" applyBorder="1"/>
    <xf numFmtId="2" fontId="2" fillId="0" borderId="0" xfId="0" applyNumberFormat="1" applyFont="1" applyFill="1" applyBorder="1" applyAlignment="1">
      <alignment horizontal="center"/>
    </xf>
    <xf numFmtId="43" fontId="2" fillId="0" borderId="0" xfId="0" applyNumberFormat="1" applyFont="1"/>
    <xf numFmtId="175" fontId="7" fillId="0" borderId="0" xfId="30"/>
    <xf numFmtId="0" fontId="5" fillId="0" borderId="0" xfId="0" applyFont="1"/>
    <xf numFmtId="0" fontId="5" fillId="0" borderId="0" xfId="0" applyFont="1" applyAlignment="1">
      <alignment horizontal="center"/>
    </xf>
    <xf numFmtId="175" fontId="5" fillId="0" borderId="0" xfId="30" applyFont="1" applyFill="1" applyBorder="1" applyAlignment="1" applyProtection="1"/>
    <xf numFmtId="175" fontId="2" fillId="3" borderId="5" xfId="30" applyFont="1" applyFill="1" applyBorder="1" applyAlignment="1" applyProtection="1"/>
    <xf numFmtId="0" fontId="2" fillId="4" borderId="0" xfId="0" applyFont="1" applyFill="1" applyBorder="1"/>
    <xf numFmtId="0" fontId="2" fillId="0" borderId="4" xfId="0" applyFont="1" applyBorder="1" applyAlignment="1">
      <alignment horizontal="center"/>
    </xf>
    <xf numFmtId="0" fontId="2" fillId="3" borderId="0" xfId="0" applyFont="1" applyFill="1" applyBorder="1"/>
    <xf numFmtId="0" fontId="2" fillId="3" borderId="0" xfId="0" applyFont="1" applyFill="1"/>
    <xf numFmtId="175" fontId="2" fillId="3" borderId="0" xfId="30" applyFont="1" applyFill="1" applyBorder="1" applyAlignment="1" applyProtection="1"/>
    <xf numFmtId="0" fontId="2" fillId="3" borderId="0" xfId="0" applyFont="1" applyFill="1" applyBorder="1" applyAlignment="1">
      <alignment horizontal="center"/>
    </xf>
    <xf numFmtId="0" fontId="0" fillId="0" borderId="0" xfId="0" applyBorder="1"/>
    <xf numFmtId="4" fontId="2" fillId="3" borderId="4" xfId="0" applyNumberFormat="1" applyFont="1" applyFill="1" applyBorder="1" applyAlignment="1">
      <alignment horizontal="center"/>
    </xf>
    <xf numFmtId="175" fontId="7" fillId="3" borderId="0" xfId="30" applyFill="1"/>
    <xf numFmtId="43" fontId="2" fillId="3" borderId="0" xfId="0" applyNumberFormat="1" applyFont="1" applyFill="1"/>
    <xf numFmtId="0" fontId="6" fillId="0" borderId="0" xfId="1" applyAlignment="1" applyProtection="1">
      <alignment horizontal="left"/>
    </xf>
    <xf numFmtId="167" fontId="6" fillId="0" borderId="0" xfId="1" applyNumberFormat="1" applyAlignment="1" applyProtection="1"/>
    <xf numFmtId="0" fontId="2" fillId="3" borderId="4" xfId="0" applyFont="1" applyFill="1" applyBorder="1" applyAlignment="1">
      <alignment horizontal="center"/>
    </xf>
    <xf numFmtId="0" fontId="2" fillId="5" borderId="4" xfId="0" applyFont="1" applyFill="1" applyBorder="1"/>
    <xf numFmtId="4" fontId="2" fillId="5" borderId="4" xfId="0" applyNumberFormat="1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/>
    </xf>
    <xf numFmtId="0" fontId="2" fillId="6" borderId="6" xfId="0" applyFont="1" applyFill="1" applyBorder="1" applyAlignment="1">
      <alignment horizontal="center"/>
    </xf>
    <xf numFmtId="0" fontId="2" fillId="6" borderId="4" xfId="0" applyFont="1" applyFill="1" applyBorder="1"/>
    <xf numFmtId="0" fontId="2" fillId="5" borderId="7" xfId="0" applyFont="1" applyFill="1" applyBorder="1"/>
    <xf numFmtId="0" fontId="5" fillId="7" borderId="8" xfId="0" applyFont="1" applyFill="1" applyBorder="1" applyAlignment="1">
      <alignment horizontal="center" vertical="center" wrapText="1"/>
    </xf>
    <xf numFmtId="0" fontId="5" fillId="7" borderId="9" xfId="0" applyFont="1" applyFill="1" applyBorder="1" applyAlignment="1">
      <alignment horizontal="center" vertical="center" wrapText="1"/>
    </xf>
    <xf numFmtId="0" fontId="5" fillId="7" borderId="10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167" fontId="2" fillId="0" borderId="0" xfId="0" applyNumberFormat="1" applyFont="1"/>
    <xf numFmtId="0" fontId="2" fillId="6" borderId="11" xfId="0" applyFont="1" applyFill="1" applyBorder="1" applyAlignment="1">
      <alignment horizontal="center"/>
    </xf>
    <xf numFmtId="0" fontId="2" fillId="6" borderId="12" xfId="0" applyFont="1" applyFill="1" applyBorder="1"/>
    <xf numFmtId="0" fontId="2" fillId="5" borderId="13" xfId="0" applyFont="1" applyFill="1" applyBorder="1" applyAlignment="1">
      <alignment horizontal="center"/>
    </xf>
    <xf numFmtId="9" fontId="2" fillId="5" borderId="4" xfId="0" applyNumberFormat="1" applyFont="1" applyFill="1" applyBorder="1" applyAlignment="1">
      <alignment horizontal="center"/>
    </xf>
    <xf numFmtId="0" fontId="4" fillId="3" borderId="0" xfId="0" applyFont="1" applyFill="1" applyBorder="1" applyAlignment="1">
      <alignment horizontal="left" wrapText="1"/>
    </xf>
    <xf numFmtId="167" fontId="2" fillId="3" borderId="0" xfId="0" applyNumberFormat="1" applyFont="1" applyFill="1"/>
    <xf numFmtId="175" fontId="2" fillId="3" borderId="0" xfId="0" applyNumberFormat="1" applyFont="1" applyFill="1"/>
    <xf numFmtId="9" fontId="1" fillId="3" borderId="0" xfId="8" applyFill="1" applyBorder="1" applyAlignment="1" applyProtection="1"/>
    <xf numFmtId="167" fontId="2" fillId="3" borderId="0" xfId="0" applyNumberFormat="1" applyFont="1" applyFill="1" applyBorder="1"/>
    <xf numFmtId="175" fontId="2" fillId="3" borderId="0" xfId="0" applyNumberFormat="1" applyFont="1" applyFill="1" applyBorder="1"/>
    <xf numFmtId="0" fontId="2" fillId="3" borderId="0" xfId="0" applyFont="1" applyFill="1" applyAlignment="1">
      <alignment horizontal="center"/>
    </xf>
    <xf numFmtId="0" fontId="2" fillId="3" borderId="5" xfId="0" applyFont="1" applyFill="1" applyBorder="1"/>
    <xf numFmtId="0" fontId="2" fillId="3" borderId="3" xfId="0" applyFont="1" applyFill="1" applyBorder="1"/>
    <xf numFmtId="43" fontId="2" fillId="3" borderId="0" xfId="0" applyNumberFormat="1" applyFont="1" applyFill="1" applyBorder="1"/>
    <xf numFmtId="175" fontId="2" fillId="3" borderId="3" xfId="0" applyNumberFormat="1" applyFont="1" applyFill="1" applyBorder="1"/>
    <xf numFmtId="175" fontId="2" fillId="3" borderId="3" xfId="30" applyFont="1" applyFill="1" applyBorder="1" applyAlignment="1" applyProtection="1"/>
    <xf numFmtId="175" fontId="2" fillId="3" borderId="0" xfId="30" applyFont="1" applyFill="1" applyBorder="1" applyAlignment="1" applyProtection="1">
      <alignment horizontal="center"/>
    </xf>
    <xf numFmtId="175" fontId="2" fillId="3" borderId="14" xfId="30" applyFont="1" applyFill="1" applyBorder="1" applyAlignment="1" applyProtection="1"/>
    <xf numFmtId="0" fontId="5" fillId="3" borderId="0" xfId="0" applyFont="1" applyFill="1"/>
    <xf numFmtId="0" fontId="5" fillId="3" borderId="0" xfId="0" applyFont="1" applyFill="1" applyAlignment="1">
      <alignment horizontal="center"/>
    </xf>
    <xf numFmtId="175" fontId="5" fillId="3" borderId="0" xfId="30" applyFont="1" applyFill="1" applyBorder="1" applyAlignment="1" applyProtection="1"/>
    <xf numFmtId="0" fontId="10" fillId="0" borderId="0" xfId="0" applyFont="1" applyBorder="1" applyAlignment="1">
      <alignment horizontal="center" vertical="center"/>
    </xf>
    <xf numFmtId="4" fontId="10" fillId="0" borderId="0" xfId="0" applyNumberFormat="1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left" vertical="center" wrapText="1"/>
    </xf>
    <xf numFmtId="0" fontId="2" fillId="3" borderId="0" xfId="0" applyFont="1" applyFill="1" applyBorder="1" applyAlignment="1">
      <alignment horizontal="center" vertical="center" wrapText="1"/>
    </xf>
    <xf numFmtId="175" fontId="2" fillId="5" borderId="4" xfId="30" applyFont="1" applyFill="1" applyBorder="1" applyAlignment="1" applyProtection="1">
      <alignment horizontal="center"/>
    </xf>
    <xf numFmtId="9" fontId="2" fillId="5" borderId="7" xfId="0" applyNumberFormat="1" applyFont="1" applyFill="1" applyBorder="1" applyAlignment="1">
      <alignment horizontal="center"/>
    </xf>
    <xf numFmtId="0" fontId="5" fillId="7" borderId="8" xfId="0" applyFont="1" applyFill="1" applyBorder="1" applyAlignment="1">
      <alignment vertical="center" wrapText="1"/>
    </xf>
    <xf numFmtId="0" fontId="21" fillId="0" borderId="6" xfId="0" applyFont="1" applyBorder="1" applyAlignment="1">
      <alignment horizontal="left" vertical="center"/>
    </xf>
    <xf numFmtId="0" fontId="21" fillId="0" borderId="4" xfId="0" applyFont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22" fillId="0" borderId="4" xfId="0" applyFont="1" applyBorder="1" applyAlignment="1">
      <alignment horizontal="left" vertical="center"/>
    </xf>
    <xf numFmtId="0" fontId="21" fillId="6" borderId="6" xfId="0" applyFont="1" applyFill="1" applyBorder="1" applyAlignment="1">
      <alignment horizontal="left" vertical="center"/>
    </xf>
    <xf numFmtId="0" fontId="22" fillId="6" borderId="4" xfId="0" applyFont="1" applyFill="1" applyBorder="1" applyAlignment="1">
      <alignment horizontal="left" vertical="center"/>
    </xf>
    <xf numFmtId="0" fontId="23" fillId="0" borderId="4" xfId="0" applyFont="1" applyBorder="1" applyAlignment="1">
      <alignment horizontal="left" vertical="center"/>
    </xf>
    <xf numFmtId="0" fontId="23" fillId="0" borderId="4" xfId="0" applyFont="1" applyFill="1" applyBorder="1" applyAlignment="1">
      <alignment horizontal="left" vertical="center"/>
    </xf>
    <xf numFmtId="0" fontId="21" fillId="0" borderId="4" xfId="0" applyFont="1" applyBorder="1" applyAlignment="1">
      <alignment horizontal="left" vertical="center" wrapText="1"/>
    </xf>
    <xf numFmtId="0" fontId="21" fillId="8" borderId="15" xfId="0" applyFont="1" applyFill="1" applyBorder="1" applyAlignment="1">
      <alignment horizontal="left" vertical="center"/>
    </xf>
    <xf numFmtId="0" fontId="22" fillId="8" borderId="16" xfId="0" applyFont="1" applyFill="1" applyBorder="1" applyAlignment="1">
      <alignment horizontal="left" vertical="center"/>
    </xf>
    <xf numFmtId="9" fontId="2" fillId="3" borderId="0" xfId="0" applyNumberFormat="1" applyFont="1" applyFill="1" applyBorder="1" applyAlignment="1">
      <alignment horizontal="center"/>
    </xf>
    <xf numFmtId="10" fontId="2" fillId="3" borderId="0" xfId="0" applyNumberFormat="1" applyFont="1" applyFill="1" applyBorder="1" applyAlignment="1">
      <alignment horizontal="center"/>
    </xf>
    <xf numFmtId="4" fontId="2" fillId="0" borderId="0" xfId="0" applyNumberFormat="1" applyFont="1" applyFill="1" applyBorder="1" applyAlignment="1">
      <alignment horizontal="center"/>
    </xf>
    <xf numFmtId="175" fontId="5" fillId="3" borderId="0" xfId="30" applyFont="1" applyFill="1" applyBorder="1" applyAlignment="1" applyProtection="1">
      <alignment horizontal="right"/>
    </xf>
    <xf numFmtId="0" fontId="5" fillId="3" borderId="0" xfId="0" applyFont="1" applyFill="1" applyBorder="1"/>
    <xf numFmtId="43" fontId="2" fillId="3" borderId="3" xfId="0" applyNumberFormat="1" applyFont="1" applyFill="1" applyBorder="1"/>
    <xf numFmtId="0" fontId="2" fillId="3" borderId="2" xfId="0" applyFont="1" applyFill="1" applyBorder="1"/>
    <xf numFmtId="9" fontId="2" fillId="3" borderId="4" xfId="8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/>
    </xf>
    <xf numFmtId="9" fontId="2" fillId="3" borderId="0" xfId="8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 vertical="center"/>
    </xf>
    <xf numFmtId="10" fontId="2" fillId="3" borderId="4" xfId="0" applyNumberFormat="1" applyFont="1" applyFill="1" applyBorder="1" applyAlignment="1">
      <alignment horizontal="center" vertical="center"/>
    </xf>
    <xf numFmtId="175" fontId="5" fillId="0" borderId="0" xfId="30" applyFont="1" applyFill="1" applyBorder="1" applyAlignment="1" applyProtection="1">
      <alignment horizontal="right"/>
    </xf>
    <xf numFmtId="169" fontId="2" fillId="3" borderId="0" xfId="30" applyNumberFormat="1" applyFont="1" applyFill="1" applyBorder="1" applyAlignment="1" applyProtection="1"/>
    <xf numFmtId="0" fontId="6" fillId="3" borderId="0" xfId="1" applyFill="1" applyAlignment="1" applyProtection="1"/>
    <xf numFmtId="0" fontId="11" fillId="3" borderId="4" xfId="0" applyFont="1" applyFill="1" applyBorder="1" applyAlignment="1">
      <alignment horizontal="center" vertical="center"/>
    </xf>
    <xf numFmtId="0" fontId="12" fillId="3" borderId="0" xfId="0" applyFont="1" applyFill="1"/>
    <xf numFmtId="0" fontId="2" fillId="0" borderId="4" xfId="0" applyFont="1" applyBorder="1" applyAlignment="1">
      <alignment horizontal="center" vertical="center"/>
    </xf>
    <xf numFmtId="9" fontId="2" fillId="0" borderId="0" xfId="8" applyFont="1" applyFill="1" applyBorder="1" applyAlignment="1">
      <alignment horizontal="center"/>
    </xf>
    <xf numFmtId="175" fontId="5" fillId="0" borderId="3" xfId="30" applyFont="1" applyFill="1" applyBorder="1" applyAlignment="1" applyProtection="1"/>
    <xf numFmtId="169" fontId="2" fillId="0" borderId="0" xfId="30" applyNumberFormat="1" applyFont="1" applyFill="1" applyBorder="1" applyAlignment="1" applyProtection="1"/>
    <xf numFmtId="43" fontId="2" fillId="0" borderId="0" xfId="0" applyNumberFormat="1" applyFont="1" applyFill="1"/>
    <xf numFmtId="175" fontId="5" fillId="3" borderId="3" xfId="30" applyFont="1" applyFill="1" applyBorder="1" applyAlignment="1" applyProtection="1"/>
    <xf numFmtId="0" fontId="2" fillId="4" borderId="4" xfId="0" applyFont="1" applyFill="1" applyBorder="1" applyAlignment="1">
      <alignment horizontal="center"/>
    </xf>
    <xf numFmtId="9" fontId="1" fillId="0" borderId="0" xfId="8" applyFill="1" applyBorder="1" applyAlignment="1" applyProtection="1"/>
    <xf numFmtId="2" fontId="2" fillId="3" borderId="0" xfId="0" applyNumberFormat="1" applyFont="1" applyFill="1" applyBorder="1" applyAlignment="1">
      <alignment horizontal="center"/>
    </xf>
    <xf numFmtId="0" fontId="5" fillId="5" borderId="4" xfId="0" applyFont="1" applyFill="1" applyBorder="1" applyAlignment="1">
      <alignment horizontal="center"/>
    </xf>
    <xf numFmtId="0" fontId="5" fillId="3" borderId="0" xfId="0" applyFont="1" applyFill="1" applyBorder="1" applyAlignment="1">
      <alignment horizontal="center"/>
    </xf>
    <xf numFmtId="2" fontId="2" fillId="5" borderId="4" xfId="0" applyNumberFormat="1" applyFont="1" applyFill="1" applyBorder="1" applyAlignment="1">
      <alignment horizontal="center"/>
    </xf>
    <xf numFmtId="2" fontId="5" fillId="3" borderId="0" xfId="0" applyNumberFormat="1" applyFont="1" applyFill="1" applyBorder="1" applyAlignment="1">
      <alignment horizontal="center"/>
    </xf>
    <xf numFmtId="0" fontId="5" fillId="6" borderId="4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3" borderId="0" xfId="0" applyFont="1" applyFill="1" applyBorder="1" applyAlignment="1">
      <alignment vertical="center" wrapText="1"/>
    </xf>
    <xf numFmtId="0" fontId="5" fillId="3" borderId="0" xfId="0" applyFont="1" applyFill="1" applyBorder="1" applyAlignment="1">
      <alignment horizontal="center" vertical="center" wrapText="1"/>
    </xf>
    <xf numFmtId="2" fontId="5" fillId="5" borderId="4" xfId="0" applyNumberFormat="1" applyFont="1" applyFill="1" applyBorder="1" applyAlignment="1">
      <alignment horizontal="center"/>
    </xf>
    <xf numFmtId="0" fontId="5" fillId="0" borderId="4" xfId="0" applyFont="1" applyBorder="1" applyAlignment="1">
      <alignment vertical="center"/>
    </xf>
    <xf numFmtId="0" fontId="2" fillId="4" borderId="4" xfId="0" applyFont="1" applyFill="1" applyBorder="1"/>
    <xf numFmtId="10" fontId="2" fillId="0" borderId="0" xfId="0" applyNumberFormat="1" applyFont="1" applyFill="1" applyBorder="1" applyAlignment="1">
      <alignment horizontal="center"/>
    </xf>
    <xf numFmtId="9" fontId="2" fillId="3" borderId="0" xfId="0" applyNumberFormat="1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0" borderId="17" xfId="0" applyFont="1" applyFill="1" applyBorder="1"/>
    <xf numFmtId="0" fontId="2" fillId="3" borderId="18" xfId="0" applyFont="1" applyFill="1" applyBorder="1"/>
    <xf numFmtId="0" fontId="2" fillId="3" borderId="18" xfId="0" applyFont="1" applyFill="1" applyBorder="1" applyAlignment="1">
      <alignment horizontal="center"/>
    </xf>
    <xf numFmtId="175" fontId="2" fillId="3" borderId="18" xfId="0" applyNumberFormat="1" applyFont="1" applyFill="1" applyBorder="1"/>
    <xf numFmtId="0" fontId="2" fillId="0" borderId="0" xfId="0" applyFont="1" applyFill="1" applyBorder="1" applyAlignment="1">
      <alignment wrapText="1"/>
    </xf>
    <xf numFmtId="0" fontId="2" fillId="0" borderId="19" xfId="0" applyFont="1" applyFill="1" applyBorder="1"/>
    <xf numFmtId="0" fontId="2" fillId="0" borderId="20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 vertical="center"/>
    </xf>
    <xf numFmtId="0" fontId="2" fillId="0" borderId="5" xfId="0" applyFont="1" applyFill="1" applyBorder="1"/>
    <xf numFmtId="0" fontId="2" fillId="0" borderId="18" xfId="0" applyFont="1" applyFill="1" applyBorder="1"/>
    <xf numFmtId="0" fontId="2" fillId="0" borderId="18" xfId="0" applyFont="1" applyFill="1" applyBorder="1" applyAlignment="1">
      <alignment horizontal="center"/>
    </xf>
    <xf numFmtId="0" fontId="2" fillId="0" borderId="14" xfId="0" applyFont="1" applyFill="1" applyBorder="1"/>
    <xf numFmtId="0" fontId="2" fillId="3" borderId="20" xfId="0" applyFont="1" applyFill="1" applyBorder="1" applyAlignment="1">
      <alignment horizontal="center"/>
    </xf>
    <xf numFmtId="0" fontId="2" fillId="3" borderId="4" xfId="0" applyFont="1" applyFill="1" applyBorder="1" applyAlignment="1">
      <alignment vertical="center" wrapText="1"/>
    </xf>
    <xf numFmtId="0" fontId="2" fillId="0" borderId="17" xfId="0" applyFont="1" applyBorder="1"/>
    <xf numFmtId="169" fontId="2" fillId="3" borderId="0" xfId="0" applyNumberFormat="1" applyFont="1" applyFill="1" applyBorder="1"/>
    <xf numFmtId="169" fontId="2" fillId="3" borderId="0" xfId="30" applyNumberFormat="1" applyFont="1" applyFill="1" applyBorder="1" applyAlignment="1" applyProtection="1">
      <alignment horizontal="center"/>
    </xf>
    <xf numFmtId="169" fontId="2" fillId="3" borderId="20" xfId="0" applyNumberFormat="1" applyFont="1" applyFill="1" applyBorder="1"/>
    <xf numFmtId="169" fontId="2" fillId="3" borderId="18" xfId="0" applyNumberFormat="1" applyFont="1" applyFill="1" applyBorder="1"/>
    <xf numFmtId="4" fontId="2" fillId="3" borderId="0" xfId="30" applyNumberFormat="1" applyFont="1" applyFill="1" applyBorder="1" applyAlignment="1">
      <alignment horizontal="center"/>
    </xf>
    <xf numFmtId="169" fontId="5" fillId="3" borderId="0" xfId="30" applyNumberFormat="1" applyFont="1" applyFill="1" applyBorder="1" applyAlignment="1" applyProtection="1"/>
    <xf numFmtId="0" fontId="5" fillId="3" borderId="3" xfId="0" applyFont="1" applyFill="1" applyBorder="1"/>
    <xf numFmtId="175" fontId="2" fillId="3" borderId="0" xfId="30" applyFont="1" applyFill="1" applyBorder="1" applyAlignment="1" applyProtection="1">
      <alignment horizontal="center" vertical="center"/>
    </xf>
    <xf numFmtId="4" fontId="2" fillId="3" borderId="0" xfId="0" applyNumberFormat="1" applyFont="1" applyFill="1" applyBorder="1" applyAlignment="1">
      <alignment horizontal="center"/>
    </xf>
    <xf numFmtId="0" fontId="2" fillId="0" borderId="19" xfId="0" applyFont="1" applyBorder="1"/>
    <xf numFmtId="0" fontId="20" fillId="9" borderId="61" xfId="0" applyFont="1" applyFill="1" applyBorder="1" applyAlignment="1">
      <alignment horizontal="center" vertical="center"/>
    </xf>
    <xf numFmtId="175" fontId="5" fillId="10" borderId="0" xfId="30" applyFont="1" applyFill="1" applyBorder="1" applyAlignment="1" applyProtection="1">
      <alignment horizontal="right"/>
    </xf>
    <xf numFmtId="169" fontId="5" fillId="10" borderId="0" xfId="30" applyNumberFormat="1" applyFont="1" applyFill="1" applyBorder="1" applyAlignment="1" applyProtection="1"/>
    <xf numFmtId="0" fontId="20" fillId="9" borderId="61" xfId="0" applyFont="1" applyFill="1" applyBorder="1" applyAlignment="1">
      <alignment horizontal="left" vertical="center"/>
    </xf>
    <xf numFmtId="0" fontId="20" fillId="11" borderId="62" xfId="0" applyFont="1" applyFill="1" applyBorder="1" applyAlignment="1">
      <alignment horizontal="center" wrapText="1"/>
    </xf>
    <xf numFmtId="0" fontId="20" fillId="11" borderId="63" xfId="0" applyFont="1" applyFill="1" applyBorder="1" applyAlignment="1">
      <alignment horizontal="left" wrapText="1"/>
    </xf>
    <xf numFmtId="0" fontId="20" fillId="11" borderId="63" xfId="0" applyFont="1" applyFill="1" applyBorder="1" applyAlignment="1">
      <alignment horizontal="center" wrapText="1"/>
    </xf>
    <xf numFmtId="0" fontId="20" fillId="11" borderId="64" xfId="0" applyFont="1" applyFill="1" applyBorder="1" applyAlignment="1">
      <alignment horizontal="center" wrapText="1"/>
    </xf>
    <xf numFmtId="175" fontId="5" fillId="10" borderId="18" xfId="30" applyFont="1" applyFill="1" applyBorder="1" applyAlignment="1" applyProtection="1">
      <alignment horizontal="right"/>
    </xf>
    <xf numFmtId="169" fontId="5" fillId="10" borderId="18" xfId="30" applyNumberFormat="1" applyFont="1" applyFill="1" applyBorder="1" applyAlignment="1" applyProtection="1"/>
    <xf numFmtId="169" fontId="2" fillId="3" borderId="20" xfId="0" applyNumberFormat="1" applyFont="1" applyFill="1" applyBorder="1" applyAlignment="1">
      <alignment vertical="center"/>
    </xf>
    <xf numFmtId="169" fontId="2" fillId="3" borderId="0" xfId="0" applyNumberFormat="1" applyFont="1" applyFill="1" applyBorder="1" applyAlignment="1">
      <alignment vertical="center"/>
    </xf>
    <xf numFmtId="0" fontId="2" fillId="0" borderId="20" xfId="0" applyFont="1" applyFill="1" applyBorder="1"/>
    <xf numFmtId="0" fontId="2" fillId="3" borderId="0" xfId="0" applyFont="1" applyFill="1" applyBorder="1" applyAlignment="1">
      <alignment horizontal="left"/>
    </xf>
    <xf numFmtId="0" fontId="2" fillId="10" borderId="2" xfId="0" applyFont="1" applyFill="1" applyBorder="1"/>
    <xf numFmtId="0" fontId="2" fillId="10" borderId="17" xfId="0" applyFont="1" applyFill="1" applyBorder="1"/>
    <xf numFmtId="0" fontId="2" fillId="3" borderId="20" xfId="0" applyFont="1" applyFill="1" applyBorder="1"/>
    <xf numFmtId="169" fontId="2" fillId="3" borderId="20" xfId="30" applyNumberFormat="1" applyFont="1" applyFill="1" applyBorder="1" applyAlignment="1" applyProtection="1"/>
    <xf numFmtId="175" fontId="2" fillId="3" borderId="20" xfId="30" applyFont="1" applyFill="1" applyBorder="1" applyAlignment="1" applyProtection="1"/>
    <xf numFmtId="0" fontId="24" fillId="0" borderId="2" xfId="0" applyFont="1" applyBorder="1"/>
    <xf numFmtId="0" fontId="2" fillId="0" borderId="2" xfId="0" applyFont="1" applyBorder="1" applyAlignment="1">
      <alignment horizontal="center" vertical="center"/>
    </xf>
    <xf numFmtId="9" fontId="2" fillId="3" borderId="20" xfId="0" applyNumberFormat="1" applyFont="1" applyFill="1" applyBorder="1" applyAlignment="1">
      <alignment horizontal="center" vertical="center"/>
    </xf>
    <xf numFmtId="43" fontId="2" fillId="3" borderId="5" xfId="0" applyNumberFormat="1" applyFont="1" applyFill="1" applyBorder="1"/>
    <xf numFmtId="0" fontId="2" fillId="3" borderId="19" xfId="0" applyFont="1" applyFill="1" applyBorder="1"/>
    <xf numFmtId="9" fontId="2" fillId="3" borderId="20" xfId="0" applyNumberFormat="1" applyFont="1" applyFill="1" applyBorder="1" applyAlignment="1">
      <alignment horizontal="center"/>
    </xf>
    <xf numFmtId="4" fontId="2" fillId="3" borderId="20" xfId="30" applyNumberFormat="1" applyFont="1" applyFill="1" applyBorder="1" applyAlignment="1">
      <alignment horizontal="center"/>
    </xf>
    <xf numFmtId="2" fontId="2" fillId="3" borderId="20" xfId="0" applyNumberFormat="1" applyFont="1" applyFill="1" applyBorder="1" applyAlignment="1">
      <alignment horizontal="center"/>
    </xf>
    <xf numFmtId="0" fontId="5" fillId="10" borderId="0" xfId="0" applyFont="1" applyFill="1" applyAlignment="1">
      <alignment horizontal="center"/>
    </xf>
    <xf numFmtId="0" fontId="5" fillId="10" borderId="0" xfId="0" applyFont="1" applyFill="1"/>
    <xf numFmtId="0" fontId="2" fillId="10" borderId="0" xfId="0" applyFont="1" applyFill="1" applyAlignment="1">
      <alignment horizontal="center"/>
    </xf>
    <xf numFmtId="0" fontId="5" fillId="10" borderId="0" xfId="0" applyFont="1" applyFill="1" applyAlignment="1">
      <alignment horizontal="left"/>
    </xf>
    <xf numFmtId="0" fontId="5" fillId="10" borderId="4" xfId="0" applyFont="1" applyFill="1" applyBorder="1" applyAlignment="1">
      <alignment horizontal="center"/>
    </xf>
    <xf numFmtId="0" fontId="3" fillId="0" borderId="0" xfId="0" applyFont="1"/>
    <xf numFmtId="0" fontId="0" fillId="0" borderId="0" xfId="0" applyAlignment="1">
      <alignment horizontal="center"/>
    </xf>
    <xf numFmtId="9" fontId="0" fillId="0" borderId="0" xfId="0" applyNumberForma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wrapText="1"/>
    </xf>
    <xf numFmtId="0" fontId="2" fillId="3" borderId="0" xfId="0" applyFont="1" applyFill="1" applyBorder="1" applyAlignment="1">
      <alignment wrapText="1"/>
    </xf>
    <xf numFmtId="4" fontId="2" fillId="3" borderId="0" xfId="0" applyNumberFormat="1" applyFont="1" applyFill="1" applyBorder="1" applyAlignment="1">
      <alignment horizontal="left"/>
    </xf>
    <xf numFmtId="0" fontId="2" fillId="0" borderId="21" xfId="0" applyFont="1" applyBorder="1" applyAlignment="1">
      <alignment horizontal="center"/>
    </xf>
    <xf numFmtId="0" fontId="2" fillId="3" borderId="21" xfId="0" applyFont="1" applyFill="1" applyBorder="1" applyAlignment="1">
      <alignment horizontal="center"/>
    </xf>
    <xf numFmtId="4" fontId="2" fillId="3" borderId="0" xfId="0" applyNumberFormat="1" applyFont="1" applyFill="1" applyBorder="1" applyAlignment="1">
      <alignment horizontal="left" wrapText="1"/>
    </xf>
    <xf numFmtId="0" fontId="20" fillId="11" borderId="62" xfId="0" applyFont="1" applyFill="1" applyBorder="1" applyAlignment="1">
      <alignment horizontal="left" wrapText="1"/>
    </xf>
    <xf numFmtId="0" fontId="0" fillId="0" borderId="0" xfId="0" applyFill="1"/>
    <xf numFmtId="0" fontId="3" fillId="0" borderId="21" xfId="0" applyFont="1" applyBorder="1" applyAlignment="1">
      <alignment horizontal="center"/>
    </xf>
    <xf numFmtId="0" fontId="5" fillId="3" borderId="0" xfId="0" applyFont="1" applyFill="1" applyBorder="1" applyAlignment="1">
      <alignment horizontal="right" wrapText="1"/>
    </xf>
    <xf numFmtId="0" fontId="0" fillId="0" borderId="0" xfId="0" applyAlignment="1">
      <alignment horizontal="right"/>
    </xf>
    <xf numFmtId="4" fontId="0" fillId="0" borderId="0" xfId="0" applyNumberFormat="1"/>
    <xf numFmtId="4" fontId="0" fillId="0" borderId="0" xfId="0" applyNumberFormat="1" applyAlignment="1">
      <alignment horizontal="center"/>
    </xf>
    <xf numFmtId="4" fontId="0" fillId="0" borderId="21" xfId="0" applyNumberFormat="1" applyBorder="1" applyAlignment="1">
      <alignment horizontal="center"/>
    </xf>
    <xf numFmtId="0" fontId="5" fillId="3" borderId="0" xfId="0" applyFont="1" applyFill="1" applyBorder="1" applyAlignment="1">
      <alignment horizontal="right"/>
    </xf>
    <xf numFmtId="0" fontId="2" fillId="12" borderId="0" xfId="0" applyFont="1" applyFill="1" applyBorder="1" applyAlignment="1">
      <alignment wrapText="1"/>
    </xf>
    <xf numFmtId="4" fontId="2" fillId="12" borderId="0" xfId="0" applyNumberFormat="1" applyFont="1" applyFill="1" applyBorder="1" applyAlignment="1">
      <alignment horizontal="center"/>
    </xf>
    <xf numFmtId="0" fontId="2" fillId="5" borderId="0" xfId="0" applyFont="1" applyFill="1" applyBorder="1" applyAlignment="1">
      <alignment vertical="center" wrapText="1"/>
    </xf>
    <xf numFmtId="4" fontId="2" fillId="5" borderId="0" xfId="0" applyNumberFormat="1" applyFont="1" applyFill="1" applyBorder="1" applyAlignment="1">
      <alignment horizontal="center" vertical="center"/>
    </xf>
    <xf numFmtId="0" fontId="0" fillId="5" borderId="0" xfId="0" applyFill="1"/>
    <xf numFmtId="4" fontId="2" fillId="5" borderId="0" xfId="0" applyNumberFormat="1" applyFont="1" applyFill="1" applyBorder="1" applyAlignment="1">
      <alignment horizontal="center"/>
    </xf>
    <xf numFmtId="0" fontId="2" fillId="5" borderId="0" xfId="0" applyFont="1" applyFill="1" applyBorder="1" applyAlignment="1">
      <alignment vertical="center"/>
    </xf>
    <xf numFmtId="0" fontId="0" fillId="12" borderId="0" xfId="0" applyFill="1"/>
    <xf numFmtId="0" fontId="0" fillId="4" borderId="0" xfId="0" applyFill="1"/>
    <xf numFmtId="4" fontId="2" fillId="4" borderId="0" xfId="0" applyNumberFormat="1" applyFont="1" applyFill="1" applyBorder="1" applyAlignment="1">
      <alignment horizontal="left"/>
    </xf>
    <xf numFmtId="4" fontId="2" fillId="4" borderId="0" xfId="0" applyNumberFormat="1" applyFont="1" applyFill="1" applyBorder="1" applyAlignment="1">
      <alignment horizontal="center"/>
    </xf>
    <xf numFmtId="4" fontId="0" fillId="4" borderId="21" xfId="0" applyNumberFormat="1" applyFill="1" applyBorder="1" applyAlignment="1">
      <alignment horizontal="center"/>
    </xf>
    <xf numFmtId="4" fontId="2" fillId="0" borderId="0" xfId="0" applyNumberFormat="1" applyFont="1" applyFill="1" applyBorder="1" applyAlignment="1">
      <alignment horizontal="left" wrapText="1"/>
    </xf>
    <xf numFmtId="4" fontId="2" fillId="0" borderId="0" xfId="0" applyNumberFormat="1" applyFont="1" applyFill="1" applyBorder="1" applyAlignment="1">
      <alignment horizontal="left"/>
    </xf>
    <xf numFmtId="4" fontId="2" fillId="0" borderId="21" xfId="0" applyNumberFormat="1" applyFont="1" applyBorder="1" applyAlignment="1">
      <alignment horizontal="center"/>
    </xf>
    <xf numFmtId="4" fontId="2" fillId="0" borderId="0" xfId="0" applyNumberFormat="1" applyFont="1" applyBorder="1" applyAlignment="1">
      <alignment horizontal="center"/>
    </xf>
    <xf numFmtId="4" fontId="2" fillId="12" borderId="0" xfId="0" applyNumberFormat="1" applyFont="1" applyFill="1" applyBorder="1" applyAlignment="1">
      <alignment horizontal="left"/>
    </xf>
    <xf numFmtId="4" fontId="2" fillId="12" borderId="0" xfId="0" applyNumberFormat="1" applyFont="1" applyFill="1" applyBorder="1" applyAlignment="1">
      <alignment horizontal="left" wrapText="1"/>
    </xf>
    <xf numFmtId="4" fontId="2" fillId="4" borderId="21" xfId="0" applyNumberFormat="1" applyFont="1" applyFill="1" applyBorder="1" applyAlignment="1">
      <alignment horizontal="center"/>
    </xf>
    <xf numFmtId="0" fontId="13" fillId="0" borderId="0" xfId="0" applyFont="1" applyAlignment="1">
      <alignment horizontal="center" wrapText="1"/>
    </xf>
    <xf numFmtId="43" fontId="0" fillId="0" borderId="0" xfId="0" applyNumberFormat="1"/>
    <xf numFmtId="0" fontId="0" fillId="0" borderId="4" xfId="0" applyBorder="1" applyAlignment="1">
      <alignment horizontal="center"/>
    </xf>
    <xf numFmtId="3" fontId="0" fillId="0" borderId="4" xfId="0" applyNumberFormat="1" applyBorder="1" applyAlignment="1">
      <alignment horizontal="center"/>
    </xf>
    <xf numFmtId="0" fontId="2" fillId="5" borderId="0" xfId="0" applyFont="1" applyFill="1" applyBorder="1"/>
    <xf numFmtId="4" fontId="2" fillId="13" borderId="0" xfId="0" applyNumberFormat="1" applyFont="1" applyFill="1" applyBorder="1" applyAlignment="1">
      <alignment horizontal="center" vertical="center"/>
    </xf>
    <xf numFmtId="4" fontId="2" fillId="13" borderId="0" xfId="0" applyNumberFormat="1" applyFont="1" applyFill="1" applyBorder="1" applyAlignment="1">
      <alignment horizontal="center"/>
    </xf>
    <xf numFmtId="0" fontId="2" fillId="0" borderId="21" xfId="0" applyFont="1" applyFill="1" applyBorder="1" applyAlignment="1">
      <alignment horizontal="center"/>
    </xf>
    <xf numFmtId="2" fontId="2" fillId="0" borderId="21" xfId="0" applyNumberFormat="1" applyFont="1" applyFill="1" applyBorder="1" applyAlignment="1">
      <alignment horizontal="center"/>
    </xf>
    <xf numFmtId="0" fontId="14" fillId="0" borderId="4" xfId="0" applyFont="1" applyBorder="1" applyAlignment="1">
      <alignment horizontal="center"/>
    </xf>
    <xf numFmtId="3" fontId="14" fillId="0" borderId="4" xfId="0" applyNumberFormat="1" applyFont="1" applyBorder="1" applyAlignment="1">
      <alignment horizontal="center"/>
    </xf>
    <xf numFmtId="4" fontId="14" fillId="0" borderId="4" xfId="0" applyNumberFormat="1" applyFont="1" applyBorder="1" applyAlignment="1">
      <alignment horizontal="center"/>
    </xf>
    <xf numFmtId="0" fontId="2" fillId="0" borderId="4" xfId="0" applyFont="1" applyFill="1" applyBorder="1" applyAlignment="1">
      <alignment wrapText="1"/>
    </xf>
    <xf numFmtId="0" fontId="2" fillId="0" borderId="4" xfId="0" applyFont="1" applyFill="1" applyBorder="1" applyAlignment="1">
      <alignment horizont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169" fontId="2" fillId="4" borderId="4" xfId="0" applyNumberFormat="1" applyFont="1" applyFill="1" applyBorder="1" applyAlignment="1">
      <alignment vertical="center"/>
    </xf>
    <xf numFmtId="0" fontId="2" fillId="4" borderId="4" xfId="0" applyFont="1" applyFill="1" applyBorder="1" applyAlignment="1">
      <alignment wrapText="1"/>
    </xf>
    <xf numFmtId="0" fontId="2" fillId="4" borderId="4" xfId="0" applyFont="1" applyFill="1" applyBorder="1" applyAlignment="1">
      <alignment horizontal="center" wrapText="1"/>
    </xf>
    <xf numFmtId="169" fontId="2" fillId="0" borderId="0" xfId="0" applyNumberFormat="1" applyFont="1" applyFill="1" applyBorder="1" applyAlignment="1">
      <alignment vertical="center"/>
    </xf>
    <xf numFmtId="0" fontId="2" fillId="4" borderId="4" xfId="0" applyFont="1" applyFill="1" applyBorder="1" applyAlignment="1">
      <alignment vertical="center" wrapText="1"/>
    </xf>
    <xf numFmtId="0" fontId="25" fillId="14" borderId="0" xfId="0" applyFont="1" applyFill="1" applyBorder="1" applyAlignment="1">
      <alignment horizontal="left" wrapText="1"/>
    </xf>
    <xf numFmtId="169" fontId="2" fillId="0" borderId="0" xfId="0" applyNumberFormat="1" applyFont="1" applyBorder="1" applyAlignment="1">
      <alignment vertical="center"/>
    </xf>
    <xf numFmtId="169" fontId="2" fillId="0" borderId="0" xfId="0" applyNumberFormat="1" applyFont="1" applyBorder="1" applyAlignment="1">
      <alignment horizontal="center"/>
    </xf>
    <xf numFmtId="4" fontId="2" fillId="0" borderId="0" xfId="0" applyNumberFormat="1" applyFont="1" applyBorder="1"/>
    <xf numFmtId="0" fontId="2" fillId="4" borderId="4" xfId="0" applyFont="1" applyFill="1" applyBorder="1" applyAlignment="1">
      <alignment vertical="center"/>
    </xf>
    <xf numFmtId="0" fontId="26" fillId="9" borderId="61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169" fontId="2" fillId="0" borderId="0" xfId="0" applyNumberFormat="1" applyFont="1" applyBorder="1"/>
    <xf numFmtId="4" fontId="2" fillId="0" borderId="0" xfId="0" applyNumberFormat="1" applyFont="1"/>
    <xf numFmtId="0" fontId="2" fillId="0" borderId="4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169" fontId="2" fillId="4" borderId="4" xfId="0" applyNumberFormat="1" applyFont="1" applyFill="1" applyBorder="1"/>
    <xf numFmtId="0" fontId="2" fillId="0" borderId="0" xfId="0" applyFont="1" applyAlignment="1">
      <alignment vertical="center"/>
    </xf>
    <xf numFmtId="0" fontId="2" fillId="0" borderId="0" xfId="0" applyFont="1" applyFill="1" applyAlignment="1">
      <alignment horizontal="center"/>
    </xf>
    <xf numFmtId="0" fontId="26" fillId="9" borderId="61" xfId="0" applyFont="1" applyFill="1" applyBorder="1" applyAlignment="1">
      <alignment horizontal="left" vertical="center"/>
    </xf>
    <xf numFmtId="0" fontId="2" fillId="3" borderId="4" xfId="0" applyFont="1" applyFill="1" applyBorder="1" applyAlignment="1">
      <alignment horizontal="center" wrapText="1"/>
    </xf>
    <xf numFmtId="169" fontId="5" fillId="0" borderId="0" xfId="30" applyNumberFormat="1" applyFont="1" applyFill="1" applyBorder="1" applyAlignment="1" applyProtection="1"/>
    <xf numFmtId="169" fontId="2" fillId="0" borderId="0" xfId="0" applyNumberFormat="1" applyFont="1"/>
    <xf numFmtId="9" fontId="1" fillId="0" borderId="0" xfId="8"/>
    <xf numFmtId="0" fontId="2" fillId="0" borderId="4" xfId="0" applyFont="1" applyFill="1" applyBorder="1" applyAlignment="1">
      <alignment horizontal="left" vertical="center" wrapText="1"/>
    </xf>
    <xf numFmtId="0" fontId="2" fillId="15" borderId="0" xfId="0" applyFont="1" applyFill="1" applyBorder="1" applyAlignment="1">
      <alignment horizontal="center" vertical="center" wrapText="1"/>
    </xf>
    <xf numFmtId="0" fontId="2" fillId="15" borderId="0" xfId="0" applyFont="1" applyFill="1" applyBorder="1"/>
    <xf numFmtId="0" fontId="2" fillId="15" borderId="0" xfId="0" applyFont="1" applyFill="1" applyBorder="1" applyAlignment="1">
      <alignment horizontal="center"/>
    </xf>
    <xf numFmtId="169" fontId="2" fillId="15" borderId="0" xfId="0" applyNumberFormat="1" applyFont="1" applyFill="1" applyBorder="1" applyAlignment="1">
      <alignment vertical="center"/>
    </xf>
    <xf numFmtId="169" fontId="2" fillId="15" borderId="0" xfId="0" applyNumberFormat="1" applyFont="1" applyFill="1" applyBorder="1" applyAlignment="1">
      <alignment horizontal="center"/>
    </xf>
    <xf numFmtId="169" fontId="2" fillId="15" borderId="0" xfId="0" applyNumberFormat="1" applyFont="1" applyFill="1" applyBorder="1"/>
    <xf numFmtId="2" fontId="0" fillId="0" borderId="0" xfId="0" applyNumberFormat="1"/>
    <xf numFmtId="169" fontId="2" fillId="0" borderId="0" xfId="0" applyNumberFormat="1" applyFont="1" applyAlignment="1">
      <alignment horizontal="center"/>
    </xf>
    <xf numFmtId="3" fontId="0" fillId="0" borderId="0" xfId="0" applyNumberFormat="1"/>
    <xf numFmtId="9" fontId="2" fillId="0" borderId="0" xfId="0" applyNumberFormat="1" applyFont="1" applyFill="1" applyBorder="1" applyAlignment="1">
      <alignment horizontal="center" vertical="center"/>
    </xf>
    <xf numFmtId="169" fontId="2" fillId="0" borderId="0" xfId="0" applyNumberFormat="1" applyFont="1" applyFill="1" applyBorder="1"/>
    <xf numFmtId="169" fontId="2" fillId="0" borderId="20" xfId="0" applyNumberFormat="1" applyFont="1" applyFill="1" applyBorder="1"/>
    <xf numFmtId="0" fontId="24" fillId="3" borderId="0" xfId="0" applyFont="1" applyFill="1"/>
    <xf numFmtId="43" fontId="2" fillId="3" borderId="0" xfId="0" applyNumberFormat="1" applyFont="1" applyFill="1" applyAlignment="1">
      <alignment wrapText="1"/>
    </xf>
    <xf numFmtId="175" fontId="7" fillId="3" borderId="0" xfId="30" applyFill="1" applyBorder="1" applyAlignment="1">
      <alignment horizontal="center"/>
    </xf>
    <xf numFmtId="215" fontId="7" fillId="3" borderId="0" xfId="30" applyNumberFormat="1" applyFill="1" applyBorder="1" applyAlignment="1">
      <alignment horizontal="center"/>
    </xf>
    <xf numFmtId="9" fontId="3" fillId="3" borderId="0" xfId="8" applyFont="1" applyFill="1" applyBorder="1"/>
    <xf numFmtId="0" fontId="2" fillId="5" borderId="22" xfId="0" applyFont="1" applyFill="1" applyBorder="1" applyAlignment="1">
      <alignment horizontal="center" vertical="center"/>
    </xf>
    <xf numFmtId="0" fontId="2" fillId="5" borderId="16" xfId="0" applyFont="1" applyFill="1" applyBorder="1" applyAlignment="1">
      <alignment horizontal="center" vertical="center"/>
    </xf>
    <xf numFmtId="169" fontId="2" fillId="3" borderId="3" xfId="0" applyNumberFormat="1" applyFont="1" applyFill="1" applyBorder="1"/>
    <xf numFmtId="175" fontId="2" fillId="0" borderId="3" xfId="0" applyNumberFormat="1" applyFont="1" applyBorder="1"/>
    <xf numFmtId="0" fontId="5" fillId="3" borderId="23" xfId="0" applyFont="1" applyFill="1" applyBorder="1"/>
    <xf numFmtId="0" fontId="2" fillId="0" borderId="0" xfId="0" applyFont="1" applyFill="1" applyBorder="1" applyAlignment="1">
      <alignment horizontal="center" vertical="center"/>
    </xf>
    <xf numFmtId="0" fontId="21" fillId="3" borderId="0" xfId="0" applyFont="1" applyFill="1" applyBorder="1" applyAlignment="1">
      <alignment horizontal="left" vertical="center"/>
    </xf>
    <xf numFmtId="10" fontId="2" fillId="3" borderId="0" xfId="0" applyNumberFormat="1" applyFont="1" applyFill="1" applyBorder="1" applyAlignment="1">
      <alignment horizontal="right" vertical="center"/>
    </xf>
    <xf numFmtId="10" fontId="22" fillId="3" borderId="0" xfId="0" applyNumberFormat="1" applyFont="1" applyFill="1" applyBorder="1" applyAlignment="1">
      <alignment horizontal="right" vertical="center"/>
    </xf>
    <xf numFmtId="10" fontId="21" fillId="3" borderId="0" xfId="0" applyNumberFormat="1" applyFont="1" applyFill="1" applyBorder="1" applyAlignment="1">
      <alignment horizontal="right" vertical="center"/>
    </xf>
    <xf numFmtId="0" fontId="21" fillId="0" borderId="24" xfId="0" applyFont="1" applyBorder="1" applyAlignment="1">
      <alignment horizontal="left" vertical="center"/>
    </xf>
    <xf numFmtId="0" fontId="21" fillId="0" borderId="22" xfId="0" applyFont="1" applyBorder="1" applyAlignment="1">
      <alignment horizontal="left" vertical="center"/>
    </xf>
    <xf numFmtId="0" fontId="21" fillId="0" borderId="25" xfId="0" applyFont="1" applyBorder="1" applyAlignment="1">
      <alignment horizontal="left" vertical="center"/>
    </xf>
    <xf numFmtId="175" fontId="7" fillId="0" borderId="0" xfId="30" applyFill="1" applyBorder="1" applyAlignment="1">
      <alignment horizontal="center"/>
    </xf>
    <xf numFmtId="215" fontId="7" fillId="0" borderId="0" xfId="30" applyNumberFormat="1" applyFill="1" applyBorder="1" applyAlignment="1">
      <alignment horizontal="center"/>
    </xf>
    <xf numFmtId="175" fontId="2" fillId="0" borderId="0" xfId="0" applyNumberFormat="1" applyFont="1" applyFill="1" applyBorder="1"/>
    <xf numFmtId="43" fontId="2" fillId="0" borderId="0" xfId="0" applyNumberFormat="1" applyFont="1" applyFill="1" applyBorder="1"/>
    <xf numFmtId="175" fontId="27" fillId="0" borderId="0" xfId="30" applyFont="1" applyFill="1" applyBorder="1" applyAlignment="1">
      <alignment horizontal="left"/>
    </xf>
    <xf numFmtId="2" fontId="28" fillId="3" borderId="4" xfId="0" applyNumberFormat="1" applyFont="1" applyFill="1" applyBorder="1" applyAlignment="1">
      <alignment horizontal="center" vertical="center"/>
    </xf>
    <xf numFmtId="0" fontId="28" fillId="3" borderId="26" xfId="0" applyFont="1" applyFill="1" applyBorder="1"/>
    <xf numFmtId="0" fontId="2" fillId="3" borderId="3" xfId="0" applyFont="1" applyFill="1" applyBorder="1" applyAlignment="1">
      <alignment horizontal="center"/>
    </xf>
    <xf numFmtId="175" fontId="28" fillId="0" borderId="0" xfId="30" applyFont="1" applyFill="1" applyBorder="1" applyAlignment="1" applyProtection="1"/>
    <xf numFmtId="169" fontId="5" fillId="10" borderId="3" xfId="30" applyNumberFormat="1" applyFont="1" applyFill="1" applyBorder="1" applyAlignment="1" applyProtection="1"/>
    <xf numFmtId="2" fontId="2" fillId="3" borderId="18" xfId="0" applyNumberFormat="1" applyFont="1" applyFill="1" applyBorder="1" applyAlignment="1">
      <alignment horizontal="center"/>
    </xf>
    <xf numFmtId="0" fontId="2" fillId="10" borderId="27" xfId="0" applyFont="1" applyFill="1" applyBorder="1" applyAlignment="1">
      <alignment horizontal="center"/>
    </xf>
    <xf numFmtId="0" fontId="2" fillId="10" borderId="28" xfId="0" applyFont="1" applyFill="1" applyBorder="1" applyAlignment="1">
      <alignment horizontal="justify" vertical="distributed"/>
    </xf>
    <xf numFmtId="0" fontId="2" fillId="10" borderId="0" xfId="0" applyFont="1" applyFill="1" applyBorder="1" applyAlignment="1">
      <alignment horizontal="center"/>
    </xf>
    <xf numFmtId="2" fontId="2" fillId="10" borderId="12" xfId="0" applyNumberFormat="1" applyFont="1" applyFill="1" applyBorder="1" applyAlignment="1">
      <alignment horizontal="center"/>
    </xf>
    <xf numFmtId="175" fontId="2" fillId="10" borderId="29" xfId="31" applyFont="1" applyFill="1" applyBorder="1" applyAlignment="1" applyProtection="1"/>
    <xf numFmtId="0" fontId="2" fillId="10" borderId="28" xfId="0" applyFont="1" applyFill="1" applyBorder="1"/>
    <xf numFmtId="2" fontId="2" fillId="10" borderId="30" xfId="0" applyNumberFormat="1" applyFont="1" applyFill="1" applyBorder="1" applyAlignment="1">
      <alignment horizontal="center"/>
    </xf>
    <xf numFmtId="0" fontId="2" fillId="10" borderId="31" xfId="0" applyFont="1" applyFill="1" applyBorder="1" applyAlignment="1">
      <alignment horizontal="center"/>
    </xf>
    <xf numFmtId="0" fontId="2" fillId="10" borderId="32" xfId="0" applyFont="1" applyFill="1" applyBorder="1"/>
    <xf numFmtId="0" fontId="2" fillId="10" borderId="33" xfId="0" applyFont="1" applyFill="1" applyBorder="1" applyAlignment="1">
      <alignment horizontal="center"/>
    </xf>
    <xf numFmtId="2" fontId="2" fillId="10" borderId="34" xfId="0" applyNumberFormat="1" applyFont="1" applyFill="1" applyBorder="1" applyAlignment="1">
      <alignment horizontal="center"/>
    </xf>
    <xf numFmtId="175" fontId="2" fillId="10" borderId="35" xfId="31" applyFont="1" applyFill="1" applyBorder="1" applyAlignment="1" applyProtection="1"/>
    <xf numFmtId="0" fontId="4" fillId="12" borderId="36" xfId="0" applyFont="1" applyFill="1" applyBorder="1"/>
    <xf numFmtId="0" fontId="4" fillId="12" borderId="37" xfId="0" applyFont="1" applyFill="1" applyBorder="1" applyAlignment="1">
      <alignment horizontal="center"/>
    </xf>
    <xf numFmtId="0" fontId="4" fillId="12" borderId="37" xfId="0" applyFont="1" applyFill="1" applyBorder="1"/>
    <xf numFmtId="169" fontId="4" fillId="12" borderId="38" xfId="0" applyNumberFormat="1" applyFont="1" applyFill="1" applyBorder="1"/>
    <xf numFmtId="0" fontId="4" fillId="12" borderId="39" xfId="0" applyFont="1" applyFill="1" applyBorder="1"/>
    <xf numFmtId="0" fontId="4" fillId="12" borderId="0" xfId="0" applyFont="1" applyFill="1" applyBorder="1" applyAlignment="1">
      <alignment horizontal="center"/>
    </xf>
    <xf numFmtId="0" fontId="4" fillId="12" borderId="0" xfId="0" applyFont="1" applyFill="1" applyBorder="1"/>
    <xf numFmtId="0" fontId="29" fillId="16" borderId="40" xfId="0" applyFont="1" applyFill="1" applyBorder="1"/>
    <xf numFmtId="0" fontId="29" fillId="16" borderId="33" xfId="0" applyFont="1" applyFill="1" applyBorder="1" applyAlignment="1">
      <alignment horizontal="center"/>
    </xf>
    <xf numFmtId="0" fontId="29" fillId="16" borderId="33" xfId="0" applyFont="1" applyFill="1" applyBorder="1"/>
    <xf numFmtId="169" fontId="29" fillId="16" borderId="35" xfId="0" applyNumberFormat="1" applyFont="1" applyFill="1" applyBorder="1"/>
    <xf numFmtId="0" fontId="11" fillId="3" borderId="7" xfId="0" applyFont="1" applyFill="1" applyBorder="1" applyAlignment="1">
      <alignment horizontal="center" vertical="center"/>
    </xf>
    <xf numFmtId="0" fontId="5" fillId="10" borderId="21" xfId="0" applyFont="1" applyFill="1" applyBorder="1" applyAlignment="1">
      <alignment horizontal="center"/>
    </xf>
    <xf numFmtId="0" fontId="11" fillId="3" borderId="7" xfId="0" applyFont="1" applyFill="1" applyBorder="1" applyAlignment="1">
      <alignment horizontal="center"/>
    </xf>
    <xf numFmtId="0" fontId="11" fillId="17" borderId="7" xfId="0" applyFont="1" applyFill="1" applyBorder="1" applyAlignment="1">
      <alignment horizontal="center" vertical="center" wrapText="1"/>
    </xf>
    <xf numFmtId="0" fontId="5" fillId="10" borderId="4" xfId="0" applyFont="1" applyFill="1" applyBorder="1" applyAlignment="1">
      <alignment horizontal="center" wrapText="1"/>
    </xf>
    <xf numFmtId="0" fontId="5" fillId="17" borderId="4" xfId="0" applyFont="1" applyFill="1" applyBorder="1" applyAlignment="1">
      <alignment horizontal="center"/>
    </xf>
    <xf numFmtId="0" fontId="5" fillId="0" borderId="4" xfId="0" applyFont="1" applyFill="1" applyBorder="1" applyAlignment="1">
      <alignment vertical="center"/>
    </xf>
    <xf numFmtId="0" fontId="5" fillId="3" borderId="14" xfId="0" applyFont="1" applyFill="1" applyBorder="1" applyAlignment="1">
      <alignment horizontal="center"/>
    </xf>
    <xf numFmtId="2" fontId="2" fillId="3" borderId="7" xfId="0" applyNumberFormat="1" applyFont="1" applyFill="1" applyBorder="1" applyAlignment="1">
      <alignment horizontal="center"/>
    </xf>
    <xf numFmtId="0" fontId="2" fillId="17" borderId="4" xfId="0" applyFont="1" applyFill="1" applyBorder="1" applyAlignment="1">
      <alignment horizontal="center" vertical="center"/>
    </xf>
    <xf numFmtId="0" fontId="2" fillId="18" borderId="4" xfId="0" applyFont="1" applyFill="1" applyBorder="1" applyAlignment="1">
      <alignment horizontal="center" vertical="center" wrapText="1"/>
    </xf>
    <xf numFmtId="0" fontId="2" fillId="18" borderId="4" xfId="0" applyFont="1" applyFill="1" applyBorder="1" applyAlignment="1">
      <alignment horizontal="center" vertical="center"/>
    </xf>
    <xf numFmtId="3" fontId="2" fillId="0" borderId="0" xfId="0" applyNumberFormat="1" applyFont="1"/>
    <xf numFmtId="0" fontId="2" fillId="0" borderId="17" xfId="0" applyFont="1" applyBorder="1" applyAlignment="1">
      <alignment horizontal="center" vertical="center"/>
    </xf>
    <xf numFmtId="175" fontId="2" fillId="3" borderId="4" xfId="30" applyFont="1" applyFill="1" applyBorder="1" applyAlignment="1" applyProtection="1">
      <alignment horizontal="center" vertical="center"/>
    </xf>
    <xf numFmtId="0" fontId="5" fillId="6" borderId="23" xfId="0" applyFont="1" applyFill="1" applyBorder="1" applyAlignment="1">
      <alignment horizontal="center" vertical="center" wrapText="1"/>
    </xf>
    <xf numFmtId="0" fontId="5" fillId="19" borderId="4" xfId="0" applyFont="1" applyFill="1" applyBorder="1" applyAlignment="1">
      <alignment horizontal="center"/>
    </xf>
    <xf numFmtId="0" fontId="5" fillId="19" borderId="4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/>
    <xf numFmtId="2" fontId="2" fillId="3" borderId="18" xfId="0" applyNumberFormat="1" applyFont="1" applyFill="1" applyBorder="1" applyAlignment="1">
      <alignment horizontal="center" vertical="center"/>
    </xf>
    <xf numFmtId="175" fontId="2" fillId="3" borderId="4" xfId="30" applyFont="1" applyFill="1" applyBorder="1" applyAlignment="1" applyProtection="1">
      <alignment vertical="center"/>
    </xf>
    <xf numFmtId="218" fontId="2" fillId="3" borderId="4" xfId="0" applyNumberFormat="1" applyFont="1" applyFill="1" applyBorder="1" applyAlignment="1">
      <alignment horizontal="center" vertical="center" wrapText="1"/>
    </xf>
    <xf numFmtId="218" fontId="2" fillId="3" borderId="4" xfId="0" applyNumberFormat="1" applyFont="1" applyFill="1" applyBorder="1" applyAlignment="1">
      <alignment horizontal="center" vertical="center"/>
    </xf>
    <xf numFmtId="2" fontId="2" fillId="3" borderId="4" xfId="0" applyNumberFormat="1" applyFont="1" applyFill="1" applyBorder="1" applyAlignment="1">
      <alignment horizontal="center"/>
    </xf>
    <xf numFmtId="0" fontId="2" fillId="6" borderId="22" xfId="0" applyFont="1" applyFill="1" applyBorder="1"/>
    <xf numFmtId="169" fontId="2" fillId="3" borderId="0" xfId="0" applyNumberFormat="1" applyFont="1" applyFill="1"/>
    <xf numFmtId="9" fontId="2" fillId="5" borderId="4" xfId="0" applyNumberFormat="1" applyFont="1" applyFill="1" applyBorder="1" applyAlignment="1">
      <alignment horizontal="center" vertical="center"/>
    </xf>
    <xf numFmtId="0" fontId="2" fillId="5" borderId="23" xfId="0" applyFont="1" applyFill="1" applyBorder="1" applyAlignment="1">
      <alignment horizontal="center" vertical="center"/>
    </xf>
    <xf numFmtId="175" fontId="2" fillId="5" borderId="4" xfId="30" applyFont="1" applyFill="1" applyBorder="1" applyAlignment="1" applyProtection="1">
      <alignment vertical="center"/>
    </xf>
    <xf numFmtId="9" fontId="2" fillId="6" borderId="7" xfId="0" applyNumberFormat="1" applyFont="1" applyFill="1" applyBorder="1" applyAlignment="1">
      <alignment horizontal="center" vertical="center"/>
    </xf>
    <xf numFmtId="0" fontId="2" fillId="6" borderId="17" xfId="0" applyFont="1" applyFill="1" applyBorder="1" applyAlignment="1">
      <alignment horizontal="center" vertical="center"/>
    </xf>
    <xf numFmtId="175" fontId="2" fillId="6" borderId="4" xfId="30" applyFont="1" applyFill="1" applyBorder="1" applyAlignment="1" applyProtection="1">
      <alignment vertical="center"/>
    </xf>
    <xf numFmtId="9" fontId="2" fillId="6" borderId="4" xfId="0" applyNumberFormat="1" applyFont="1" applyFill="1" applyBorder="1" applyAlignment="1">
      <alignment horizontal="center" vertical="center"/>
    </xf>
    <xf numFmtId="0" fontId="2" fillId="6" borderId="23" xfId="0" applyFont="1" applyFill="1" applyBorder="1" applyAlignment="1">
      <alignment horizontal="center" vertical="center"/>
    </xf>
    <xf numFmtId="4" fontId="2" fillId="0" borderId="20" xfId="0" applyNumberFormat="1" applyFont="1" applyFill="1" applyBorder="1" applyAlignment="1">
      <alignment horizontal="center"/>
    </xf>
    <xf numFmtId="0" fontId="3" fillId="0" borderId="0" xfId="5" applyFont="1" applyFill="1"/>
    <xf numFmtId="0" fontId="2" fillId="0" borderId="0" xfId="5" applyFont="1" applyFill="1"/>
    <xf numFmtId="0" fontId="3" fillId="0" borderId="0" xfId="5" applyFont="1" applyFill="1" applyBorder="1"/>
    <xf numFmtId="0" fontId="2" fillId="0" borderId="0" xfId="5" applyFont="1" applyFill="1" applyBorder="1"/>
    <xf numFmtId="175" fontId="2" fillId="0" borderId="0" xfId="5" applyNumberFormat="1" applyFont="1" applyFill="1"/>
    <xf numFmtId="0" fontId="16" fillId="0" borderId="0" xfId="5" applyFont="1" applyFill="1"/>
    <xf numFmtId="176" fontId="17" fillId="0" borderId="0" xfId="31" applyNumberFormat="1" applyFont="1" applyFill="1" applyBorder="1" applyAlignment="1" applyProtection="1">
      <alignment horizontal="right"/>
    </xf>
    <xf numFmtId="175" fontId="15" fillId="0" borderId="0" xfId="5" applyNumberFormat="1" applyFont="1" applyFill="1"/>
    <xf numFmtId="4" fontId="3" fillId="0" borderId="0" xfId="5" applyNumberFormat="1" applyFont="1" applyFill="1" applyBorder="1"/>
    <xf numFmtId="10" fontId="2" fillId="0" borderId="13" xfId="0" applyNumberFormat="1" applyFont="1" applyFill="1" applyBorder="1" applyAlignment="1">
      <alignment horizontal="center" vertical="center"/>
    </xf>
    <xf numFmtId="10" fontId="22" fillId="0" borderId="13" xfId="0" applyNumberFormat="1" applyFont="1" applyBorder="1" applyAlignment="1">
      <alignment horizontal="center" vertical="center"/>
    </xf>
    <xf numFmtId="10" fontId="22" fillId="6" borderId="13" xfId="0" applyNumberFormat="1" applyFont="1" applyFill="1" applyBorder="1" applyAlignment="1">
      <alignment horizontal="center" vertical="center"/>
    </xf>
    <xf numFmtId="10" fontId="21" fillId="0" borderId="13" xfId="0" applyNumberFormat="1" applyFont="1" applyBorder="1" applyAlignment="1">
      <alignment horizontal="center" vertical="center"/>
    </xf>
    <xf numFmtId="10" fontId="21" fillId="0" borderId="13" xfId="0" applyNumberFormat="1" applyFont="1" applyFill="1" applyBorder="1" applyAlignment="1">
      <alignment horizontal="center" vertical="center"/>
    </xf>
    <xf numFmtId="10" fontId="22" fillId="8" borderId="41" xfId="0" applyNumberFormat="1" applyFont="1" applyFill="1" applyBorder="1" applyAlignment="1">
      <alignment horizontal="center" vertical="center"/>
    </xf>
    <xf numFmtId="2" fontId="2" fillId="3" borderId="4" xfId="0" applyNumberFormat="1" applyFont="1" applyFill="1" applyBorder="1" applyAlignment="1">
      <alignment horizontal="center" vertical="center"/>
    </xf>
    <xf numFmtId="2" fontId="2" fillId="0" borderId="4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 wrapText="1"/>
    </xf>
    <xf numFmtId="9" fontId="1" fillId="3" borderId="0" xfId="8" applyFill="1" applyBorder="1"/>
    <xf numFmtId="175" fontId="2" fillId="3" borderId="18" xfId="30" applyFont="1" applyFill="1" applyBorder="1" applyAlignment="1" applyProtection="1">
      <alignment horizontal="center"/>
    </xf>
    <xf numFmtId="175" fontId="2" fillId="0" borderId="0" xfId="30" applyFont="1" applyFill="1" applyBorder="1" applyAlignment="1" applyProtection="1">
      <alignment horizontal="center"/>
    </xf>
    <xf numFmtId="175" fontId="28" fillId="0" borderId="0" xfId="30" applyFont="1" applyFill="1" applyBorder="1" applyAlignment="1" applyProtection="1">
      <alignment vertical="center"/>
    </xf>
    <xf numFmtId="175" fontId="7" fillId="0" borderId="0" xfId="30" applyFill="1" applyBorder="1"/>
    <xf numFmtId="175" fontId="28" fillId="0" borderId="0" xfId="30" applyFont="1" applyFill="1" applyBorder="1" applyAlignment="1" applyProtection="1">
      <alignment horizontal="center" vertical="center"/>
    </xf>
    <xf numFmtId="175" fontId="3" fillId="0" borderId="0" xfId="30" applyFont="1" applyFill="1" applyBorder="1"/>
    <xf numFmtId="175" fontId="2" fillId="0" borderId="0" xfId="30" applyFont="1" applyFill="1" applyBorder="1" applyAlignment="1" applyProtection="1">
      <alignment horizontal="center" vertical="center"/>
    </xf>
    <xf numFmtId="3" fontId="2" fillId="3" borderId="0" xfId="0" applyNumberFormat="1" applyFont="1" applyFill="1" applyBorder="1"/>
    <xf numFmtId="0" fontId="2" fillId="6" borderId="24" xfId="0" applyFont="1" applyFill="1" applyBorder="1" applyAlignment="1">
      <alignment horizontal="center"/>
    </xf>
    <xf numFmtId="175" fontId="2" fillId="0" borderId="0" xfId="30" applyFont="1" applyFill="1" applyBorder="1" applyAlignment="1" applyProtection="1">
      <alignment vertical="center"/>
    </xf>
    <xf numFmtId="2" fontId="28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 wrapText="1"/>
    </xf>
    <xf numFmtId="218" fontId="2" fillId="0" borderId="0" xfId="0" applyNumberFormat="1" applyFont="1" applyFill="1" applyBorder="1" applyAlignment="1">
      <alignment horizontal="center" vertical="center" wrapText="1"/>
    </xf>
    <xf numFmtId="218" fontId="2" fillId="0" borderId="0" xfId="0" applyNumberFormat="1" applyFont="1" applyFill="1" applyBorder="1" applyAlignment="1">
      <alignment horizontal="center" vertical="center"/>
    </xf>
    <xf numFmtId="0" fontId="2" fillId="0" borderId="39" xfId="5" applyFont="1" applyFill="1" applyBorder="1"/>
    <xf numFmtId="0" fontId="2" fillId="0" borderId="0" xfId="0" applyFont="1" applyAlignment="1">
      <alignment horizontal="left"/>
    </xf>
    <xf numFmtId="0" fontId="25" fillId="14" borderId="36" xfId="0" applyFont="1" applyFill="1" applyBorder="1" applyAlignment="1">
      <alignment horizontal="center" wrapText="1"/>
    </xf>
    <xf numFmtId="0" fontId="25" fillId="14" borderId="37" xfId="0" applyFont="1" applyFill="1" applyBorder="1" applyAlignment="1">
      <alignment horizontal="center" wrapText="1"/>
    </xf>
    <xf numFmtId="0" fontId="25" fillId="14" borderId="38" xfId="0" applyFont="1" applyFill="1" applyBorder="1" applyAlignment="1">
      <alignment horizontal="center" wrapText="1"/>
    </xf>
    <xf numFmtId="0" fontId="2" fillId="0" borderId="42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15" xfId="0" applyFont="1" applyFill="1" applyBorder="1" applyAlignment="1">
      <alignment horizontal="center"/>
    </xf>
    <xf numFmtId="2" fontId="2" fillId="5" borderId="4" xfId="0" applyNumberFormat="1" applyFont="1" applyFill="1" applyBorder="1" applyAlignment="1">
      <alignment horizontal="center" vertical="center"/>
    </xf>
    <xf numFmtId="2" fontId="2" fillId="6" borderId="4" xfId="0" applyNumberFormat="1" applyFont="1" applyFill="1" applyBorder="1" applyAlignment="1">
      <alignment horizontal="center" vertical="center"/>
    </xf>
    <xf numFmtId="2" fontId="2" fillId="3" borderId="0" xfId="0" applyNumberFormat="1" applyFont="1" applyFill="1" applyBorder="1" applyAlignment="1">
      <alignment horizontal="center" vertical="center"/>
    </xf>
    <xf numFmtId="43" fontId="2" fillId="0" borderId="0" xfId="0" applyNumberFormat="1" applyFont="1" applyAlignment="1">
      <alignment horizontal="left"/>
    </xf>
    <xf numFmtId="215" fontId="27" fillId="0" borderId="0" xfId="30" applyNumberFormat="1" applyFont="1" applyFill="1" applyBorder="1" applyAlignment="1">
      <alignment horizontal="center"/>
    </xf>
    <xf numFmtId="0" fontId="28" fillId="3" borderId="0" xfId="0" applyFont="1" applyFill="1" applyBorder="1"/>
    <xf numFmtId="0" fontId="26" fillId="9" borderId="4" xfId="0" applyFont="1" applyFill="1" applyBorder="1" applyAlignment="1">
      <alignment horizontal="center" vertical="center"/>
    </xf>
    <xf numFmtId="0" fontId="5" fillId="3" borderId="43" xfId="0" applyFont="1" applyFill="1" applyBorder="1"/>
    <xf numFmtId="0" fontId="2" fillId="3" borderId="43" xfId="0" applyFont="1" applyFill="1" applyBorder="1"/>
    <xf numFmtId="169" fontId="2" fillId="3" borderId="43" xfId="0" applyNumberFormat="1" applyFont="1" applyFill="1" applyBorder="1"/>
    <xf numFmtId="169" fontId="5" fillId="3" borderId="43" xfId="30" applyNumberFormat="1" applyFont="1" applyFill="1" applyBorder="1" applyAlignment="1" applyProtection="1"/>
    <xf numFmtId="203" fontId="2" fillId="0" borderId="44" xfId="31" applyNumberFormat="1" applyFont="1" applyFill="1" applyBorder="1" applyAlignment="1" applyProtection="1"/>
    <xf numFmtId="203" fontId="2" fillId="0" borderId="45" xfId="31" applyNumberFormat="1" applyFont="1" applyFill="1" applyBorder="1" applyAlignment="1" applyProtection="1"/>
    <xf numFmtId="0" fontId="26" fillId="9" borderId="12" xfId="0" applyFont="1" applyFill="1" applyBorder="1" applyAlignment="1">
      <alignment horizontal="center" vertical="center" wrapText="1"/>
    </xf>
    <xf numFmtId="0" fontId="5" fillId="0" borderId="36" xfId="0" applyFont="1" applyFill="1" applyBorder="1" applyAlignment="1">
      <alignment horizontal="justify" vertical="center"/>
    </xf>
    <xf numFmtId="169" fontId="5" fillId="7" borderId="38" xfId="0" applyNumberFormat="1" applyFont="1" applyFill="1" applyBorder="1"/>
    <xf numFmtId="0" fontId="2" fillId="0" borderId="39" xfId="0" applyFont="1" applyBorder="1"/>
    <xf numFmtId="169" fontId="2" fillId="0" borderId="29" xfId="0" applyNumberFormat="1" applyFont="1" applyBorder="1"/>
    <xf numFmtId="0" fontId="5" fillId="0" borderId="40" xfId="0" applyFont="1" applyFill="1" applyBorder="1" applyAlignment="1">
      <alignment horizontal="justify" vertical="center"/>
    </xf>
    <xf numFmtId="169" fontId="5" fillId="7" borderId="35" xfId="0" applyNumberFormat="1" applyFont="1" applyFill="1" applyBorder="1"/>
    <xf numFmtId="0" fontId="2" fillId="0" borderId="36" xfId="0" applyFont="1" applyBorder="1" applyAlignment="1">
      <alignment horizontal="left" vertical="center"/>
    </xf>
    <xf numFmtId="0" fontId="2" fillId="0" borderId="38" xfId="0" applyFont="1" applyBorder="1"/>
    <xf numFmtId="0" fontId="5" fillId="0" borderId="40" xfId="0" applyFont="1" applyBorder="1" applyAlignment="1">
      <alignment horizontal="left" vertical="center"/>
    </xf>
    <xf numFmtId="0" fontId="2" fillId="0" borderId="36" xfId="0" applyFont="1" applyBorder="1" applyAlignment="1">
      <alignment horizontal="justify" vertical="center"/>
    </xf>
    <xf numFmtId="0" fontId="5" fillId="0" borderId="40" xfId="0" applyFont="1" applyBorder="1" applyAlignment="1">
      <alignment horizontal="justify" vertical="center"/>
    </xf>
    <xf numFmtId="0" fontId="2" fillId="0" borderId="0" xfId="0" applyFont="1" applyAlignment="1">
      <alignment horizontal="justify" vertical="center"/>
    </xf>
    <xf numFmtId="0" fontId="18" fillId="0" borderId="36" xfId="0" applyFont="1" applyBorder="1" applyAlignment="1">
      <alignment horizontal="justify" vertical="center"/>
    </xf>
    <xf numFmtId="0" fontId="2" fillId="0" borderId="39" xfId="0" applyFont="1" applyBorder="1" applyAlignment="1">
      <alignment horizontal="justify" vertical="center"/>
    </xf>
    <xf numFmtId="0" fontId="2" fillId="0" borderId="29" xfId="0" applyFont="1" applyBorder="1"/>
    <xf numFmtId="0" fontId="5" fillId="0" borderId="0" xfId="0" applyFont="1" applyAlignment="1">
      <alignment horizontal="justify" vertical="center"/>
    </xf>
    <xf numFmtId="0" fontId="5" fillId="0" borderId="36" xfId="0" applyFont="1" applyBorder="1" applyAlignment="1">
      <alignment horizontal="justify" vertical="center"/>
    </xf>
    <xf numFmtId="0" fontId="2" fillId="0" borderId="40" xfId="0" applyFont="1" applyBorder="1" applyAlignment="1">
      <alignment horizontal="justify" vertical="center"/>
    </xf>
    <xf numFmtId="0" fontId="30" fillId="3" borderId="0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/>
    </xf>
    <xf numFmtId="9" fontId="1" fillId="3" borderId="0" xfId="8" applyFill="1" applyBorder="1" applyAlignment="1">
      <alignment horizontal="center"/>
    </xf>
    <xf numFmtId="0" fontId="31" fillId="3" borderId="0" xfId="0" applyFont="1" applyFill="1" applyBorder="1" applyAlignment="1">
      <alignment horizontal="center"/>
    </xf>
    <xf numFmtId="167" fontId="2" fillId="5" borderId="25" xfId="0" applyNumberFormat="1" applyFont="1" applyFill="1" applyBorder="1" applyAlignment="1">
      <alignment horizontal="center"/>
    </xf>
    <xf numFmtId="167" fontId="2" fillId="5" borderId="13" xfId="0" applyNumberFormat="1" applyFont="1" applyFill="1" applyBorder="1" applyAlignment="1">
      <alignment horizontal="center"/>
    </xf>
    <xf numFmtId="167" fontId="2" fillId="5" borderId="46" xfId="0" applyNumberFormat="1" applyFont="1" applyFill="1" applyBorder="1" applyAlignment="1">
      <alignment horizontal="center"/>
    </xf>
    <xf numFmtId="0" fontId="5" fillId="3" borderId="2" xfId="0" applyFont="1" applyFill="1" applyBorder="1"/>
    <xf numFmtId="0" fontId="2" fillId="0" borderId="3" xfId="0" applyFont="1" applyBorder="1"/>
    <xf numFmtId="175" fontId="2" fillId="0" borderId="0" xfId="0" applyNumberFormat="1" applyFont="1" applyBorder="1"/>
    <xf numFmtId="0" fontId="2" fillId="0" borderId="43" xfId="0" applyFont="1" applyBorder="1"/>
    <xf numFmtId="0" fontId="2" fillId="3" borderId="43" xfId="0" applyFont="1" applyFill="1" applyBorder="1" applyAlignment="1">
      <alignment horizontal="center"/>
    </xf>
    <xf numFmtId="175" fontId="2" fillId="3" borderId="43" xfId="0" applyNumberFormat="1" applyFont="1" applyFill="1" applyBorder="1"/>
    <xf numFmtId="0" fontId="2" fillId="0" borderId="18" xfId="0" applyFont="1" applyBorder="1"/>
    <xf numFmtId="175" fontId="2" fillId="3" borderId="18" xfId="30" applyFont="1" applyFill="1" applyBorder="1" applyAlignment="1" applyProtection="1"/>
    <xf numFmtId="0" fontId="5" fillId="0" borderId="20" xfId="0" applyFont="1" applyBorder="1"/>
    <xf numFmtId="0" fontId="26" fillId="9" borderId="19" xfId="0" applyFont="1" applyFill="1" applyBorder="1" applyAlignment="1">
      <alignment horizontal="center" vertical="center"/>
    </xf>
    <xf numFmtId="0" fontId="3" fillId="0" borderId="0" xfId="0" applyFont="1" applyFill="1" applyBorder="1"/>
    <xf numFmtId="0" fontId="26" fillId="0" borderId="0" xfId="0" applyFont="1" applyFill="1" applyBorder="1" applyAlignment="1">
      <alignment horizontal="center" wrapText="1"/>
    </xf>
    <xf numFmtId="0" fontId="26" fillId="0" borderId="0" xfId="0" applyFont="1" applyFill="1" applyBorder="1" applyAlignment="1">
      <alignment vertical="center" wrapText="1"/>
    </xf>
    <xf numFmtId="0" fontId="26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 wrapText="1"/>
    </xf>
    <xf numFmtId="175" fontId="2" fillId="0" borderId="3" xfId="30" applyFont="1" applyFill="1" applyBorder="1" applyAlignment="1" applyProtection="1">
      <alignment vertical="center"/>
    </xf>
    <xf numFmtId="0" fontId="2" fillId="0" borderId="20" xfId="0" applyFont="1" applyFill="1" applyBorder="1" applyAlignment="1">
      <alignment vertical="center" wrapText="1"/>
    </xf>
    <xf numFmtId="0" fontId="2" fillId="0" borderId="20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175" fontId="2" fillId="3" borderId="3" xfId="30" applyFont="1" applyFill="1" applyBorder="1" applyAlignment="1" applyProtection="1">
      <alignment vertical="center"/>
    </xf>
    <xf numFmtId="9" fontId="2" fillId="3" borderId="20" xfId="8" applyFont="1" applyFill="1" applyBorder="1" applyAlignment="1">
      <alignment horizontal="center"/>
    </xf>
    <xf numFmtId="2" fontId="2" fillId="3" borderId="5" xfId="0" applyNumberFormat="1" applyFont="1" applyFill="1" applyBorder="1"/>
    <xf numFmtId="0" fontId="3" fillId="0" borderId="0" xfId="0" applyFont="1" applyFill="1"/>
    <xf numFmtId="0" fontId="2" fillId="0" borderId="2" xfId="0" applyFont="1" applyBorder="1" applyAlignment="1"/>
    <xf numFmtId="0" fontId="2" fillId="3" borderId="0" xfId="0" applyFont="1" applyFill="1" applyBorder="1" applyAlignment="1"/>
    <xf numFmtId="0" fontId="2" fillId="10" borderId="2" xfId="0" applyFont="1" applyFill="1" applyBorder="1" applyAlignment="1"/>
    <xf numFmtId="0" fontId="2" fillId="0" borderId="0" xfId="0" applyFont="1" applyFill="1" applyBorder="1" applyAlignment="1"/>
    <xf numFmtId="0" fontId="2" fillId="3" borderId="3" xfId="0" applyFont="1" applyFill="1" applyBorder="1" applyAlignment="1"/>
    <xf numFmtId="43" fontId="2" fillId="3" borderId="3" xfId="0" applyNumberFormat="1" applyFont="1" applyFill="1" applyBorder="1" applyAlignment="1"/>
    <xf numFmtId="0" fontId="2" fillId="0" borderId="19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175" fontId="7" fillId="0" borderId="0" xfId="30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6" borderId="4" xfId="0" applyFont="1" applyFill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2" fillId="5" borderId="0" xfId="0" applyFont="1" applyFill="1" applyBorder="1" applyAlignment="1">
      <alignment horizontal="center" vertical="center" wrapText="1"/>
    </xf>
    <xf numFmtId="10" fontId="3" fillId="0" borderId="0" xfId="5" applyNumberFormat="1" applyFont="1" applyFill="1" applyAlignment="1">
      <alignment horizontal="left"/>
    </xf>
    <xf numFmtId="0" fontId="26" fillId="9" borderId="6" xfId="0" applyFont="1" applyFill="1" applyBorder="1" applyAlignment="1">
      <alignment horizontal="center" vertical="center"/>
    </xf>
    <xf numFmtId="0" fontId="26" fillId="9" borderId="47" xfId="0" applyFont="1" applyFill="1" applyBorder="1" applyAlignment="1">
      <alignment vertical="center" wrapText="1"/>
    </xf>
    <xf numFmtId="0" fontId="26" fillId="9" borderId="48" xfId="0" applyFont="1" applyFill="1" applyBorder="1" applyAlignment="1">
      <alignment horizontal="left" vertical="center"/>
    </xf>
    <xf numFmtId="0" fontId="23" fillId="6" borderId="4" xfId="0" applyFont="1" applyFill="1" applyBorder="1"/>
    <xf numFmtId="0" fontId="2" fillId="0" borderId="24" xfId="0" applyFont="1" applyFill="1" applyBorder="1" applyAlignment="1">
      <alignment horizontal="center"/>
    </xf>
    <xf numFmtId="0" fontId="2" fillId="0" borderId="22" xfId="0" applyFont="1" applyFill="1" applyBorder="1"/>
    <xf numFmtId="0" fontId="2" fillId="0" borderId="25" xfId="0" applyFont="1" applyFill="1" applyBorder="1" applyAlignment="1">
      <alignment horizontal="center"/>
    </xf>
    <xf numFmtId="0" fontId="2" fillId="0" borderId="13" xfId="0" applyFont="1" applyFill="1" applyBorder="1" applyAlignment="1">
      <alignment horizontal="center"/>
    </xf>
    <xf numFmtId="0" fontId="2" fillId="0" borderId="11" xfId="0" applyFont="1" applyFill="1" applyBorder="1" applyAlignment="1">
      <alignment horizontal="center"/>
    </xf>
    <xf numFmtId="0" fontId="2" fillId="0" borderId="12" xfId="0" applyFont="1" applyFill="1" applyBorder="1"/>
    <xf numFmtId="167" fontId="2" fillId="0" borderId="22" xfId="0" applyNumberFormat="1" applyFont="1" applyFill="1" applyBorder="1" applyAlignment="1">
      <alignment horizontal="center"/>
    </xf>
    <xf numFmtId="167" fontId="2" fillId="0" borderId="4" xfId="0" applyNumberFormat="1" applyFont="1" applyFill="1" applyBorder="1" applyAlignment="1">
      <alignment horizontal="center"/>
    </xf>
    <xf numFmtId="167" fontId="2" fillId="0" borderId="16" xfId="0" applyNumberFormat="1" applyFont="1" applyFill="1" applyBorder="1" applyAlignment="1">
      <alignment horizontal="center"/>
    </xf>
    <xf numFmtId="203" fontId="2" fillId="0" borderId="4" xfId="0" applyNumberFormat="1" applyFont="1" applyFill="1" applyBorder="1" applyAlignment="1">
      <alignment horizontal="center" vertical="center"/>
    </xf>
    <xf numFmtId="203" fontId="2" fillId="0" borderId="4" xfId="0" applyNumberFormat="1" applyFont="1" applyFill="1" applyBorder="1" applyAlignment="1">
      <alignment horizontal="center"/>
    </xf>
    <xf numFmtId="167" fontId="2" fillId="5" borderId="22" xfId="0" applyNumberFormat="1" applyFont="1" applyFill="1" applyBorder="1" applyAlignment="1">
      <alignment horizontal="center"/>
    </xf>
    <xf numFmtId="167" fontId="2" fillId="5" borderId="4" xfId="0" applyNumberFormat="1" applyFont="1" applyFill="1" applyBorder="1" applyAlignment="1">
      <alignment horizontal="center"/>
    </xf>
    <xf numFmtId="167" fontId="2" fillId="5" borderId="12" xfId="0" applyNumberFormat="1" applyFont="1" applyFill="1" applyBorder="1" applyAlignment="1">
      <alignment horizontal="center"/>
    </xf>
    <xf numFmtId="169" fontId="2" fillId="0" borderId="4" xfId="0" applyNumberFormat="1" applyFont="1" applyBorder="1" applyAlignment="1">
      <alignment vertical="center"/>
    </xf>
    <xf numFmtId="169" fontId="2" fillId="3" borderId="4" xfId="0" applyNumberFormat="1" applyFont="1" applyFill="1" applyBorder="1"/>
    <xf numFmtId="169" fontId="2" fillId="3" borderId="4" xfId="0" applyNumberFormat="1" applyFont="1" applyFill="1" applyBorder="1" applyAlignment="1">
      <alignment vertical="center"/>
    </xf>
    <xf numFmtId="0" fontId="2" fillId="3" borderId="4" xfId="0" applyFont="1" applyFill="1" applyBorder="1"/>
    <xf numFmtId="169" fontId="2" fillId="15" borderId="0" xfId="0" applyNumberFormat="1" applyFont="1" applyFill="1" applyAlignment="1">
      <alignment vertical="center"/>
    </xf>
    <xf numFmtId="167" fontId="2" fillId="0" borderId="4" xfId="0" applyNumberFormat="1" applyFont="1" applyBorder="1" applyAlignment="1">
      <alignment vertical="center"/>
    </xf>
    <xf numFmtId="0" fontId="2" fillId="0" borderId="0" xfId="0" applyFont="1" applyFill="1" applyAlignment="1">
      <alignment horizontal="left"/>
    </xf>
    <xf numFmtId="203" fontId="2" fillId="0" borderId="7" xfId="0" applyNumberFormat="1" applyFont="1" applyBorder="1" applyAlignment="1">
      <alignment horizontal="center" vertical="center"/>
    </xf>
    <xf numFmtId="203" fontId="2" fillId="0" borderId="4" xfId="0" applyNumberFormat="1" applyFont="1" applyBorder="1" applyAlignment="1">
      <alignment horizontal="center" vertical="center"/>
    </xf>
    <xf numFmtId="203" fontId="2" fillId="0" borderId="16" xfId="0" applyNumberFormat="1" applyFont="1" applyBorder="1" applyAlignment="1">
      <alignment horizontal="center" vertical="center"/>
    </xf>
    <xf numFmtId="203" fontId="2" fillId="7" borderId="22" xfId="0" applyNumberFormat="1" applyFont="1" applyFill="1" applyBorder="1" applyAlignment="1">
      <alignment horizontal="center"/>
    </xf>
    <xf numFmtId="203" fontId="2" fillId="7" borderId="4" xfId="0" applyNumberFormat="1" applyFont="1" applyFill="1" applyBorder="1" applyAlignment="1">
      <alignment horizontal="center"/>
    </xf>
    <xf numFmtId="167" fontId="2" fillId="7" borderId="4" xfId="0" applyNumberFormat="1" applyFont="1" applyFill="1" applyBorder="1" applyAlignment="1">
      <alignment horizontal="center"/>
    </xf>
    <xf numFmtId="203" fontId="2" fillId="7" borderId="45" xfId="31" applyNumberFormat="1" applyFont="1" applyFill="1" applyBorder="1" applyAlignment="1" applyProtection="1"/>
    <xf numFmtId="169" fontId="2" fillId="7" borderId="4" xfId="0" applyNumberFormat="1" applyFont="1" applyFill="1" applyBorder="1" applyAlignment="1">
      <alignment horizontal="center" wrapText="1"/>
    </xf>
    <xf numFmtId="169" fontId="2" fillId="7" borderId="4" xfId="0" applyNumberFormat="1" applyFont="1" applyFill="1" applyBorder="1" applyAlignment="1">
      <alignment horizontal="center" vertical="center" wrapText="1"/>
    </xf>
    <xf numFmtId="169" fontId="5" fillId="6" borderId="35" xfId="0" applyNumberFormat="1" applyFont="1" applyFill="1" applyBorder="1"/>
    <xf numFmtId="167" fontId="2" fillId="0" borderId="12" xfId="0" applyNumberFormat="1" applyFont="1" applyFill="1" applyBorder="1" applyAlignment="1">
      <alignment horizontal="center"/>
    </xf>
    <xf numFmtId="203" fontId="2" fillId="0" borderId="22" xfId="0" applyNumberFormat="1" applyFont="1" applyFill="1" applyBorder="1" applyAlignment="1">
      <alignment horizontal="center"/>
    </xf>
    <xf numFmtId="0" fontId="2" fillId="0" borderId="16" xfId="0" applyFont="1" applyFill="1" applyBorder="1"/>
    <xf numFmtId="0" fontId="2" fillId="0" borderId="41" xfId="0" applyFont="1" applyFill="1" applyBorder="1" applyAlignment="1">
      <alignment horizontal="center"/>
    </xf>
    <xf numFmtId="0" fontId="23" fillId="0" borderId="6" xfId="0" applyFont="1" applyFill="1" applyBorder="1" applyAlignment="1">
      <alignment horizontal="center"/>
    </xf>
    <xf numFmtId="0" fontId="23" fillId="0" borderId="4" xfId="0" applyFont="1" applyFill="1" applyBorder="1"/>
    <xf numFmtId="0" fontId="2" fillId="0" borderId="6" xfId="0" applyFont="1" applyFill="1" applyBorder="1"/>
    <xf numFmtId="169" fontId="2" fillId="0" borderId="25" xfId="0" applyNumberFormat="1" applyFont="1" applyFill="1" applyBorder="1" applyAlignment="1">
      <alignment horizontal="center"/>
    </xf>
    <xf numFmtId="169" fontId="2" fillId="0" borderId="49" xfId="0" applyNumberFormat="1" applyFont="1" applyFill="1" applyBorder="1" applyAlignment="1">
      <alignment horizontal="center"/>
    </xf>
    <xf numFmtId="0" fontId="2" fillId="0" borderId="22" xfId="0" applyFont="1" applyFill="1" applyBorder="1" applyAlignment="1">
      <alignment vertical="center"/>
    </xf>
    <xf numFmtId="203" fontId="2" fillId="0" borderId="7" xfId="0" applyNumberFormat="1" applyFont="1" applyFill="1" applyBorder="1" applyAlignment="1">
      <alignment horizontal="center"/>
    </xf>
    <xf numFmtId="0" fontId="2" fillId="0" borderId="4" xfId="0" applyFont="1" applyFill="1" applyBorder="1" applyAlignment="1">
      <alignment vertical="center"/>
    </xf>
    <xf numFmtId="0" fontId="2" fillId="0" borderId="16" xfId="0" applyFont="1" applyFill="1" applyBorder="1" applyAlignment="1">
      <alignment vertical="center"/>
    </xf>
    <xf numFmtId="0" fontId="2" fillId="6" borderId="22" xfId="0" applyFont="1" applyFill="1" applyBorder="1" applyAlignment="1">
      <alignment wrapText="1"/>
    </xf>
    <xf numFmtId="0" fontId="2" fillId="6" borderId="4" xfId="0" applyFont="1" applyFill="1" applyBorder="1" applyAlignment="1">
      <alignment wrapText="1"/>
    </xf>
    <xf numFmtId="0" fontId="5" fillId="20" borderId="10" xfId="0" applyFont="1" applyFill="1" applyBorder="1" applyAlignment="1">
      <alignment horizontal="center" vertical="center"/>
    </xf>
    <xf numFmtId="0" fontId="5" fillId="20" borderId="8" xfId="0" applyFont="1" applyFill="1" applyBorder="1" applyAlignment="1">
      <alignment horizontal="center" vertical="center" wrapText="1"/>
    </xf>
    <xf numFmtId="0" fontId="5" fillId="20" borderId="9" xfId="0" applyFont="1" applyFill="1" applyBorder="1" applyAlignment="1">
      <alignment horizontal="center" vertical="center" wrapText="1"/>
    </xf>
    <xf numFmtId="0" fontId="26" fillId="9" borderId="12" xfId="0" applyFont="1" applyFill="1" applyBorder="1" applyAlignment="1">
      <alignment horizontal="center" vertical="center"/>
    </xf>
    <xf numFmtId="0" fontId="26" fillId="9" borderId="46" xfId="0" applyFont="1" applyFill="1" applyBorder="1" applyAlignment="1">
      <alignment horizontal="center" vertical="center"/>
    </xf>
    <xf numFmtId="0" fontId="0" fillId="0" borderId="50" xfId="0" applyBorder="1"/>
    <xf numFmtId="169" fontId="0" fillId="0" borderId="51" xfId="0" applyNumberFormat="1" applyBorder="1" applyAlignment="1">
      <alignment horizontal="center"/>
    </xf>
    <xf numFmtId="4" fontId="0" fillId="7" borderId="8" xfId="0" applyNumberFormat="1" applyFill="1" applyBorder="1" applyAlignment="1">
      <alignment horizontal="center" vertical="center"/>
    </xf>
    <xf numFmtId="4" fontId="0" fillId="7" borderId="9" xfId="0" applyNumberFormat="1" applyFill="1" applyBorder="1" applyAlignment="1">
      <alignment horizontal="center" vertical="center"/>
    </xf>
    <xf numFmtId="0" fontId="2" fillId="0" borderId="50" xfId="0" applyFont="1" applyBorder="1" applyAlignment="1">
      <alignment horizontal="center"/>
    </xf>
    <xf numFmtId="169" fontId="2" fillId="0" borderId="52" xfId="0" applyNumberFormat="1" applyFont="1" applyBorder="1"/>
    <xf numFmtId="10" fontId="1" fillId="0" borderId="53" xfId="8" applyNumberFormat="1" applyBorder="1"/>
    <xf numFmtId="0" fontId="2" fillId="0" borderId="14" xfId="0" applyFont="1" applyFill="1" applyBorder="1" applyAlignment="1">
      <alignment horizontal="center"/>
    </xf>
    <xf numFmtId="0" fontId="2" fillId="0" borderId="26" xfId="0" applyFont="1" applyFill="1" applyBorder="1" applyAlignment="1">
      <alignment horizontal="center"/>
    </xf>
    <xf numFmtId="0" fontId="2" fillId="0" borderId="54" xfId="0" applyFont="1" applyFill="1" applyBorder="1" applyAlignment="1">
      <alignment horizontal="center"/>
    </xf>
    <xf numFmtId="175" fontId="2" fillId="6" borderId="4" xfId="30" applyFont="1" applyFill="1" applyBorder="1" applyAlignment="1" applyProtection="1">
      <alignment horizontal="center" vertical="center"/>
    </xf>
    <xf numFmtId="0" fontId="25" fillId="14" borderId="0" xfId="0" applyFont="1" applyFill="1" applyBorder="1" applyAlignment="1">
      <alignment horizontal="left" vertical="center" wrapText="1"/>
    </xf>
    <xf numFmtId="167" fontId="2" fillId="10" borderId="4" xfId="0" applyNumberFormat="1" applyFont="1" applyFill="1" applyBorder="1" applyAlignment="1">
      <alignment horizontal="center" wrapText="1"/>
    </xf>
    <xf numFmtId="169" fontId="5" fillId="7" borderId="49" xfId="0" applyNumberFormat="1" applyFont="1" applyFill="1" applyBorder="1" applyAlignment="1">
      <alignment horizontal="center" vertical="top"/>
    </xf>
    <xf numFmtId="169" fontId="5" fillId="7" borderId="55" xfId="0" applyNumberFormat="1" applyFont="1" applyFill="1" applyBorder="1" applyAlignment="1">
      <alignment horizontal="center" vertical="top"/>
    </xf>
    <xf numFmtId="167" fontId="2" fillId="5" borderId="41" xfId="0" applyNumberFormat="1" applyFont="1" applyFill="1" applyBorder="1" applyAlignment="1">
      <alignment horizontal="center"/>
    </xf>
    <xf numFmtId="203" fontId="2" fillId="7" borderId="4" xfId="0" applyNumberFormat="1" applyFont="1" applyFill="1" applyBorder="1" applyAlignment="1">
      <alignment horizontal="center" vertical="center"/>
    </xf>
    <xf numFmtId="0" fontId="2" fillId="5" borderId="25" xfId="0" applyFont="1" applyFill="1" applyBorder="1" applyAlignment="1">
      <alignment horizontal="center" vertical="center"/>
    </xf>
    <xf numFmtId="0" fontId="2" fillId="5" borderId="13" xfId="0" applyFont="1" applyFill="1" applyBorder="1" applyAlignment="1">
      <alignment horizontal="center" vertical="center"/>
    </xf>
    <xf numFmtId="4" fontId="23" fillId="3" borderId="0" xfId="0" applyNumberFormat="1" applyFont="1" applyFill="1" applyBorder="1" applyAlignment="1">
      <alignment horizontal="center"/>
    </xf>
    <xf numFmtId="0" fontId="5" fillId="6" borderId="24" xfId="0" applyFont="1" applyFill="1" applyBorder="1" applyAlignment="1">
      <alignment horizontal="center" vertical="center" wrapText="1"/>
    </xf>
    <xf numFmtId="0" fontId="5" fillId="6" borderId="22" xfId="0" applyFont="1" applyFill="1" applyBorder="1" applyAlignment="1">
      <alignment horizontal="center" vertical="center" wrapText="1"/>
    </xf>
    <xf numFmtId="0" fontId="5" fillId="17" borderId="22" xfId="0" applyFont="1" applyFill="1" applyBorder="1" applyAlignment="1">
      <alignment horizontal="center" vertical="center" wrapText="1"/>
    </xf>
    <xf numFmtId="0" fontId="5" fillId="6" borderId="25" xfId="0" applyFont="1" applyFill="1" applyBorder="1" applyAlignment="1">
      <alignment horizontal="center" vertical="center" wrapText="1"/>
    </xf>
    <xf numFmtId="0" fontId="2" fillId="0" borderId="6" xfId="0" applyFont="1" applyBorder="1"/>
    <xf numFmtId="4" fontId="2" fillId="3" borderId="13" xfId="0" applyNumberFormat="1" applyFont="1" applyFill="1" applyBorder="1" applyAlignment="1">
      <alignment horizontal="center"/>
    </xf>
    <xf numFmtId="0" fontId="2" fillId="0" borderId="15" xfId="0" applyFont="1" applyBorder="1"/>
    <xf numFmtId="0" fontId="2" fillId="3" borderId="16" xfId="0" applyFont="1" applyFill="1" applyBorder="1" applyAlignment="1">
      <alignment vertical="center" wrapText="1"/>
    </xf>
    <xf numFmtId="175" fontId="2" fillId="3" borderId="16" xfId="30" applyFont="1" applyFill="1" applyBorder="1" applyAlignment="1" applyProtection="1">
      <alignment horizontal="center" vertical="center"/>
    </xf>
    <xf numFmtId="4" fontId="2" fillId="3" borderId="16" xfId="0" applyNumberFormat="1" applyFont="1" applyFill="1" applyBorder="1" applyAlignment="1">
      <alignment horizontal="center"/>
    </xf>
    <xf numFmtId="4" fontId="2" fillId="3" borderId="41" xfId="0" applyNumberFormat="1" applyFont="1" applyFill="1" applyBorder="1" applyAlignment="1">
      <alignment horizontal="center"/>
    </xf>
    <xf numFmtId="0" fontId="2" fillId="0" borderId="31" xfId="0" applyFont="1" applyBorder="1"/>
    <xf numFmtId="0" fontId="2" fillId="3" borderId="34" xfId="0" applyFont="1" applyFill="1" applyBorder="1" applyAlignment="1">
      <alignment vertical="center" wrapText="1"/>
    </xf>
    <xf numFmtId="175" fontId="2" fillId="3" borderId="34" xfId="30" applyFont="1" applyFill="1" applyBorder="1" applyAlignment="1" applyProtection="1">
      <alignment horizontal="center" vertical="center"/>
    </xf>
    <xf numFmtId="0" fontId="2" fillId="0" borderId="34" xfId="0" applyFont="1" applyBorder="1" applyAlignment="1">
      <alignment horizontal="center"/>
    </xf>
    <xf numFmtId="4" fontId="2" fillId="3" borderId="34" xfId="0" applyNumberFormat="1" applyFont="1" applyFill="1" applyBorder="1" applyAlignment="1">
      <alignment horizontal="center"/>
    </xf>
    <xf numFmtId="0" fontId="2" fillId="3" borderId="0" xfId="0" quotePrefix="1" applyFont="1" applyFill="1" applyBorder="1" applyAlignment="1">
      <alignment horizontal="center" vertical="center" wrapText="1"/>
    </xf>
    <xf numFmtId="174" fontId="32" fillId="9" borderId="65" xfId="2" applyFont="1" applyFill="1" applyBorder="1" applyAlignment="1">
      <alignment horizontal="center" vertical="center"/>
    </xf>
    <xf numFmtId="0" fontId="2" fillId="0" borderId="19" xfId="0" applyFont="1" applyBorder="1" applyAlignment="1">
      <alignment vertical="center"/>
    </xf>
    <xf numFmtId="0" fontId="2" fillId="3" borderId="20" xfId="0" applyFont="1" applyFill="1" applyBorder="1" applyAlignment="1">
      <alignment vertical="center"/>
    </xf>
    <xf numFmtId="2" fontId="2" fillId="3" borderId="20" xfId="0" applyNumberFormat="1" applyFont="1" applyFill="1" applyBorder="1" applyAlignment="1">
      <alignment horizontal="center" vertical="center"/>
    </xf>
    <xf numFmtId="169" fontId="2" fillId="3" borderId="20" xfId="30" applyNumberFormat="1" applyFont="1" applyFill="1" applyBorder="1" applyAlignment="1" applyProtection="1">
      <alignment vertical="center"/>
    </xf>
    <xf numFmtId="0" fontId="2" fillId="0" borderId="2" xfId="0" applyFont="1" applyBorder="1" applyAlignment="1">
      <alignment vertical="center"/>
    </xf>
    <xf numFmtId="0" fontId="2" fillId="3" borderId="0" xfId="0" applyFont="1" applyFill="1" applyBorder="1" applyAlignment="1">
      <alignment vertical="center"/>
    </xf>
    <xf numFmtId="169" fontId="2" fillId="3" borderId="0" xfId="30" applyNumberFormat="1" applyFont="1" applyFill="1" applyBorder="1" applyAlignment="1" applyProtection="1">
      <alignment vertical="center"/>
    </xf>
    <xf numFmtId="0" fontId="26" fillId="9" borderId="20" xfId="0" applyFont="1" applyFill="1" applyBorder="1" applyAlignment="1">
      <alignment horizontal="left" vertical="center"/>
    </xf>
    <xf numFmtId="0" fontId="26" fillId="9" borderId="20" xfId="0" applyFont="1" applyFill="1" applyBorder="1" applyAlignment="1">
      <alignment horizontal="center" vertical="center"/>
    </xf>
    <xf numFmtId="0" fontId="26" fillId="9" borderId="5" xfId="0" applyFont="1" applyFill="1" applyBorder="1" applyAlignment="1">
      <alignment horizontal="center" vertical="center"/>
    </xf>
    <xf numFmtId="0" fontId="26" fillId="9" borderId="66" xfId="0" applyFont="1" applyFill="1" applyBorder="1" applyAlignment="1">
      <alignment horizontal="center" vertical="center"/>
    </xf>
    <xf numFmtId="0" fontId="26" fillId="9" borderId="67" xfId="0" applyFont="1" applyFill="1" applyBorder="1" applyAlignment="1">
      <alignment horizontal="center" vertical="center"/>
    </xf>
    <xf numFmtId="0" fontId="26" fillId="11" borderId="62" xfId="0" applyFont="1" applyFill="1" applyBorder="1" applyAlignment="1">
      <alignment horizontal="center" wrapText="1"/>
    </xf>
    <xf numFmtId="0" fontId="26" fillId="11" borderId="63" xfId="0" applyFont="1" applyFill="1" applyBorder="1" applyAlignment="1">
      <alignment horizontal="left" wrapText="1"/>
    </xf>
    <xf numFmtId="0" fontId="26" fillId="11" borderId="63" xfId="0" applyFont="1" applyFill="1" applyBorder="1" applyAlignment="1">
      <alignment horizontal="center" wrapText="1"/>
    </xf>
    <xf numFmtId="0" fontId="26" fillId="11" borderId="64" xfId="0" applyFont="1" applyFill="1" applyBorder="1" applyAlignment="1">
      <alignment horizontal="center" wrapText="1"/>
    </xf>
    <xf numFmtId="0" fontId="2" fillId="10" borderId="68" xfId="0" applyFont="1" applyFill="1" applyBorder="1" applyAlignment="1">
      <alignment wrapText="1"/>
    </xf>
    <xf numFmtId="0" fontId="2" fillId="10" borderId="69" xfId="0" applyFont="1" applyFill="1" applyBorder="1" applyAlignment="1">
      <alignment wrapText="1"/>
    </xf>
    <xf numFmtId="0" fontId="2" fillId="10" borderId="70" xfId="0" applyFont="1" applyFill="1" applyBorder="1" applyAlignment="1">
      <alignment wrapText="1"/>
    </xf>
    <xf numFmtId="0" fontId="2" fillId="10" borderId="71" xfId="0" applyFont="1" applyFill="1" applyBorder="1" applyAlignment="1">
      <alignment wrapText="1"/>
    </xf>
    <xf numFmtId="0" fontId="26" fillId="11" borderId="19" xfId="0" applyFont="1" applyFill="1" applyBorder="1" applyAlignment="1">
      <alignment horizontal="center" wrapText="1"/>
    </xf>
    <xf numFmtId="0" fontId="26" fillId="11" borderId="20" xfId="0" applyFont="1" applyFill="1" applyBorder="1" applyAlignment="1">
      <alignment horizontal="left" wrapText="1"/>
    </xf>
    <xf numFmtId="0" fontId="26" fillId="11" borderId="20" xfId="0" applyFont="1" applyFill="1" applyBorder="1" applyAlignment="1">
      <alignment horizontal="center" wrapText="1"/>
    </xf>
    <xf numFmtId="0" fontId="26" fillId="11" borderId="5" xfId="0" applyFont="1" applyFill="1" applyBorder="1" applyAlignment="1">
      <alignment horizontal="center" wrapText="1"/>
    </xf>
    <xf numFmtId="0" fontId="26" fillId="16" borderId="17" xfId="0" applyFont="1" applyFill="1" applyBorder="1" applyAlignment="1">
      <alignment horizontal="center" vertical="center"/>
    </xf>
    <xf numFmtId="0" fontId="26" fillId="16" borderId="18" xfId="0" applyFont="1" applyFill="1" applyBorder="1" applyAlignment="1">
      <alignment horizontal="center" vertical="center"/>
    </xf>
    <xf numFmtId="169" fontId="26" fillId="16" borderId="18" xfId="0" applyNumberFormat="1" applyFont="1" applyFill="1" applyBorder="1" applyAlignment="1">
      <alignment horizontal="center" vertical="center"/>
    </xf>
    <xf numFmtId="0" fontId="26" fillId="16" borderId="14" xfId="0" applyFont="1" applyFill="1" applyBorder="1" applyAlignment="1">
      <alignment horizontal="center" vertical="center"/>
    </xf>
    <xf numFmtId="0" fontId="26" fillId="9" borderId="2" xfId="0" applyFont="1" applyFill="1" applyBorder="1" applyAlignment="1">
      <alignment horizontal="center" vertical="center"/>
    </xf>
    <xf numFmtId="0" fontId="26" fillId="9" borderId="0" xfId="0" applyFont="1" applyFill="1" applyBorder="1" applyAlignment="1">
      <alignment horizontal="left" vertical="center"/>
    </xf>
    <xf numFmtId="0" fontId="26" fillId="9" borderId="0" xfId="0" applyFont="1" applyFill="1" applyBorder="1" applyAlignment="1">
      <alignment horizontal="center" vertical="center"/>
    </xf>
    <xf numFmtId="0" fontId="26" fillId="9" borderId="3" xfId="0" applyFont="1" applyFill="1" applyBorder="1" applyAlignment="1">
      <alignment horizontal="center" vertical="center"/>
    </xf>
    <xf numFmtId="0" fontId="26" fillId="3" borderId="66" xfId="0" applyFont="1" applyFill="1" applyBorder="1" applyAlignment="1">
      <alignment horizontal="center" vertical="center"/>
    </xf>
    <xf numFmtId="0" fontId="26" fillId="3" borderId="61" xfId="0" applyFont="1" applyFill="1" applyBorder="1" applyAlignment="1">
      <alignment horizontal="left" vertical="center"/>
    </xf>
    <xf numFmtId="0" fontId="26" fillId="3" borderId="61" xfId="0" applyFont="1" applyFill="1" applyBorder="1" applyAlignment="1">
      <alignment horizontal="center" vertical="center"/>
    </xf>
    <xf numFmtId="0" fontId="26" fillId="3" borderId="67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wrapText="1"/>
    </xf>
    <xf numFmtId="0" fontId="2" fillId="10" borderId="18" xfId="0" applyFont="1" applyFill="1" applyBorder="1" applyAlignment="1">
      <alignment wrapText="1"/>
    </xf>
    <xf numFmtId="0" fontId="2" fillId="10" borderId="14" xfId="0" applyFont="1" applyFill="1" applyBorder="1" applyAlignment="1">
      <alignment wrapText="1"/>
    </xf>
    <xf numFmtId="0" fontId="2" fillId="3" borderId="0" xfId="0" applyFont="1" applyFill="1" applyBorder="1" applyAlignment="1">
      <alignment horizontal="center" wrapText="1"/>
    </xf>
    <xf numFmtId="0" fontId="2" fillId="10" borderId="72" xfId="0" applyFont="1" applyFill="1" applyBorder="1" applyAlignment="1">
      <alignment wrapText="1"/>
    </xf>
    <xf numFmtId="0" fontId="26" fillId="16" borderId="2" xfId="0" applyFont="1" applyFill="1" applyBorder="1" applyAlignment="1">
      <alignment horizontal="center" vertical="center"/>
    </xf>
    <xf numFmtId="0" fontId="26" fillId="16" borderId="0" xfId="0" applyFont="1" applyFill="1" applyBorder="1" applyAlignment="1">
      <alignment horizontal="center" vertical="center"/>
    </xf>
    <xf numFmtId="169" fontId="26" fillId="16" borderId="0" xfId="0" applyNumberFormat="1" applyFont="1" applyFill="1" applyBorder="1" applyAlignment="1">
      <alignment horizontal="center" vertical="center"/>
    </xf>
    <xf numFmtId="0" fontId="26" fillId="16" borderId="3" xfId="0" applyFont="1" applyFill="1" applyBorder="1" applyAlignment="1">
      <alignment horizontal="center" vertical="center"/>
    </xf>
    <xf numFmtId="0" fontId="26" fillId="3" borderId="20" xfId="0" applyFont="1" applyFill="1" applyBorder="1" applyAlignment="1">
      <alignment horizontal="center" vertical="center"/>
    </xf>
    <xf numFmtId="169" fontId="26" fillId="3" borderId="20" xfId="0" applyNumberFormat="1" applyFont="1" applyFill="1" applyBorder="1" applyAlignment="1">
      <alignment horizontal="center" vertical="center"/>
    </xf>
    <xf numFmtId="0" fontId="2" fillId="10" borderId="73" xfId="0" applyFont="1" applyFill="1" applyBorder="1" applyAlignment="1">
      <alignment wrapText="1"/>
    </xf>
    <xf numFmtId="0" fontId="2" fillId="10" borderId="74" xfId="0" applyFont="1" applyFill="1" applyBorder="1" applyAlignment="1">
      <alignment wrapText="1"/>
    </xf>
    <xf numFmtId="0" fontId="2" fillId="10" borderId="75" xfId="0" applyFont="1" applyFill="1" applyBorder="1" applyAlignment="1">
      <alignment wrapText="1"/>
    </xf>
    <xf numFmtId="169" fontId="26" fillId="16" borderId="2" xfId="0" applyNumberFormat="1" applyFont="1" applyFill="1" applyBorder="1" applyAlignment="1">
      <alignment horizontal="center" vertical="center"/>
    </xf>
    <xf numFmtId="169" fontId="26" fillId="16" borderId="3" xfId="0" applyNumberFormat="1" applyFont="1" applyFill="1" applyBorder="1" applyAlignment="1">
      <alignment horizontal="center" vertical="center"/>
    </xf>
    <xf numFmtId="169" fontId="26" fillId="3" borderId="2" xfId="0" applyNumberFormat="1" applyFont="1" applyFill="1" applyBorder="1" applyAlignment="1">
      <alignment horizontal="center" vertical="center"/>
    </xf>
    <xf numFmtId="169" fontId="26" fillId="3" borderId="0" xfId="0" applyNumberFormat="1" applyFont="1" applyFill="1" applyBorder="1" applyAlignment="1">
      <alignment horizontal="center" vertical="center"/>
    </xf>
    <xf numFmtId="169" fontId="26" fillId="3" borderId="3" xfId="0" applyNumberFormat="1" applyFont="1" applyFill="1" applyBorder="1" applyAlignment="1">
      <alignment horizontal="center" vertical="center"/>
    </xf>
    <xf numFmtId="175" fontId="2" fillId="10" borderId="71" xfId="30" applyFont="1" applyFill="1" applyBorder="1" applyAlignment="1">
      <alignment wrapText="1"/>
    </xf>
    <xf numFmtId="169" fontId="26" fillId="9" borderId="61" xfId="0" applyNumberFormat="1" applyFont="1" applyFill="1" applyBorder="1" applyAlignment="1">
      <alignment horizontal="center" vertical="center"/>
    </xf>
    <xf numFmtId="169" fontId="26" fillId="9" borderId="67" xfId="0" applyNumberFormat="1" applyFont="1" applyFill="1" applyBorder="1" applyAlignment="1">
      <alignment horizontal="center" vertical="center"/>
    </xf>
    <xf numFmtId="0" fontId="2" fillId="3" borderId="73" xfId="0" applyFont="1" applyFill="1" applyBorder="1" applyAlignment="1">
      <alignment wrapText="1"/>
    </xf>
    <xf numFmtId="0" fontId="2" fillId="3" borderId="74" xfId="0" applyFont="1" applyFill="1" applyBorder="1" applyAlignment="1">
      <alignment wrapText="1"/>
    </xf>
    <xf numFmtId="0" fontId="2" fillId="3" borderId="75" xfId="0" applyFont="1" applyFill="1" applyBorder="1" applyAlignment="1">
      <alignment wrapText="1"/>
    </xf>
    <xf numFmtId="0" fontId="2" fillId="10" borderId="2" xfId="0" applyFont="1" applyFill="1" applyBorder="1" applyAlignment="1">
      <alignment wrapText="1"/>
    </xf>
    <xf numFmtId="0" fontId="2" fillId="10" borderId="0" xfId="0" applyFont="1" applyFill="1" applyBorder="1" applyAlignment="1">
      <alignment wrapText="1"/>
    </xf>
    <xf numFmtId="0" fontId="2" fillId="10" borderId="3" xfId="0" applyFont="1" applyFill="1" applyBorder="1" applyAlignment="1">
      <alignment wrapText="1"/>
    </xf>
    <xf numFmtId="0" fontId="2" fillId="10" borderId="17" xfId="0" applyFont="1" applyFill="1" applyBorder="1" applyAlignment="1">
      <alignment wrapText="1"/>
    </xf>
    <xf numFmtId="175" fontId="2" fillId="3" borderId="3" xfId="30" applyFont="1" applyFill="1" applyBorder="1"/>
    <xf numFmtId="9" fontId="2" fillId="3" borderId="3" xfId="8" applyFont="1" applyFill="1" applyBorder="1"/>
    <xf numFmtId="0" fontId="26" fillId="11" borderId="2" xfId="0" applyFont="1" applyFill="1" applyBorder="1" applyAlignment="1">
      <alignment horizontal="center" wrapText="1"/>
    </xf>
    <xf numFmtId="0" fontId="26" fillId="11" borderId="0" xfId="0" applyFont="1" applyFill="1" applyBorder="1" applyAlignment="1">
      <alignment horizontal="left" wrapText="1"/>
    </xf>
    <xf numFmtId="0" fontId="26" fillId="11" borderId="0" xfId="0" applyFont="1" applyFill="1" applyBorder="1" applyAlignment="1">
      <alignment horizontal="center" wrapText="1"/>
    </xf>
    <xf numFmtId="0" fontId="26" fillId="11" borderId="3" xfId="0" applyFont="1" applyFill="1" applyBorder="1" applyAlignment="1">
      <alignment horizontal="center" wrapText="1"/>
    </xf>
    <xf numFmtId="0" fontId="26" fillId="9" borderId="17" xfId="0" applyFont="1" applyFill="1" applyBorder="1" applyAlignment="1">
      <alignment horizontal="center" vertical="center"/>
    </xf>
    <xf numFmtId="0" fontId="26" fillId="9" borderId="18" xfId="0" applyFont="1" applyFill="1" applyBorder="1" applyAlignment="1">
      <alignment horizontal="center" vertical="center"/>
    </xf>
    <xf numFmtId="169" fontId="26" fillId="9" borderId="14" xfId="0" applyNumberFormat="1" applyFont="1" applyFill="1" applyBorder="1" applyAlignment="1">
      <alignment horizontal="center" vertical="center"/>
    </xf>
    <xf numFmtId="0" fontId="26" fillId="9" borderId="23" xfId="0" applyFont="1" applyFill="1" applyBorder="1" applyAlignment="1">
      <alignment horizontal="center" vertical="center"/>
    </xf>
    <xf numFmtId="0" fontId="26" fillId="9" borderId="43" xfId="0" applyFont="1" applyFill="1" applyBorder="1" applyAlignment="1">
      <alignment horizontal="left" vertical="center"/>
    </xf>
    <xf numFmtId="0" fontId="26" fillId="9" borderId="43" xfId="0" applyFont="1" applyFill="1" applyBorder="1" applyAlignment="1">
      <alignment horizontal="center" vertical="center"/>
    </xf>
    <xf numFmtId="0" fontId="26" fillId="9" borderId="26" xfId="0" applyFont="1" applyFill="1" applyBorder="1" applyAlignment="1">
      <alignment horizontal="center" vertical="center"/>
    </xf>
    <xf numFmtId="0" fontId="26" fillId="3" borderId="2" xfId="0" applyFont="1" applyFill="1" applyBorder="1" applyAlignment="1">
      <alignment horizontal="center" vertical="center"/>
    </xf>
    <xf numFmtId="0" fontId="26" fillId="3" borderId="0" xfId="0" applyFont="1" applyFill="1" applyBorder="1" applyAlignment="1">
      <alignment horizontal="left" vertical="center"/>
    </xf>
    <xf numFmtId="0" fontId="26" fillId="3" borderId="0" xfId="0" applyFont="1" applyFill="1" applyBorder="1" applyAlignment="1">
      <alignment horizontal="center" vertical="center"/>
    </xf>
    <xf numFmtId="0" fontId="26" fillId="3" borderId="3" xfId="0" applyFont="1" applyFill="1" applyBorder="1" applyAlignment="1">
      <alignment horizontal="center" vertical="center"/>
    </xf>
    <xf numFmtId="0" fontId="26" fillId="11" borderId="23" xfId="0" applyFont="1" applyFill="1" applyBorder="1" applyAlignment="1">
      <alignment horizontal="center" wrapText="1"/>
    </xf>
    <xf numFmtId="0" fontId="26" fillId="11" borderId="43" xfId="0" applyFont="1" applyFill="1" applyBorder="1" applyAlignment="1">
      <alignment horizontal="left" wrapText="1"/>
    </xf>
    <xf numFmtId="0" fontId="26" fillId="11" borderId="43" xfId="0" applyFont="1" applyFill="1" applyBorder="1" applyAlignment="1">
      <alignment horizontal="center" wrapText="1"/>
    </xf>
    <xf numFmtId="169" fontId="26" fillId="11" borderId="43" xfId="0" applyNumberFormat="1" applyFont="1" applyFill="1" applyBorder="1" applyAlignment="1">
      <alignment horizontal="center" wrapText="1"/>
    </xf>
    <xf numFmtId="0" fontId="26" fillId="11" borderId="26" xfId="0" applyFont="1" applyFill="1" applyBorder="1" applyAlignment="1">
      <alignment horizontal="center" wrapText="1"/>
    </xf>
    <xf numFmtId="169" fontId="26" fillId="9" borderId="0" xfId="0" applyNumberFormat="1" applyFont="1" applyFill="1" applyBorder="1" applyAlignment="1">
      <alignment horizontal="center" vertical="center"/>
    </xf>
    <xf numFmtId="169" fontId="26" fillId="9" borderId="3" xfId="0" applyNumberFormat="1" applyFont="1" applyFill="1" applyBorder="1" applyAlignment="1">
      <alignment horizontal="center" vertical="center"/>
    </xf>
    <xf numFmtId="169" fontId="26" fillId="9" borderId="18" xfId="0" applyNumberFormat="1" applyFont="1" applyFill="1" applyBorder="1" applyAlignment="1">
      <alignment horizontal="center" vertical="center"/>
    </xf>
    <xf numFmtId="0" fontId="26" fillId="11" borderId="17" xfId="0" applyFont="1" applyFill="1" applyBorder="1" applyAlignment="1">
      <alignment horizontal="center" wrapText="1"/>
    </xf>
    <xf numFmtId="0" fontId="26" fillId="11" borderId="18" xfId="0" applyFont="1" applyFill="1" applyBorder="1" applyAlignment="1">
      <alignment horizontal="left" wrapText="1"/>
    </xf>
    <xf numFmtId="0" fontId="26" fillId="11" borderId="18" xfId="0" applyFont="1" applyFill="1" applyBorder="1" applyAlignment="1">
      <alignment horizontal="center" wrapText="1"/>
    </xf>
    <xf numFmtId="0" fontId="26" fillId="3" borderId="0" xfId="0" applyFont="1" applyFill="1" applyBorder="1" applyAlignment="1">
      <alignment horizontal="center" wrapText="1"/>
    </xf>
    <xf numFmtId="169" fontId="4" fillId="12" borderId="29" xfId="0" applyNumberFormat="1" applyFont="1" applyFill="1" applyBorder="1"/>
    <xf numFmtId="0" fontId="26" fillId="9" borderId="39" xfId="0" applyFont="1" applyFill="1" applyBorder="1" applyAlignment="1">
      <alignment horizontal="left" vertical="center"/>
    </xf>
    <xf numFmtId="0" fontId="26" fillId="9" borderId="29" xfId="0" applyFont="1" applyFill="1" applyBorder="1" applyAlignment="1">
      <alignment horizontal="left" vertical="center"/>
    </xf>
    <xf numFmtId="0" fontId="26" fillId="9" borderId="76" xfId="0" applyFont="1" applyFill="1" applyBorder="1" applyAlignment="1">
      <alignment horizontal="left" vertical="center"/>
    </xf>
    <xf numFmtId="0" fontId="26" fillId="9" borderId="65" xfId="0" applyFont="1" applyFill="1" applyBorder="1" applyAlignment="1">
      <alignment horizontal="left" vertical="center"/>
    </xf>
    <xf numFmtId="169" fontId="26" fillId="9" borderId="77" xfId="0" applyNumberFormat="1" applyFont="1" applyFill="1" applyBorder="1" applyAlignment="1">
      <alignment horizontal="left" vertical="center"/>
    </xf>
    <xf numFmtId="0" fontId="26" fillId="9" borderId="36" xfId="0" applyFont="1" applyFill="1" applyBorder="1" applyAlignment="1">
      <alignment horizontal="center" vertical="center"/>
    </xf>
    <xf numFmtId="0" fontId="26" fillId="9" borderId="37" xfId="0" applyFont="1" applyFill="1" applyBorder="1" applyAlignment="1">
      <alignment horizontal="center" vertical="center"/>
    </xf>
    <xf numFmtId="0" fontId="26" fillId="9" borderId="76" xfId="0" applyFont="1" applyFill="1" applyBorder="1" applyAlignment="1">
      <alignment horizontal="center" vertical="center"/>
    </xf>
    <xf numFmtId="226" fontId="2" fillId="3" borderId="0" xfId="30" applyNumberFormat="1" applyFont="1" applyFill="1" applyBorder="1" applyAlignment="1" applyProtection="1"/>
    <xf numFmtId="226" fontId="2" fillId="0" borderId="0" xfId="30" applyNumberFormat="1" applyFont="1" applyFill="1" applyBorder="1" applyAlignment="1" applyProtection="1"/>
    <xf numFmtId="226" fontId="5" fillId="10" borderId="0" xfId="30" applyNumberFormat="1" applyFont="1" applyFill="1" applyBorder="1" applyAlignment="1" applyProtection="1">
      <alignment horizontal="right"/>
    </xf>
    <xf numFmtId="226" fontId="2" fillId="3" borderId="0" xfId="30" applyNumberFormat="1" applyFont="1" applyFill="1" applyBorder="1" applyAlignment="1" applyProtection="1">
      <alignment horizontal="right"/>
    </xf>
    <xf numFmtId="226" fontId="2" fillId="3" borderId="0" xfId="0" applyNumberFormat="1" applyFont="1" applyFill="1" applyBorder="1"/>
    <xf numFmtId="226" fontId="2" fillId="3" borderId="0" xfId="0" applyNumberFormat="1" applyFont="1" applyFill="1" applyBorder="1" applyAlignment="1">
      <alignment horizontal="center"/>
    </xf>
    <xf numFmtId="226" fontId="2" fillId="3" borderId="0" xfId="8" applyNumberFormat="1" applyFont="1" applyFill="1" applyBorder="1" applyAlignment="1">
      <alignment horizontal="center"/>
    </xf>
    <xf numFmtId="226" fontId="5" fillId="3" borderId="0" xfId="30" applyNumberFormat="1" applyFont="1" applyFill="1" applyBorder="1" applyAlignment="1" applyProtection="1"/>
    <xf numFmtId="226" fontId="2" fillId="0" borderId="0" xfId="0" applyNumberFormat="1" applyFont="1" applyFill="1" applyBorder="1"/>
    <xf numFmtId="226" fontId="2" fillId="0" borderId="0" xfId="0" applyNumberFormat="1" applyFont="1" applyFill="1" applyBorder="1" applyAlignment="1">
      <alignment horizontal="center"/>
    </xf>
    <xf numFmtId="226" fontId="2" fillId="10" borderId="68" xfId="0" applyNumberFormat="1" applyFont="1" applyFill="1" applyBorder="1" applyAlignment="1">
      <alignment wrapText="1"/>
    </xf>
    <xf numFmtId="226" fontId="5" fillId="10" borderId="0" xfId="30" applyNumberFormat="1" applyFont="1" applyFill="1" applyBorder="1" applyAlignment="1" applyProtection="1"/>
    <xf numFmtId="226" fontId="2" fillId="3" borderId="0" xfId="0" applyNumberFormat="1" applyFont="1" applyFill="1" applyBorder="1" applyAlignment="1">
      <alignment horizontal="center" wrapText="1"/>
    </xf>
    <xf numFmtId="226" fontId="2" fillId="0" borderId="0" xfId="0" applyNumberFormat="1" applyFont="1" applyBorder="1" applyAlignment="1">
      <alignment horizontal="center"/>
    </xf>
    <xf numFmtId="167" fontId="2" fillId="3" borderId="0" xfId="30" applyNumberFormat="1" applyFont="1" applyFill="1" applyBorder="1" applyAlignment="1" applyProtection="1"/>
    <xf numFmtId="167" fontId="2" fillId="0" borderId="0" xfId="30" applyNumberFormat="1" applyFont="1" applyFill="1" applyBorder="1" applyAlignment="1" applyProtection="1"/>
    <xf numFmtId="0" fontId="2" fillId="3" borderId="0" xfId="30" applyNumberFormat="1" applyFont="1" applyFill="1" applyBorder="1" applyAlignment="1" applyProtection="1"/>
    <xf numFmtId="0" fontId="26" fillId="11" borderId="56" xfId="0" applyFont="1" applyFill="1" applyBorder="1" applyAlignment="1">
      <alignment horizontal="center" wrapText="1"/>
    </xf>
    <xf numFmtId="0" fontId="26" fillId="11" borderId="57" xfId="0" applyFont="1" applyFill="1" applyBorder="1" applyAlignment="1">
      <alignment horizontal="center" wrapText="1"/>
    </xf>
    <xf numFmtId="0" fontId="26" fillId="11" borderId="58" xfId="0" applyFont="1" applyFill="1" applyBorder="1" applyAlignment="1">
      <alignment horizontal="center" wrapText="1"/>
    </xf>
    <xf numFmtId="0" fontId="2" fillId="0" borderId="59" xfId="0" applyFont="1" applyBorder="1" applyAlignment="1">
      <alignment horizontal="center"/>
    </xf>
    <xf numFmtId="0" fontId="2" fillId="0" borderId="45" xfId="0" applyFont="1" applyBorder="1" applyAlignment="1">
      <alignment horizontal="center"/>
    </xf>
    <xf numFmtId="0" fontId="2" fillId="0" borderId="60" xfId="0" applyFont="1" applyBorder="1" applyAlignment="1">
      <alignment horizontal="center"/>
    </xf>
    <xf numFmtId="0" fontId="19" fillId="0" borderId="36" xfId="0" applyFont="1" applyBorder="1" applyAlignment="1">
      <alignment horizontal="center" vertical="center" wrapText="1"/>
    </xf>
    <xf numFmtId="0" fontId="19" fillId="0" borderId="38" xfId="0" applyFont="1" applyBorder="1" applyAlignment="1">
      <alignment horizontal="center" vertical="center" wrapText="1"/>
    </xf>
    <xf numFmtId="0" fontId="19" fillId="0" borderId="39" xfId="0" applyFont="1" applyBorder="1" applyAlignment="1">
      <alignment horizontal="center" vertical="center" wrapText="1"/>
    </xf>
    <xf numFmtId="0" fontId="19" fillId="0" borderId="29" xfId="0" applyFont="1" applyBorder="1" applyAlignment="1">
      <alignment horizontal="center" vertical="center" wrapText="1"/>
    </xf>
    <xf numFmtId="0" fontId="19" fillId="0" borderId="40" xfId="0" applyFont="1" applyBorder="1" applyAlignment="1">
      <alignment horizontal="center" vertical="center" wrapText="1"/>
    </xf>
    <xf numFmtId="0" fontId="19" fillId="0" borderId="35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/>
    </xf>
    <xf numFmtId="0" fontId="2" fillId="0" borderId="38" xfId="0" applyFont="1" applyBorder="1" applyAlignment="1">
      <alignment horizontal="center"/>
    </xf>
    <xf numFmtId="0" fontId="2" fillId="0" borderId="39" xfId="0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0" fontId="2" fillId="0" borderId="40" xfId="0" applyFont="1" applyBorder="1" applyAlignment="1">
      <alignment horizontal="center"/>
    </xf>
    <xf numFmtId="0" fontId="2" fillId="0" borderId="35" xfId="0" applyFont="1" applyBorder="1" applyAlignment="1">
      <alignment horizontal="center"/>
    </xf>
    <xf numFmtId="0" fontId="5" fillId="0" borderId="0" xfId="0" applyFont="1" applyFill="1" applyBorder="1" applyAlignment="1">
      <alignment horizontal="center" wrapText="1"/>
    </xf>
    <xf numFmtId="0" fontId="5" fillId="17" borderId="50" xfId="0" applyFont="1" applyFill="1" applyBorder="1" applyAlignment="1">
      <alignment horizontal="center"/>
    </xf>
    <xf numFmtId="0" fontId="5" fillId="17" borderId="52" xfId="0" applyFont="1" applyFill="1" applyBorder="1" applyAlignment="1">
      <alignment horizontal="center"/>
    </xf>
    <xf numFmtId="0" fontId="5" fillId="17" borderId="53" xfId="0" applyFont="1" applyFill="1" applyBorder="1" applyAlignment="1">
      <alignment horizontal="center"/>
    </xf>
    <xf numFmtId="0" fontId="33" fillId="0" borderId="36" xfId="0" applyFont="1" applyBorder="1" applyAlignment="1">
      <alignment horizontal="center" vertical="center" wrapText="1"/>
    </xf>
    <xf numFmtId="0" fontId="33" fillId="0" borderId="38" xfId="0" applyFont="1" applyBorder="1" applyAlignment="1">
      <alignment horizontal="center" vertical="center" wrapText="1"/>
    </xf>
    <xf numFmtId="0" fontId="33" fillId="0" borderId="39" xfId="0" applyFont="1" applyBorder="1" applyAlignment="1">
      <alignment horizontal="center" vertical="center" wrapText="1"/>
    </xf>
    <xf numFmtId="0" fontId="33" fillId="0" borderId="29" xfId="0" applyFont="1" applyBorder="1" applyAlignment="1">
      <alignment horizontal="center" vertical="center" wrapText="1"/>
    </xf>
    <xf numFmtId="0" fontId="33" fillId="0" borderId="40" xfId="0" applyFont="1" applyBorder="1" applyAlignment="1">
      <alignment horizontal="center" vertical="center" wrapText="1"/>
    </xf>
    <xf numFmtId="0" fontId="33" fillId="0" borderId="35" xfId="0" applyFont="1" applyBorder="1" applyAlignment="1">
      <alignment horizontal="center" vertical="center" wrapText="1"/>
    </xf>
    <xf numFmtId="0" fontId="5" fillId="10" borderId="36" xfId="0" applyFont="1" applyFill="1" applyBorder="1" applyAlignment="1">
      <alignment horizontal="center" vertical="center" wrapText="1"/>
    </xf>
    <xf numFmtId="0" fontId="5" fillId="10" borderId="37" xfId="0" applyFont="1" applyFill="1" applyBorder="1" applyAlignment="1">
      <alignment horizontal="center" vertical="center" wrapText="1"/>
    </xf>
    <xf numFmtId="0" fontId="5" fillId="10" borderId="38" xfId="0" applyFont="1" applyFill="1" applyBorder="1" applyAlignment="1">
      <alignment horizontal="center" vertical="center" wrapText="1"/>
    </xf>
    <xf numFmtId="0" fontId="5" fillId="10" borderId="39" xfId="0" applyFont="1" applyFill="1" applyBorder="1" applyAlignment="1">
      <alignment horizontal="center" vertical="center" wrapText="1"/>
    </xf>
    <xf numFmtId="0" fontId="5" fillId="10" borderId="0" xfId="0" applyFont="1" applyFill="1" applyBorder="1" applyAlignment="1">
      <alignment horizontal="center" vertical="center" wrapText="1"/>
    </xf>
    <xf numFmtId="0" fontId="5" fillId="10" borderId="29" xfId="0" applyFont="1" applyFill="1" applyBorder="1" applyAlignment="1">
      <alignment horizontal="center" vertical="center" wrapText="1"/>
    </xf>
    <xf numFmtId="0" fontId="5" fillId="10" borderId="40" xfId="0" applyFont="1" applyFill="1" applyBorder="1" applyAlignment="1">
      <alignment horizontal="center" vertical="center" wrapText="1"/>
    </xf>
    <xf numFmtId="0" fontId="5" fillId="10" borderId="33" xfId="0" applyFont="1" applyFill="1" applyBorder="1" applyAlignment="1">
      <alignment horizontal="center" vertical="center" wrapText="1"/>
    </xf>
    <xf numFmtId="0" fontId="5" fillId="10" borderId="35" xfId="0" applyFont="1" applyFill="1" applyBorder="1" applyAlignment="1">
      <alignment horizontal="center" vertical="center" wrapText="1"/>
    </xf>
    <xf numFmtId="0" fontId="19" fillId="0" borderId="59" xfId="0" applyFont="1" applyBorder="1" applyAlignment="1">
      <alignment horizontal="center" vertical="center" wrapText="1"/>
    </xf>
    <xf numFmtId="0" fontId="19" fillId="0" borderId="45" xfId="0" applyFont="1" applyBorder="1" applyAlignment="1">
      <alignment horizontal="center" vertical="center" wrapText="1"/>
    </xf>
    <xf numFmtId="0" fontId="19" fillId="0" borderId="60" xfId="0" applyFont="1" applyBorder="1" applyAlignment="1">
      <alignment horizontal="center" vertical="center" wrapText="1"/>
    </xf>
    <xf numFmtId="0" fontId="25" fillId="21" borderId="50" xfId="0" applyFont="1" applyFill="1" applyBorder="1" applyAlignment="1">
      <alignment horizontal="left" wrapText="1"/>
    </xf>
    <xf numFmtId="0" fontId="25" fillId="21" borderId="52" xfId="0" applyFont="1" applyFill="1" applyBorder="1" applyAlignment="1">
      <alignment horizontal="left" wrapText="1"/>
    </xf>
    <xf numFmtId="0" fontId="25" fillId="21" borderId="53" xfId="0" applyFont="1" applyFill="1" applyBorder="1" applyAlignment="1">
      <alignment horizontal="left" wrapText="1"/>
    </xf>
    <xf numFmtId="0" fontId="26" fillId="9" borderId="78" xfId="0" applyFont="1" applyFill="1" applyBorder="1" applyAlignment="1">
      <alignment horizontal="center" vertical="center"/>
    </xf>
    <xf numFmtId="0" fontId="29" fillId="14" borderId="0" xfId="0" applyFont="1" applyFill="1" applyBorder="1" applyAlignment="1">
      <alignment horizontal="left" wrapText="1"/>
    </xf>
  </cellXfs>
  <cellStyles count="32">
    <cellStyle name="Hiperlink" xfId="1" builtinId="8"/>
    <cellStyle name="Moeda" xfId="2" builtinId="4"/>
    <cellStyle name="Moeda 2" xfId="3"/>
    <cellStyle name="Moeda 3" xfId="4"/>
    <cellStyle name="Normal" xfId="0" builtinId="0"/>
    <cellStyle name="Normal 2" xfId="5"/>
    <cellStyle name="Normal 2 2" xfId="6"/>
    <cellStyle name="Normal 2_SINAPI 2008" xfId="7"/>
    <cellStyle name="Porcentagem" xfId="8" builtinId="5"/>
    <cellStyle name="Porcentagem 2" xfId="9"/>
    <cellStyle name="Porcentagem 3" xfId="10"/>
    <cellStyle name="Separador de milhares 10" xfId="11"/>
    <cellStyle name="Separador de milhares 11" xfId="12"/>
    <cellStyle name="Separador de milhares 12" xfId="13"/>
    <cellStyle name="Separador de milhares 13" xfId="14"/>
    <cellStyle name="Separador de milhares 2" xfId="15"/>
    <cellStyle name="Separador de milhares 2 2" xfId="16"/>
    <cellStyle name="Separador de milhares 2_SINAPI 2008" xfId="17"/>
    <cellStyle name="Separador de milhares 3" xfId="18"/>
    <cellStyle name="Separador de milhares 4" xfId="19"/>
    <cellStyle name="Separador de milhares 4 2" xfId="20"/>
    <cellStyle name="Separador de milhares 4 3" xfId="21"/>
    <cellStyle name="Separador de milhares 5" xfId="22"/>
    <cellStyle name="Separador de milhares 6" xfId="23"/>
    <cellStyle name="Separador de milhares 6 2" xfId="24"/>
    <cellStyle name="Separador de milhares 7" xfId="25"/>
    <cellStyle name="Separador de milhares 8" xfId="26"/>
    <cellStyle name="Separador de milhares 9" xfId="27"/>
    <cellStyle name="Título 1 1" xfId="28"/>
    <cellStyle name="Título 1 1 1" xfId="29"/>
    <cellStyle name="Vírgula" xfId="30" builtinId="3"/>
    <cellStyle name="Vírgula 2" xfId="3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733425</xdr:colOff>
      <xdr:row>68</xdr:row>
      <xdr:rowOff>85725</xdr:rowOff>
    </xdr:from>
    <xdr:to>
      <xdr:col>13</xdr:col>
      <xdr:colOff>285750</xdr:colOff>
      <xdr:row>93</xdr:row>
      <xdr:rowOff>142875</xdr:rowOff>
    </xdr:to>
    <xdr:pic>
      <xdr:nvPicPr>
        <xdr:cNvPr id="41780" name="Imagem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48625" y="11391900"/>
          <a:ext cx="7267575" cy="410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47625</xdr:colOff>
      <xdr:row>0</xdr:row>
      <xdr:rowOff>142875</xdr:rowOff>
    </xdr:from>
    <xdr:to>
      <xdr:col>0</xdr:col>
      <xdr:colOff>1571625</xdr:colOff>
      <xdr:row>4</xdr:row>
      <xdr:rowOff>57150</xdr:rowOff>
    </xdr:to>
    <xdr:pic>
      <xdr:nvPicPr>
        <xdr:cNvPr id="41781" name="Imagem 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42875"/>
          <a:ext cx="152400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285750</xdr:colOff>
      <xdr:row>0</xdr:row>
      <xdr:rowOff>114300</xdr:rowOff>
    </xdr:from>
    <xdr:to>
      <xdr:col>7</xdr:col>
      <xdr:colOff>9525</xdr:colOff>
      <xdr:row>4</xdr:row>
      <xdr:rowOff>19050</xdr:rowOff>
    </xdr:to>
    <xdr:pic>
      <xdr:nvPicPr>
        <xdr:cNvPr id="41782" name="Imagem 2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72475" y="114300"/>
          <a:ext cx="20383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123825</xdr:colOff>
      <xdr:row>20</xdr:row>
      <xdr:rowOff>28575</xdr:rowOff>
    </xdr:from>
    <xdr:to>
      <xdr:col>8</xdr:col>
      <xdr:colOff>390525</xdr:colOff>
      <xdr:row>26</xdr:row>
      <xdr:rowOff>95250</xdr:rowOff>
    </xdr:to>
    <xdr:pic>
      <xdr:nvPicPr>
        <xdr:cNvPr id="41783" name="Imagem 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7699" t="41566" r="3471" b="32703"/>
        <a:stretch>
          <a:fillRect/>
        </a:stretch>
      </xdr:blipFill>
      <xdr:spPr bwMode="auto">
        <a:xfrm>
          <a:off x="6553200" y="3381375"/>
          <a:ext cx="5010150" cy="1076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142875</xdr:rowOff>
    </xdr:from>
    <xdr:to>
      <xdr:col>0</xdr:col>
      <xdr:colOff>1571625</xdr:colOff>
      <xdr:row>4</xdr:row>
      <xdr:rowOff>57150</xdr:rowOff>
    </xdr:to>
    <xdr:pic>
      <xdr:nvPicPr>
        <xdr:cNvPr id="42599" name="Imagem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42875"/>
          <a:ext cx="152400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247650</xdr:colOff>
      <xdr:row>0</xdr:row>
      <xdr:rowOff>76200</xdr:rowOff>
    </xdr:from>
    <xdr:to>
      <xdr:col>6</xdr:col>
      <xdr:colOff>733425</xdr:colOff>
      <xdr:row>3</xdr:row>
      <xdr:rowOff>142875</xdr:rowOff>
    </xdr:to>
    <xdr:pic>
      <xdr:nvPicPr>
        <xdr:cNvPr id="42600" name="Imagem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34375" y="76200"/>
          <a:ext cx="202882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200025</xdr:colOff>
      <xdr:row>28</xdr:row>
      <xdr:rowOff>171450</xdr:rowOff>
    </xdr:from>
    <xdr:to>
      <xdr:col>9</xdr:col>
      <xdr:colOff>581025</xdr:colOff>
      <xdr:row>35</xdr:row>
      <xdr:rowOff>47625</xdr:rowOff>
    </xdr:to>
    <xdr:pic>
      <xdr:nvPicPr>
        <xdr:cNvPr id="42601" name="Imagem 1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7699" t="41566" r="3471" b="32703"/>
        <a:stretch>
          <a:fillRect/>
        </a:stretch>
      </xdr:blipFill>
      <xdr:spPr bwMode="auto">
        <a:xfrm>
          <a:off x="7515225" y="4953000"/>
          <a:ext cx="5010150" cy="1076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504825</xdr:colOff>
      <xdr:row>2</xdr:row>
      <xdr:rowOff>57150</xdr:rowOff>
    </xdr:from>
    <xdr:to>
      <xdr:col>1</xdr:col>
      <xdr:colOff>1352550</xdr:colOff>
      <xdr:row>5</xdr:row>
      <xdr:rowOff>76200</xdr:rowOff>
    </xdr:to>
    <xdr:pic>
      <xdr:nvPicPr>
        <xdr:cNvPr id="39409" name="Imagem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390525"/>
          <a:ext cx="84772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76200</xdr:colOff>
      <xdr:row>1</xdr:row>
      <xdr:rowOff>152400</xdr:rowOff>
    </xdr:from>
    <xdr:to>
      <xdr:col>5</xdr:col>
      <xdr:colOff>904875</xdr:colOff>
      <xdr:row>6</xdr:row>
      <xdr:rowOff>28575</xdr:rowOff>
    </xdr:to>
    <xdr:pic>
      <xdr:nvPicPr>
        <xdr:cNvPr id="39410" name="Imagem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67400" y="323850"/>
          <a:ext cx="18669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95250</xdr:rowOff>
    </xdr:from>
    <xdr:to>
      <xdr:col>1</xdr:col>
      <xdr:colOff>1162050</xdr:colOff>
      <xdr:row>5</xdr:row>
      <xdr:rowOff>133350</xdr:rowOff>
    </xdr:to>
    <xdr:pic>
      <xdr:nvPicPr>
        <xdr:cNvPr id="44370" name="Imagem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257175"/>
          <a:ext cx="116205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200025</xdr:colOff>
      <xdr:row>2</xdr:row>
      <xdr:rowOff>47625</xdr:rowOff>
    </xdr:from>
    <xdr:to>
      <xdr:col>1</xdr:col>
      <xdr:colOff>1047750</xdr:colOff>
      <xdr:row>5</xdr:row>
      <xdr:rowOff>66675</xdr:rowOff>
    </xdr:to>
    <xdr:pic>
      <xdr:nvPicPr>
        <xdr:cNvPr id="46370" name="Imagem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381000"/>
          <a:ext cx="84772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114300</xdr:colOff>
      <xdr:row>2</xdr:row>
      <xdr:rowOff>0</xdr:rowOff>
    </xdr:from>
    <xdr:to>
      <xdr:col>5</xdr:col>
      <xdr:colOff>1047750</xdr:colOff>
      <xdr:row>6</xdr:row>
      <xdr:rowOff>38100</xdr:rowOff>
    </xdr:to>
    <xdr:pic>
      <xdr:nvPicPr>
        <xdr:cNvPr id="46371" name="Imagem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81675" y="333375"/>
          <a:ext cx="18669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2</xdr:row>
      <xdr:rowOff>76200</xdr:rowOff>
    </xdr:from>
    <xdr:to>
      <xdr:col>1</xdr:col>
      <xdr:colOff>981075</xdr:colOff>
      <xdr:row>5</xdr:row>
      <xdr:rowOff>95250</xdr:rowOff>
    </xdr:to>
    <xdr:pic>
      <xdr:nvPicPr>
        <xdr:cNvPr id="33349" name="Imagem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409575"/>
          <a:ext cx="84772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57150</xdr:colOff>
      <xdr:row>3</xdr:row>
      <xdr:rowOff>76200</xdr:rowOff>
    </xdr:from>
    <xdr:to>
      <xdr:col>3</xdr:col>
      <xdr:colOff>819150</xdr:colOff>
      <xdr:row>5</xdr:row>
      <xdr:rowOff>28575</xdr:rowOff>
    </xdr:to>
    <xdr:pic>
      <xdr:nvPicPr>
        <xdr:cNvPr id="33350" name="Imagem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571500"/>
          <a:ext cx="7620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238125</xdr:colOff>
      <xdr:row>0</xdr:row>
      <xdr:rowOff>152400</xdr:rowOff>
    </xdr:from>
    <xdr:to>
      <xdr:col>2</xdr:col>
      <xdr:colOff>238125</xdr:colOff>
      <xdr:row>3</xdr:row>
      <xdr:rowOff>47625</xdr:rowOff>
    </xdr:to>
    <xdr:pic>
      <xdr:nvPicPr>
        <xdr:cNvPr id="45385" name="Imagem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152400"/>
          <a:ext cx="6381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904875</xdr:colOff>
      <xdr:row>0</xdr:row>
      <xdr:rowOff>123825</xdr:rowOff>
    </xdr:from>
    <xdr:to>
      <xdr:col>6</xdr:col>
      <xdr:colOff>457200</xdr:colOff>
      <xdr:row>3</xdr:row>
      <xdr:rowOff>66675</xdr:rowOff>
    </xdr:to>
    <xdr:pic>
      <xdr:nvPicPr>
        <xdr:cNvPr id="45386" name="Imagem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9325" y="123825"/>
          <a:ext cx="117157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B1:Y33"/>
  <sheetViews>
    <sheetView showGridLines="0" zoomScaleNormal="100" zoomScaleSheetLayoutView="100" workbookViewId="0">
      <selection activeCell="E21" sqref="E21"/>
    </sheetView>
  </sheetViews>
  <sheetFormatPr defaultColWidth="11.42578125" defaultRowHeight="12.75" x14ac:dyDescent="0.2"/>
  <cols>
    <col min="1" max="1" width="5.42578125" style="6" customWidth="1"/>
    <col min="2" max="2" width="14.140625" style="3" bestFit="1" customWidth="1"/>
    <col min="3" max="3" width="40.42578125" style="6" customWidth="1"/>
    <col min="4" max="4" width="22.140625" style="3" bestFit="1" customWidth="1"/>
    <col min="5" max="5" width="12.7109375" style="3" customWidth="1"/>
    <col min="6" max="6" width="13.140625" style="3" bestFit="1" customWidth="1"/>
    <col min="7" max="7" width="10.42578125" style="3" bestFit="1" customWidth="1"/>
    <col min="8" max="8" width="7.28515625" style="3" bestFit="1" customWidth="1"/>
    <col min="9" max="9" width="6.7109375" style="3" customWidth="1"/>
    <col min="10" max="10" width="13.7109375" style="3" bestFit="1" customWidth="1"/>
    <col min="11" max="11" width="14.140625" style="3" bestFit="1" customWidth="1"/>
    <col min="12" max="12" width="11.42578125" style="6"/>
    <col min="13" max="13" width="12.7109375" style="6" customWidth="1"/>
    <col min="14" max="16384" width="11.42578125" style="6"/>
  </cols>
  <sheetData>
    <row r="1" spans="2:25" s="25" customFormat="1" ht="13.5" thickBot="1" x14ac:dyDescent="0.25">
      <c r="B1" s="72"/>
      <c r="C1" s="73"/>
      <c r="D1" s="74"/>
      <c r="E1" s="74"/>
      <c r="F1" s="74"/>
      <c r="G1" s="74"/>
      <c r="H1" s="74"/>
      <c r="I1" s="74"/>
      <c r="J1" s="74"/>
      <c r="K1" s="74"/>
    </row>
    <row r="2" spans="2:25" s="26" customFormat="1" ht="64.5" thickBot="1" x14ac:dyDescent="0.25">
      <c r="B2" s="44" t="s">
        <v>161</v>
      </c>
      <c r="C2" s="42" t="s">
        <v>162</v>
      </c>
      <c r="D2" s="42" t="s">
        <v>0</v>
      </c>
      <c r="E2" s="42" t="s">
        <v>200</v>
      </c>
      <c r="F2" s="42" t="s">
        <v>201</v>
      </c>
      <c r="G2" s="42" t="s">
        <v>185</v>
      </c>
      <c r="H2" s="42" t="s">
        <v>142</v>
      </c>
      <c r="I2" s="42" t="s">
        <v>193</v>
      </c>
      <c r="J2" s="42" t="s">
        <v>143</v>
      </c>
      <c r="K2" s="42" t="s">
        <v>184</v>
      </c>
      <c r="L2" s="77" t="s">
        <v>52</v>
      </c>
      <c r="M2" s="77" t="s">
        <v>183</v>
      </c>
      <c r="N2" s="42" t="s">
        <v>186</v>
      </c>
      <c r="O2" s="42" t="s">
        <v>187</v>
      </c>
      <c r="P2" s="42" t="s">
        <v>195</v>
      </c>
      <c r="Q2" s="42" t="s">
        <v>196</v>
      </c>
      <c r="R2" s="42" t="s">
        <v>197</v>
      </c>
      <c r="S2" s="42" t="s">
        <v>198</v>
      </c>
      <c r="T2" s="42" t="s">
        <v>199</v>
      </c>
      <c r="U2" s="42" t="s">
        <v>188</v>
      </c>
      <c r="V2" s="42" t="s">
        <v>189</v>
      </c>
      <c r="W2" s="42" t="s">
        <v>190</v>
      </c>
      <c r="X2" s="42" t="s">
        <v>191</v>
      </c>
      <c r="Y2" s="43" t="s">
        <v>192</v>
      </c>
    </row>
    <row r="3" spans="2:25" x14ac:dyDescent="0.2">
      <c r="B3" s="70" t="s">
        <v>149</v>
      </c>
      <c r="C3" s="41" t="s">
        <v>148</v>
      </c>
      <c r="D3" s="70" t="s">
        <v>153</v>
      </c>
      <c r="E3" s="70"/>
      <c r="F3" s="70"/>
      <c r="G3" s="70"/>
      <c r="H3" s="70"/>
      <c r="I3" s="70"/>
      <c r="J3" s="70"/>
      <c r="K3" s="70"/>
      <c r="L3" s="76">
        <v>0.8</v>
      </c>
      <c r="M3" s="70">
        <v>36</v>
      </c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</row>
    <row r="4" spans="2:25" x14ac:dyDescent="0.2">
      <c r="B4" s="38" t="s">
        <v>149</v>
      </c>
      <c r="C4" s="36" t="s">
        <v>129</v>
      </c>
      <c r="D4" s="38" t="s">
        <v>153</v>
      </c>
      <c r="E4" s="38"/>
      <c r="F4" s="38"/>
      <c r="G4" s="38"/>
      <c r="H4" s="38"/>
      <c r="I4" s="38"/>
      <c r="J4" s="38"/>
      <c r="K4" s="38"/>
      <c r="L4" s="50">
        <v>0.8</v>
      </c>
      <c r="M4" s="38">
        <v>48</v>
      </c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</row>
    <row r="5" spans="2:25" x14ac:dyDescent="0.2">
      <c r="B5" s="38" t="s">
        <v>149</v>
      </c>
      <c r="C5" s="36" t="s">
        <v>83</v>
      </c>
      <c r="D5" s="38" t="s">
        <v>153</v>
      </c>
      <c r="E5" s="38"/>
      <c r="F5" s="38"/>
      <c r="G5" s="38"/>
      <c r="H5" s="38"/>
      <c r="I5" s="38"/>
      <c r="J5" s="38"/>
      <c r="K5" s="38"/>
      <c r="L5" s="50">
        <v>0.8</v>
      </c>
      <c r="M5" s="38">
        <v>60</v>
      </c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</row>
    <row r="6" spans="2:25" x14ac:dyDescent="0.2">
      <c r="B6" s="38" t="s">
        <v>149</v>
      </c>
      <c r="C6" s="36" t="s">
        <v>114</v>
      </c>
      <c r="D6" s="38" t="s">
        <v>153</v>
      </c>
      <c r="E6" s="38"/>
      <c r="F6" s="38"/>
      <c r="G6" s="38"/>
      <c r="H6" s="38"/>
      <c r="I6" s="38"/>
      <c r="J6" s="38"/>
      <c r="K6" s="38"/>
      <c r="L6" s="50">
        <v>0.8</v>
      </c>
      <c r="M6" s="38">
        <v>48</v>
      </c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</row>
    <row r="7" spans="2:25" x14ac:dyDescent="0.2">
      <c r="B7" s="38" t="s">
        <v>150</v>
      </c>
      <c r="C7" s="36" t="s">
        <v>84</v>
      </c>
      <c r="D7" s="38" t="s">
        <v>153</v>
      </c>
      <c r="E7" s="38"/>
      <c r="F7" s="38"/>
      <c r="G7" s="38"/>
      <c r="H7" s="38"/>
      <c r="I7" s="38"/>
      <c r="J7" s="38"/>
      <c r="K7" s="38"/>
      <c r="L7" s="50">
        <v>0.8</v>
      </c>
      <c r="M7" s="38">
        <v>36</v>
      </c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</row>
    <row r="8" spans="2:25" x14ac:dyDescent="0.2">
      <c r="B8" s="38" t="s">
        <v>150</v>
      </c>
      <c r="C8" s="36" t="s">
        <v>130</v>
      </c>
      <c r="D8" s="38" t="s">
        <v>153</v>
      </c>
      <c r="E8" s="38"/>
      <c r="F8" s="38"/>
      <c r="G8" s="38"/>
      <c r="H8" s="38"/>
      <c r="I8" s="38"/>
      <c r="J8" s="38"/>
      <c r="K8" s="38"/>
      <c r="L8" s="50">
        <v>0.8</v>
      </c>
      <c r="M8" s="38">
        <v>48</v>
      </c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</row>
    <row r="9" spans="2:25" x14ac:dyDescent="0.2">
      <c r="B9" s="38" t="s">
        <v>150</v>
      </c>
      <c r="C9" s="36" t="s">
        <v>86</v>
      </c>
      <c r="D9" s="38" t="s">
        <v>153</v>
      </c>
      <c r="E9" s="38"/>
      <c r="F9" s="38"/>
      <c r="G9" s="38"/>
      <c r="H9" s="38"/>
      <c r="I9" s="38"/>
      <c r="J9" s="38"/>
      <c r="K9" s="38"/>
      <c r="L9" s="50">
        <v>0.8</v>
      </c>
      <c r="M9" s="38">
        <v>60</v>
      </c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</row>
    <row r="10" spans="2:25" x14ac:dyDescent="0.2">
      <c r="B10" s="38" t="s">
        <v>150</v>
      </c>
      <c r="C10" s="36" t="s">
        <v>113</v>
      </c>
      <c r="D10" s="38" t="s">
        <v>153</v>
      </c>
      <c r="E10" s="38"/>
      <c r="F10" s="38"/>
      <c r="G10" s="38"/>
      <c r="H10" s="38"/>
      <c r="I10" s="38"/>
      <c r="J10" s="38"/>
      <c r="K10" s="38"/>
      <c r="L10" s="50">
        <v>0.8</v>
      </c>
      <c r="M10" s="38">
        <v>48</v>
      </c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</row>
    <row r="11" spans="2:25" x14ac:dyDescent="0.2">
      <c r="B11" s="38" t="s">
        <v>152</v>
      </c>
      <c r="C11" s="36" t="s">
        <v>15</v>
      </c>
      <c r="D11" s="38" t="s">
        <v>153</v>
      </c>
      <c r="E11" s="38"/>
      <c r="F11" s="38"/>
      <c r="G11" s="38"/>
      <c r="H11" s="38"/>
      <c r="I11" s="38"/>
      <c r="J11" s="38"/>
      <c r="K11" s="38"/>
      <c r="L11" s="50">
        <v>0.8</v>
      </c>
      <c r="M11" s="38">
        <v>36</v>
      </c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</row>
    <row r="12" spans="2:25" x14ac:dyDescent="0.2">
      <c r="B12" s="38" t="s">
        <v>151</v>
      </c>
      <c r="C12" s="36" t="s">
        <v>16</v>
      </c>
      <c r="D12" s="38" t="s">
        <v>153</v>
      </c>
      <c r="E12" s="38"/>
      <c r="F12" s="38"/>
      <c r="G12" s="38"/>
      <c r="H12" s="38"/>
      <c r="I12" s="38"/>
      <c r="J12" s="38"/>
      <c r="K12" s="38"/>
      <c r="L12" s="50">
        <v>0.8</v>
      </c>
      <c r="M12" s="38">
        <v>48</v>
      </c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</row>
    <row r="13" spans="2:25" x14ac:dyDescent="0.2">
      <c r="B13" s="38" t="s">
        <v>149</v>
      </c>
      <c r="C13" s="36" t="s">
        <v>82</v>
      </c>
      <c r="D13" s="38" t="s">
        <v>154</v>
      </c>
      <c r="E13" s="38"/>
      <c r="F13" s="38"/>
      <c r="G13" s="38"/>
      <c r="H13" s="75"/>
      <c r="I13" s="75"/>
      <c r="J13" s="75"/>
      <c r="K13" s="75"/>
      <c r="L13" s="50">
        <v>0.8</v>
      </c>
      <c r="M13" s="38">
        <v>36</v>
      </c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</row>
    <row r="14" spans="2:25" x14ac:dyDescent="0.2">
      <c r="B14" s="38" t="s">
        <v>149</v>
      </c>
      <c r="C14" s="36" t="s">
        <v>83</v>
      </c>
      <c r="D14" s="38" t="s">
        <v>154</v>
      </c>
      <c r="E14" s="38"/>
      <c r="F14" s="38"/>
      <c r="G14" s="37"/>
      <c r="H14" s="75"/>
      <c r="I14" s="75"/>
      <c r="J14" s="75"/>
      <c r="K14" s="75"/>
      <c r="L14" s="50">
        <v>0.8</v>
      </c>
      <c r="M14" s="38">
        <v>48</v>
      </c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</row>
    <row r="15" spans="2:25" x14ac:dyDescent="0.2">
      <c r="B15" s="38" t="s">
        <v>150</v>
      </c>
      <c r="C15" s="36" t="s">
        <v>85</v>
      </c>
      <c r="D15" s="38" t="s">
        <v>154</v>
      </c>
      <c r="E15" s="38"/>
      <c r="F15" s="38"/>
      <c r="G15" s="37"/>
      <c r="H15" s="75"/>
      <c r="I15" s="75"/>
      <c r="J15" s="75"/>
      <c r="K15" s="75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</row>
    <row r="16" spans="2:25" x14ac:dyDescent="0.2">
      <c r="B16" s="38" t="s">
        <v>150</v>
      </c>
      <c r="C16" s="36" t="s">
        <v>86</v>
      </c>
      <c r="D16" s="38" t="s">
        <v>154</v>
      </c>
      <c r="E16" s="38"/>
      <c r="F16" s="38"/>
      <c r="G16" s="37"/>
      <c r="H16" s="75"/>
      <c r="I16" s="75"/>
      <c r="J16" s="75"/>
      <c r="K16" s="75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6"/>
    </row>
    <row r="17" spans="2:25" x14ac:dyDescent="0.2">
      <c r="B17" s="38" t="s">
        <v>152</v>
      </c>
      <c r="C17" s="36" t="s">
        <v>15</v>
      </c>
      <c r="D17" s="38" t="s">
        <v>154</v>
      </c>
      <c r="E17" s="38"/>
      <c r="F17" s="38"/>
      <c r="G17" s="37"/>
      <c r="H17" s="75"/>
      <c r="I17" s="75"/>
      <c r="J17" s="75"/>
      <c r="K17" s="75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6"/>
    </row>
    <row r="18" spans="2:25" x14ac:dyDescent="0.2">
      <c r="B18" s="38" t="s">
        <v>151</v>
      </c>
      <c r="C18" s="36" t="s">
        <v>16</v>
      </c>
      <c r="D18" s="38" t="s">
        <v>154</v>
      </c>
      <c r="E18" s="38"/>
      <c r="F18" s="38"/>
      <c r="G18" s="37"/>
      <c r="H18" s="75"/>
      <c r="I18" s="75"/>
      <c r="J18" s="75"/>
      <c r="K18" s="75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</row>
    <row r="19" spans="2:25" x14ac:dyDescent="0.2">
      <c r="B19" s="38" t="s">
        <v>149</v>
      </c>
      <c r="C19" s="36" t="s">
        <v>144</v>
      </c>
      <c r="D19" s="38" t="s">
        <v>155</v>
      </c>
      <c r="E19" s="38"/>
      <c r="F19" s="38"/>
      <c r="G19" s="38"/>
      <c r="H19" s="75"/>
      <c r="I19" s="75"/>
      <c r="J19" s="75"/>
      <c r="K19" s="75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</row>
    <row r="20" spans="2:25" x14ac:dyDescent="0.2">
      <c r="B20" s="38" t="s">
        <v>152</v>
      </c>
      <c r="C20" s="36" t="s">
        <v>15</v>
      </c>
      <c r="D20" s="38" t="s">
        <v>155</v>
      </c>
      <c r="E20" s="38"/>
      <c r="F20" s="38"/>
      <c r="G20" s="37"/>
      <c r="H20" s="75"/>
      <c r="I20" s="75"/>
      <c r="J20" s="75"/>
      <c r="K20" s="75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</row>
    <row r="21" spans="2:25" x14ac:dyDescent="0.2">
      <c r="B21" s="38" t="s">
        <v>151</v>
      </c>
      <c r="C21" s="36" t="s">
        <v>73</v>
      </c>
      <c r="D21" s="38" t="s">
        <v>155</v>
      </c>
      <c r="E21" s="38"/>
      <c r="F21" s="38"/>
      <c r="G21" s="37"/>
      <c r="H21" s="75"/>
      <c r="I21" s="75"/>
      <c r="J21" s="75"/>
      <c r="K21" s="75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</row>
    <row r="22" spans="2:25" x14ac:dyDescent="0.2">
      <c r="B22" s="38" t="s">
        <v>157</v>
      </c>
      <c r="C22" s="36" t="s">
        <v>109</v>
      </c>
      <c r="D22" s="38" t="s">
        <v>156</v>
      </c>
      <c r="E22" s="38"/>
      <c r="F22" s="38"/>
      <c r="G22" s="38"/>
      <c r="H22" s="75"/>
      <c r="I22" s="75"/>
      <c r="J22" s="75"/>
      <c r="K22" s="75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</row>
    <row r="23" spans="2:25" x14ac:dyDescent="0.2">
      <c r="B23" s="38" t="s">
        <v>151</v>
      </c>
      <c r="C23" s="36" t="s">
        <v>73</v>
      </c>
      <c r="D23" s="38" t="s">
        <v>156</v>
      </c>
      <c r="E23" s="38"/>
      <c r="F23" s="38"/>
      <c r="G23" s="37"/>
      <c r="H23" s="75"/>
      <c r="I23" s="75"/>
      <c r="J23" s="75"/>
      <c r="K23" s="75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</row>
    <row r="24" spans="2:25" x14ac:dyDescent="0.2">
      <c r="B24" s="38" t="s">
        <v>160</v>
      </c>
      <c r="C24" s="36" t="s">
        <v>169</v>
      </c>
      <c r="D24" s="38" t="s">
        <v>158</v>
      </c>
      <c r="E24" s="38"/>
      <c r="F24" s="38"/>
      <c r="G24" s="38"/>
      <c r="H24" s="38"/>
      <c r="I24" s="38"/>
      <c r="J24" s="38"/>
      <c r="K24" s="38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</row>
    <row r="25" spans="2:25" x14ac:dyDescent="0.2">
      <c r="B25" s="38" t="s">
        <v>160</v>
      </c>
      <c r="C25" s="36" t="s">
        <v>170</v>
      </c>
      <c r="D25" s="38" t="s">
        <v>158</v>
      </c>
      <c r="E25" s="38"/>
      <c r="F25" s="38"/>
      <c r="G25" s="38"/>
      <c r="H25" s="38"/>
      <c r="I25" s="38"/>
      <c r="J25" s="38"/>
      <c r="K25" s="38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</row>
    <row r="26" spans="2:25" x14ac:dyDescent="0.2">
      <c r="B26" s="38" t="s">
        <v>160</v>
      </c>
      <c r="C26" s="36" t="s">
        <v>171</v>
      </c>
      <c r="D26" s="38" t="s">
        <v>158</v>
      </c>
      <c r="E26" s="38"/>
      <c r="F26" s="38"/>
      <c r="G26" s="38"/>
      <c r="H26" s="38"/>
      <c r="I26" s="38"/>
      <c r="J26" s="38"/>
      <c r="K26" s="38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</row>
    <row r="27" spans="2:25" x14ac:dyDescent="0.2">
      <c r="B27" s="38" t="s">
        <v>160</v>
      </c>
      <c r="C27" s="36" t="s">
        <v>172</v>
      </c>
      <c r="D27" s="38" t="s">
        <v>158</v>
      </c>
      <c r="E27" s="38"/>
      <c r="F27" s="38"/>
      <c r="G27" s="38"/>
      <c r="H27" s="38"/>
      <c r="I27" s="38"/>
      <c r="J27" s="38"/>
      <c r="K27" s="38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</row>
    <row r="28" spans="2:25" x14ac:dyDescent="0.2">
      <c r="B28" s="38" t="s">
        <v>160</v>
      </c>
      <c r="C28" s="36" t="s">
        <v>173</v>
      </c>
      <c r="D28" s="38" t="s">
        <v>158</v>
      </c>
      <c r="E28" s="38"/>
      <c r="F28" s="38"/>
      <c r="G28" s="38"/>
      <c r="H28" s="38"/>
      <c r="I28" s="38"/>
      <c r="J28" s="38"/>
      <c r="K28" s="38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</row>
    <row r="29" spans="2:25" x14ac:dyDescent="0.2">
      <c r="B29" s="38" t="s">
        <v>160</v>
      </c>
      <c r="C29" s="36" t="s">
        <v>174</v>
      </c>
      <c r="D29" s="38" t="s">
        <v>158</v>
      </c>
      <c r="E29" s="38"/>
      <c r="F29" s="38"/>
      <c r="G29" s="38"/>
      <c r="H29" s="38"/>
      <c r="I29" s="38"/>
      <c r="J29" s="38"/>
      <c r="K29" s="38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</row>
    <row r="30" spans="2:25" x14ac:dyDescent="0.2">
      <c r="B30" s="38" t="s">
        <v>160</v>
      </c>
      <c r="C30" s="36" t="s">
        <v>175</v>
      </c>
      <c r="D30" s="38" t="s">
        <v>158</v>
      </c>
      <c r="E30" s="38"/>
      <c r="F30" s="38"/>
      <c r="G30" s="38"/>
      <c r="H30" s="38"/>
      <c r="I30" s="38"/>
      <c r="J30" s="38"/>
      <c r="K30" s="38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</row>
    <row r="31" spans="2:25" x14ac:dyDescent="0.2">
      <c r="B31" s="38" t="s">
        <v>160</v>
      </c>
      <c r="C31" s="36" t="s">
        <v>176</v>
      </c>
      <c r="D31" s="38" t="s">
        <v>158</v>
      </c>
      <c r="E31" s="38"/>
      <c r="F31" s="38"/>
      <c r="G31" s="38"/>
      <c r="H31" s="38"/>
      <c r="I31" s="38"/>
      <c r="J31" s="38"/>
      <c r="K31" s="38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</row>
    <row r="32" spans="2:25" x14ac:dyDescent="0.2">
      <c r="B32" s="38" t="s">
        <v>159</v>
      </c>
      <c r="C32" s="36" t="s">
        <v>80</v>
      </c>
      <c r="D32" s="38" t="s">
        <v>158</v>
      </c>
      <c r="E32" s="38"/>
      <c r="F32" s="38"/>
      <c r="G32" s="38"/>
      <c r="H32" s="38"/>
      <c r="I32" s="38"/>
      <c r="J32" s="38"/>
      <c r="K32" s="38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</row>
    <row r="33" spans="2:25" x14ac:dyDescent="0.2">
      <c r="B33" s="38" t="s">
        <v>151</v>
      </c>
      <c r="C33" s="36" t="s">
        <v>79</v>
      </c>
      <c r="D33" s="38" t="s">
        <v>158</v>
      </c>
      <c r="E33" s="38"/>
      <c r="F33" s="38"/>
      <c r="G33" s="38"/>
      <c r="H33" s="38"/>
      <c r="I33" s="38"/>
      <c r="J33" s="38"/>
      <c r="K33" s="38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</row>
  </sheetData>
  <printOptions horizontalCentered="1"/>
  <pageMargins left="1.1811023622047245" right="0.19685039370078741" top="0.55118110236220474" bottom="0.39370078740157483" header="0.51181102362204722" footer="0.51181102362204722"/>
  <pageSetup paperSize="9" scale="73" firstPageNumber="0" fitToHeight="4" orientation="portrait" horizontalDpi="300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5"/>
  <sheetViews>
    <sheetView showGridLines="0" zoomScaleNormal="100" workbookViewId="0">
      <selection activeCell="D3" sqref="D3:E15"/>
    </sheetView>
  </sheetViews>
  <sheetFormatPr defaultColWidth="8.7109375" defaultRowHeight="12.75" x14ac:dyDescent="0.2"/>
  <cols>
    <col min="1" max="1" width="2" customWidth="1"/>
    <col min="2" max="2" width="21.42578125" style="29" bestFit="1" customWidth="1"/>
    <col min="3" max="3" width="21.42578125" style="29" customWidth="1"/>
    <col min="4" max="4" width="18.85546875" style="29" customWidth="1"/>
    <col min="5" max="5" width="22.85546875" style="29" customWidth="1"/>
    <col min="6" max="6" width="16.140625" customWidth="1"/>
  </cols>
  <sheetData>
    <row r="1" spans="2:6" ht="13.5" thickBot="1" x14ac:dyDescent="0.25">
      <c r="B1" s="5"/>
      <c r="C1" s="5"/>
    </row>
    <row r="2" spans="2:6" ht="22.5" customHeight="1" x14ac:dyDescent="0.3">
      <c r="B2" s="400" t="s">
        <v>147</v>
      </c>
      <c r="C2" s="401" t="s">
        <v>715</v>
      </c>
      <c r="D2" s="401" t="s">
        <v>705</v>
      </c>
      <c r="E2" s="401" t="s">
        <v>706</v>
      </c>
      <c r="F2" s="402" t="s">
        <v>146</v>
      </c>
    </row>
    <row r="3" spans="2:6" x14ac:dyDescent="0.2">
      <c r="B3" s="403" t="s">
        <v>43</v>
      </c>
      <c r="C3" s="545"/>
      <c r="D3" s="508"/>
      <c r="E3" s="508"/>
      <c r="F3" s="551">
        <f>(D3+E3)/2</f>
        <v>0</v>
      </c>
    </row>
    <row r="4" spans="2:6" x14ac:dyDescent="0.2">
      <c r="B4" s="404" t="s">
        <v>44</v>
      </c>
      <c r="C4" s="546"/>
      <c r="D4" s="509"/>
      <c r="E4" s="509"/>
      <c r="F4" s="551">
        <f t="shared" ref="F4:F15" si="0">(D4+E4)/2</f>
        <v>0</v>
      </c>
    </row>
    <row r="5" spans="2:6" x14ac:dyDescent="0.2">
      <c r="B5" s="404" t="s">
        <v>45</v>
      </c>
      <c r="C5" s="545"/>
      <c r="D5" s="508"/>
      <c r="E5" s="508"/>
      <c r="F5" s="551">
        <f t="shared" si="0"/>
        <v>0</v>
      </c>
    </row>
    <row r="6" spans="2:6" x14ac:dyDescent="0.2">
      <c r="B6" s="404" t="s">
        <v>48</v>
      </c>
      <c r="C6" s="546"/>
      <c r="D6" s="509"/>
      <c r="E6" s="509"/>
      <c r="F6" s="551">
        <f t="shared" si="0"/>
        <v>0</v>
      </c>
    </row>
    <row r="7" spans="2:6" x14ac:dyDescent="0.2">
      <c r="B7" s="404" t="s">
        <v>131</v>
      </c>
      <c r="C7" s="545"/>
      <c r="D7" s="508"/>
      <c r="E7" s="508"/>
      <c r="F7" s="551">
        <f t="shared" si="0"/>
        <v>0</v>
      </c>
    </row>
    <row r="8" spans="2:6" x14ac:dyDescent="0.2">
      <c r="B8" s="404" t="s">
        <v>122</v>
      </c>
      <c r="C8" s="546"/>
      <c r="D8" s="509"/>
      <c r="E8" s="509"/>
      <c r="F8" s="551">
        <f t="shared" si="0"/>
        <v>0</v>
      </c>
    </row>
    <row r="9" spans="2:6" x14ac:dyDescent="0.2">
      <c r="B9" s="404" t="s">
        <v>123</v>
      </c>
      <c r="C9" s="545"/>
      <c r="D9" s="508"/>
      <c r="E9" s="508"/>
      <c r="F9" s="551">
        <f t="shared" si="0"/>
        <v>0</v>
      </c>
    </row>
    <row r="10" spans="2:6" x14ac:dyDescent="0.2">
      <c r="B10" s="404" t="s">
        <v>46</v>
      </c>
      <c r="C10" s="546"/>
      <c r="D10" s="509"/>
      <c r="E10" s="509"/>
      <c r="F10" s="551">
        <f t="shared" si="0"/>
        <v>0</v>
      </c>
    </row>
    <row r="11" spans="2:6" x14ac:dyDescent="0.2">
      <c r="B11" s="404" t="s">
        <v>87</v>
      </c>
      <c r="C11" s="545"/>
      <c r="D11" s="508"/>
      <c r="E11" s="508"/>
      <c r="F11" s="551">
        <f t="shared" si="0"/>
        <v>0</v>
      </c>
    </row>
    <row r="12" spans="2:6" x14ac:dyDescent="0.2">
      <c r="B12" s="404" t="s">
        <v>120</v>
      </c>
      <c r="C12" s="546"/>
      <c r="D12" s="509"/>
      <c r="E12" s="509"/>
      <c r="F12" s="551">
        <f t="shared" si="0"/>
        <v>0</v>
      </c>
    </row>
    <row r="13" spans="2:6" x14ac:dyDescent="0.2">
      <c r="B13" s="404" t="s">
        <v>646</v>
      </c>
      <c r="C13" s="546"/>
      <c r="D13" s="509"/>
      <c r="E13" s="509"/>
      <c r="F13" s="551">
        <f t="shared" si="0"/>
        <v>0</v>
      </c>
    </row>
    <row r="14" spans="2:6" x14ac:dyDescent="0.2">
      <c r="B14" s="404" t="s">
        <v>145</v>
      </c>
      <c r="C14" s="545"/>
      <c r="D14" s="508"/>
      <c r="E14" s="508"/>
      <c r="F14" s="551">
        <f t="shared" si="0"/>
        <v>0</v>
      </c>
    </row>
    <row r="15" spans="2:6" ht="12.6" customHeight="1" thickBot="1" x14ac:dyDescent="0.25">
      <c r="B15" s="405" t="s">
        <v>134</v>
      </c>
      <c r="C15" s="547"/>
      <c r="D15" s="510"/>
      <c r="E15" s="510"/>
      <c r="F15" s="552">
        <f t="shared" si="0"/>
        <v>0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27"/>
  <sheetViews>
    <sheetView showGridLines="0" topLeftCell="A3" workbookViewId="0">
      <selection activeCell="A36" sqref="A36"/>
    </sheetView>
  </sheetViews>
  <sheetFormatPr defaultColWidth="8.85546875" defaultRowHeight="12.75" x14ac:dyDescent="0.2"/>
  <cols>
    <col min="1" max="1" width="83" style="6" customWidth="1"/>
    <col min="2" max="2" width="19.140625" style="6" customWidth="1"/>
    <col min="3" max="9" width="8.85546875" style="6"/>
    <col min="10" max="10" width="17.28515625" style="6" bestFit="1" customWidth="1"/>
    <col min="11" max="11" width="11.7109375" style="6" customWidth="1"/>
    <col min="12" max="16384" width="8.85546875" style="6"/>
  </cols>
  <sheetData>
    <row r="2" spans="1:2" ht="37.5" x14ac:dyDescent="0.3">
      <c r="A2" s="549" t="s">
        <v>662</v>
      </c>
      <c r="B2" s="246"/>
    </row>
    <row r="3" spans="1:2" ht="13.5" thickBot="1" x14ac:dyDescent="0.25"/>
    <row r="4" spans="1:2" x14ac:dyDescent="0.2">
      <c r="A4" s="420" t="s">
        <v>660</v>
      </c>
      <c r="B4" s="421" t="s">
        <v>661</v>
      </c>
    </row>
    <row r="5" spans="1:2" x14ac:dyDescent="0.2">
      <c r="A5" s="422" t="s">
        <v>653</v>
      </c>
      <c r="B5" s="423"/>
    </row>
    <row r="6" spans="1:2" x14ac:dyDescent="0.2">
      <c r="A6" s="422" t="s">
        <v>654</v>
      </c>
      <c r="B6" s="423"/>
    </row>
    <row r="7" spans="1:2" x14ac:dyDescent="0.2">
      <c r="A7" s="422" t="s">
        <v>655</v>
      </c>
      <c r="B7" s="423"/>
    </row>
    <row r="8" spans="1:2" x14ac:dyDescent="0.2">
      <c r="A8" s="422" t="s">
        <v>656</v>
      </c>
      <c r="B8" s="423"/>
    </row>
    <row r="9" spans="1:2" x14ac:dyDescent="0.2">
      <c r="A9" s="422" t="s">
        <v>657</v>
      </c>
      <c r="B9" s="423"/>
    </row>
    <row r="10" spans="1:2" x14ac:dyDescent="0.2">
      <c r="A10" s="422" t="s">
        <v>658</v>
      </c>
      <c r="B10" s="423"/>
    </row>
    <row r="11" spans="1:2" ht="13.5" thickBot="1" x14ac:dyDescent="0.25">
      <c r="A11" s="424" t="s">
        <v>659</v>
      </c>
      <c r="B11" s="425">
        <f>(B10+B9+B8+B7+B6+B5)/6</f>
        <v>0</v>
      </c>
    </row>
    <row r="12" spans="1:2" ht="13.5" thickBot="1" x14ac:dyDescent="0.25"/>
    <row r="13" spans="1:2" x14ac:dyDescent="0.2">
      <c r="A13" s="426" t="s">
        <v>682</v>
      </c>
      <c r="B13" s="427"/>
    </row>
    <row r="14" spans="1:2" ht="13.5" thickBot="1" x14ac:dyDescent="0.25">
      <c r="A14" s="428" t="s">
        <v>707</v>
      </c>
      <c r="B14" s="517"/>
    </row>
    <row r="15" spans="1:2" ht="13.5" thickBot="1" x14ac:dyDescent="0.25"/>
    <row r="16" spans="1:2" x14ac:dyDescent="0.2">
      <c r="A16" s="429" t="s">
        <v>683</v>
      </c>
      <c r="B16" s="427"/>
    </row>
    <row r="17" spans="1:2" ht="13.5" thickBot="1" x14ac:dyDescent="0.25">
      <c r="A17" s="430" t="s">
        <v>708</v>
      </c>
      <c r="B17" s="517"/>
    </row>
    <row r="18" spans="1:2" ht="13.5" thickBot="1" x14ac:dyDescent="0.25">
      <c r="A18" s="431"/>
    </row>
    <row r="19" spans="1:2" x14ac:dyDescent="0.2">
      <c r="A19" s="432" t="s">
        <v>650</v>
      </c>
      <c r="B19" s="427"/>
    </row>
    <row r="20" spans="1:2" x14ac:dyDescent="0.2">
      <c r="A20" s="433"/>
      <c r="B20" s="434"/>
    </row>
    <row r="21" spans="1:2" ht="13.5" thickBot="1" x14ac:dyDescent="0.25">
      <c r="A21" s="430" t="s">
        <v>659</v>
      </c>
      <c r="B21" s="517"/>
    </row>
    <row r="22" spans="1:2" ht="13.5" thickBot="1" x14ac:dyDescent="0.25">
      <c r="A22" s="435"/>
    </row>
    <row r="23" spans="1:2" x14ac:dyDescent="0.2">
      <c r="A23" s="436" t="s">
        <v>651</v>
      </c>
      <c r="B23" s="427"/>
    </row>
    <row r="24" spans="1:2" ht="13.5" thickBot="1" x14ac:dyDescent="0.25">
      <c r="A24" s="437" t="s">
        <v>709</v>
      </c>
      <c r="B24" s="517"/>
    </row>
    <row r="25" spans="1:2" ht="13.5" thickBot="1" x14ac:dyDescent="0.25">
      <c r="A25" s="431"/>
    </row>
    <row r="26" spans="1:2" x14ac:dyDescent="0.2">
      <c r="A26" s="436" t="s">
        <v>652</v>
      </c>
      <c r="B26" s="427"/>
    </row>
    <row r="27" spans="1:2" ht="13.5" thickBot="1" x14ac:dyDescent="0.25">
      <c r="A27" s="437" t="s">
        <v>710</v>
      </c>
      <c r="B27" s="517"/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J83"/>
  <sheetViews>
    <sheetView showGridLines="0" topLeftCell="A4" zoomScale="115" zoomScaleNormal="115" workbookViewId="0">
      <selection activeCell="A23" sqref="A23"/>
    </sheetView>
  </sheetViews>
  <sheetFormatPr defaultColWidth="11.5703125" defaultRowHeight="12.75" x14ac:dyDescent="0.2"/>
  <cols>
    <col min="1" max="1" width="84.85546875" bestFit="1" customWidth="1"/>
    <col min="2" max="2" width="11.5703125" customWidth="1"/>
    <col min="3" max="3" width="13.28515625" customWidth="1"/>
  </cols>
  <sheetData>
    <row r="6" spans="1:10" s="6" customFormat="1" ht="15" x14ac:dyDescent="0.2">
      <c r="A6" s="158" t="s">
        <v>459</v>
      </c>
      <c r="B6" s="155"/>
      <c r="C6" s="155"/>
      <c r="D6" s="155"/>
      <c r="E6" s="155"/>
      <c r="F6" s="155"/>
      <c r="G6" s="155"/>
      <c r="I6" s="28"/>
    </row>
    <row r="7" spans="1:10" s="6" customFormat="1" ht="15" x14ac:dyDescent="0.25">
      <c r="A7" s="159" t="s">
        <v>466</v>
      </c>
      <c r="B7" s="160" t="s">
        <v>9</v>
      </c>
      <c r="C7" s="161" t="s">
        <v>10</v>
      </c>
      <c r="D7" s="161" t="s">
        <v>467</v>
      </c>
      <c r="E7" s="161"/>
      <c r="F7" s="161"/>
      <c r="G7" s="162"/>
      <c r="I7" s="27"/>
    </row>
    <row r="8" spans="1:10" x14ac:dyDescent="0.2">
      <c r="A8" s="193" t="s">
        <v>454</v>
      </c>
      <c r="B8" s="153" t="s">
        <v>460</v>
      </c>
      <c r="C8" s="153">
        <v>182660</v>
      </c>
      <c r="D8" s="153" t="s">
        <v>461</v>
      </c>
      <c r="E8" s="153"/>
      <c r="H8" s="227" t="s">
        <v>528</v>
      </c>
      <c r="I8" s="227" t="s">
        <v>527</v>
      </c>
      <c r="J8" s="227" t="s">
        <v>529</v>
      </c>
    </row>
    <row r="9" spans="1:10" x14ac:dyDescent="0.2">
      <c r="A9" s="193" t="s">
        <v>455</v>
      </c>
      <c r="B9" s="153" t="s">
        <v>456</v>
      </c>
      <c r="C9" s="153">
        <f>H9</f>
        <v>34800</v>
      </c>
      <c r="D9" s="153" t="s">
        <v>462</v>
      </c>
      <c r="E9" s="153" t="s">
        <v>463</v>
      </c>
      <c r="H9" s="228">
        <f>2900*12</f>
        <v>34800</v>
      </c>
      <c r="I9" s="228">
        <f>150*12</f>
        <v>1800</v>
      </c>
      <c r="J9" s="228">
        <f>7242</f>
        <v>7242</v>
      </c>
    </row>
    <row r="10" spans="1:10" x14ac:dyDescent="0.2">
      <c r="A10" s="193" t="s">
        <v>470</v>
      </c>
      <c r="B10" s="153" t="s">
        <v>457</v>
      </c>
      <c r="C10" s="153">
        <f>C9/12/30</f>
        <v>96.67</v>
      </c>
      <c r="D10" s="153" t="s">
        <v>465</v>
      </c>
      <c r="E10" s="153"/>
    </row>
    <row r="11" spans="1:10" x14ac:dyDescent="0.2">
      <c r="A11" s="193" t="s">
        <v>458</v>
      </c>
      <c r="B11" s="153" t="s">
        <v>464</v>
      </c>
      <c r="C11" s="153">
        <f>(C10*1000)/C8</f>
        <v>0.53</v>
      </c>
      <c r="D11" s="153" t="s">
        <v>465</v>
      </c>
      <c r="E11" s="153"/>
    </row>
    <row r="12" spans="1:10" x14ac:dyDescent="0.2">
      <c r="A12" s="192" t="s">
        <v>483</v>
      </c>
      <c r="B12" s="153" t="s">
        <v>479</v>
      </c>
      <c r="C12" s="153">
        <v>0.25</v>
      </c>
      <c r="D12" s="193" t="s">
        <v>480</v>
      </c>
      <c r="E12" s="153"/>
    </row>
    <row r="13" spans="1:10" s="198" customFormat="1" x14ac:dyDescent="0.2">
      <c r="A13" s="218" t="s">
        <v>508</v>
      </c>
      <c r="B13" s="91" t="s">
        <v>487</v>
      </c>
      <c r="C13" s="91">
        <v>3</v>
      </c>
      <c r="D13" s="219" t="s">
        <v>481</v>
      </c>
      <c r="E13" s="91"/>
    </row>
    <row r="14" spans="1:10" x14ac:dyDescent="0.2">
      <c r="A14" s="196" t="s">
        <v>509</v>
      </c>
      <c r="B14" s="153" t="s">
        <v>487</v>
      </c>
      <c r="C14" s="153">
        <v>1</v>
      </c>
      <c r="D14" s="193" t="s">
        <v>482</v>
      </c>
      <c r="E14" s="153"/>
    </row>
    <row r="15" spans="1:10" x14ac:dyDescent="0.2">
      <c r="A15" s="196" t="s">
        <v>510</v>
      </c>
      <c r="B15" s="153" t="s">
        <v>485</v>
      </c>
      <c r="C15" s="153">
        <v>15</v>
      </c>
      <c r="D15" s="193" t="s">
        <v>488</v>
      </c>
      <c r="E15" s="153"/>
    </row>
    <row r="16" spans="1:10" x14ac:dyDescent="0.2">
      <c r="A16" s="196" t="s">
        <v>511</v>
      </c>
      <c r="B16" s="153" t="s">
        <v>486</v>
      </c>
      <c r="C16" s="153">
        <v>6</v>
      </c>
      <c r="D16" s="193" t="s">
        <v>488</v>
      </c>
      <c r="E16" s="153"/>
    </row>
    <row r="17" spans="1:7" x14ac:dyDescent="0.2">
      <c r="A17" s="215" t="s">
        <v>474</v>
      </c>
      <c r="B17" s="216" t="s">
        <v>9</v>
      </c>
      <c r="C17" s="216">
        <v>3</v>
      </c>
      <c r="D17" s="216" t="s">
        <v>473</v>
      </c>
      <c r="E17" s="216"/>
      <c r="F17" s="214"/>
      <c r="G17" s="214"/>
    </row>
    <row r="18" spans="1:7" x14ac:dyDescent="0.2">
      <c r="E18" s="153"/>
    </row>
    <row r="19" spans="1:7" ht="15" x14ac:dyDescent="0.2">
      <c r="A19" s="158" t="s">
        <v>478</v>
      </c>
      <c r="B19" s="155"/>
      <c r="C19" s="155"/>
      <c r="D19" s="155"/>
      <c r="E19" s="155"/>
      <c r="F19" s="155"/>
      <c r="G19" s="155"/>
    </row>
    <row r="20" spans="1:7" ht="15" x14ac:dyDescent="0.25">
      <c r="A20" s="197" t="s">
        <v>491</v>
      </c>
      <c r="B20" s="160"/>
      <c r="C20" s="161"/>
      <c r="D20" s="161"/>
      <c r="E20" s="161"/>
      <c r="F20" s="161"/>
      <c r="G20" s="162"/>
    </row>
    <row r="21" spans="1:7" ht="13.5" thickBot="1" x14ac:dyDescent="0.25"/>
    <row r="22" spans="1:7" ht="13.5" thickBot="1" x14ac:dyDescent="0.25">
      <c r="A22" s="195" t="s">
        <v>475</v>
      </c>
    </row>
    <row r="23" spans="1:7" x14ac:dyDescent="0.2">
      <c r="A23" s="192" t="s">
        <v>483</v>
      </c>
    </row>
    <row r="24" spans="1:7" x14ac:dyDescent="0.2">
      <c r="A24" s="192" t="s">
        <v>484</v>
      </c>
    </row>
    <row r="25" spans="1:7" ht="13.5" thickBot="1" x14ac:dyDescent="0.25">
      <c r="A25" s="192" t="s">
        <v>490</v>
      </c>
    </row>
    <row r="26" spans="1:7" ht="13.5" thickBot="1" x14ac:dyDescent="0.25">
      <c r="A26" s="200" t="s">
        <v>489</v>
      </c>
      <c r="B26" s="199">
        <f>C12*C13*C15*0.7</f>
        <v>7.875</v>
      </c>
    </row>
    <row r="27" spans="1:7" x14ac:dyDescent="0.2">
      <c r="A27" s="187"/>
    </row>
    <row r="28" spans="1:7" ht="15" x14ac:dyDescent="0.25">
      <c r="A28" s="197" t="s">
        <v>493</v>
      </c>
      <c r="B28" s="160"/>
      <c r="C28" s="161"/>
      <c r="D28" s="161"/>
      <c r="E28" s="161"/>
      <c r="F28" s="161"/>
      <c r="G28" s="162"/>
    </row>
    <row r="29" spans="1:7" ht="13.5" thickBot="1" x14ac:dyDescent="0.25">
      <c r="A29" s="187"/>
    </row>
    <row r="30" spans="1:7" ht="13.5" thickBot="1" x14ac:dyDescent="0.25">
      <c r="A30" s="199" t="s">
        <v>494</v>
      </c>
    </row>
    <row r="31" spans="1:7" x14ac:dyDescent="0.2">
      <c r="A31" s="25" t="s">
        <v>476</v>
      </c>
    </row>
    <row r="32" spans="1:7" ht="13.5" thickBot="1" x14ac:dyDescent="0.25">
      <c r="A32" s="25" t="s">
        <v>477</v>
      </c>
    </row>
    <row r="33" spans="1:7" ht="13.5" thickBot="1" x14ac:dyDescent="0.25">
      <c r="A33" s="201" t="s">
        <v>493</v>
      </c>
      <c r="B33" s="204">
        <f>7/C16</f>
        <v>1.17</v>
      </c>
    </row>
    <row r="35" spans="1:7" ht="15" x14ac:dyDescent="0.25">
      <c r="A35" s="197" t="s">
        <v>492</v>
      </c>
      <c r="B35" s="160"/>
      <c r="C35" s="161"/>
      <c r="D35" s="161"/>
      <c r="E35" s="161"/>
      <c r="F35" s="161"/>
      <c r="G35" s="162"/>
    </row>
    <row r="36" spans="1:7" ht="13.5" thickBot="1" x14ac:dyDescent="0.25">
      <c r="A36" s="187"/>
    </row>
    <row r="37" spans="1:7" ht="13.5" thickBot="1" x14ac:dyDescent="0.25">
      <c r="A37" s="194" t="s">
        <v>468</v>
      </c>
    </row>
    <row r="38" spans="1:7" x14ac:dyDescent="0.2">
      <c r="A38" s="25" t="s">
        <v>470</v>
      </c>
    </row>
    <row r="39" spans="1:7" x14ac:dyDescent="0.2">
      <c r="A39" s="25" t="s">
        <v>472</v>
      </c>
    </row>
    <row r="40" spans="1:7" x14ac:dyDescent="0.2">
      <c r="A40" s="23" t="s">
        <v>471</v>
      </c>
      <c r="B40" s="214"/>
      <c r="C40" s="214"/>
      <c r="D40" s="214"/>
      <c r="E40" s="214"/>
      <c r="F40" s="214"/>
      <c r="G40" s="214"/>
    </row>
    <row r="41" spans="1:7" ht="13.5" thickBot="1" x14ac:dyDescent="0.25">
      <c r="A41" s="25" t="s">
        <v>469</v>
      </c>
    </row>
    <row r="42" spans="1:7" ht="13.5" thickBot="1" x14ac:dyDescent="0.25">
      <c r="A42" s="205" t="s">
        <v>492</v>
      </c>
      <c r="B42" s="217">
        <f>(C10/(B26*C17))*B33</f>
        <v>4.79</v>
      </c>
    </row>
    <row r="43" spans="1:7" ht="13.5" thickBot="1" x14ac:dyDescent="0.25">
      <c r="A43" s="205" t="s">
        <v>512</v>
      </c>
      <c r="B43" s="204">
        <f>(C10/B26)*B33</f>
        <v>14.36</v>
      </c>
    </row>
    <row r="55" spans="1:1" x14ac:dyDescent="0.2">
      <c r="A55" s="192"/>
    </row>
    <row r="56" spans="1:1" x14ac:dyDescent="0.2">
      <c r="A56" s="192"/>
    </row>
    <row r="57" spans="1:1" x14ac:dyDescent="0.2">
      <c r="A57" s="192"/>
    </row>
    <row r="68" spans="1:3" x14ac:dyDescent="0.2">
      <c r="A68" s="187" t="s">
        <v>437</v>
      </c>
    </row>
    <row r="69" spans="1:3" x14ac:dyDescent="0.2">
      <c r="A69" s="187"/>
    </row>
    <row r="70" spans="1:3" x14ac:dyDescent="0.2">
      <c r="A70" s="187" t="s">
        <v>447</v>
      </c>
    </row>
    <row r="71" spans="1:3" x14ac:dyDescent="0.2">
      <c r="A71" s="187" t="s">
        <v>439</v>
      </c>
    </row>
    <row r="72" spans="1:3" x14ac:dyDescent="0.2">
      <c r="A72" s="187" t="s">
        <v>442</v>
      </c>
      <c r="B72" s="188">
        <v>0.25</v>
      </c>
      <c r="C72" s="190" t="s">
        <v>445</v>
      </c>
    </row>
    <row r="73" spans="1:3" x14ac:dyDescent="0.2">
      <c r="A73" s="187" t="s">
        <v>440</v>
      </c>
      <c r="B73" s="188">
        <v>3</v>
      </c>
    </row>
    <row r="74" spans="1:3" x14ac:dyDescent="0.2">
      <c r="A74" s="187" t="s">
        <v>438</v>
      </c>
      <c r="B74" s="188">
        <v>15</v>
      </c>
      <c r="C74" s="190" t="s">
        <v>453</v>
      </c>
    </row>
    <row r="75" spans="1:3" x14ac:dyDescent="0.2">
      <c r="A75" s="187" t="s">
        <v>441</v>
      </c>
      <c r="B75" s="189">
        <v>0.7</v>
      </c>
    </row>
    <row r="76" spans="1:3" x14ac:dyDescent="0.2">
      <c r="A76" s="187" t="s">
        <v>443</v>
      </c>
      <c r="B76" s="188">
        <f>B74*B75*B72*B73</f>
        <v>7.875</v>
      </c>
      <c r="C76" s="190" t="s">
        <v>444</v>
      </c>
    </row>
    <row r="78" spans="1:3" x14ac:dyDescent="0.2">
      <c r="A78" s="190" t="s">
        <v>446</v>
      </c>
      <c r="B78" s="203">
        <f>C10</f>
        <v>96.67</v>
      </c>
      <c r="C78" s="187" t="s">
        <v>444</v>
      </c>
    </row>
    <row r="79" spans="1:3" x14ac:dyDescent="0.2">
      <c r="A79" s="190" t="s">
        <v>448</v>
      </c>
      <c r="B79" s="18">
        <f>B78/B76</f>
        <v>12.28</v>
      </c>
    </row>
    <row r="80" spans="1:3" x14ac:dyDescent="0.2">
      <c r="A80" s="190" t="s">
        <v>449</v>
      </c>
      <c r="B80">
        <f>ROUNDUP(B79,0)</f>
        <v>13</v>
      </c>
    </row>
    <row r="82" spans="1:2" x14ac:dyDescent="0.2">
      <c r="A82" s="190" t="s">
        <v>450</v>
      </c>
    </row>
    <row r="83" spans="1:2" x14ac:dyDescent="0.2">
      <c r="A83" s="190" t="s">
        <v>451</v>
      </c>
      <c r="B83" s="187" t="s">
        <v>452</v>
      </c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N77"/>
  <sheetViews>
    <sheetView showGridLines="0" topLeftCell="A28" zoomScale="115" zoomScaleNormal="115" workbookViewId="0">
      <selection activeCell="C20" sqref="C20"/>
    </sheetView>
  </sheetViews>
  <sheetFormatPr defaultColWidth="11.5703125" defaultRowHeight="12.75" x14ac:dyDescent="0.2"/>
  <cols>
    <col min="1" max="1" width="84.85546875" bestFit="1" customWidth="1"/>
    <col min="2" max="2" width="11.5703125" customWidth="1"/>
    <col min="3" max="3" width="13.28515625" customWidth="1"/>
    <col min="13" max="13" width="16" bestFit="1" customWidth="1"/>
    <col min="15" max="15" width="16" bestFit="1" customWidth="1"/>
  </cols>
  <sheetData>
    <row r="6" spans="1:14" s="6" customFormat="1" ht="15" x14ac:dyDescent="0.2">
      <c r="A6" s="158" t="s">
        <v>459</v>
      </c>
      <c r="B6" s="155"/>
      <c r="C6" s="155"/>
      <c r="D6" s="155"/>
      <c r="E6" s="155"/>
      <c r="F6" s="155"/>
      <c r="G6" s="155"/>
      <c r="I6" s="28"/>
    </row>
    <row r="7" spans="1:14" s="6" customFormat="1" ht="15" x14ac:dyDescent="0.25">
      <c r="A7" s="159" t="s">
        <v>466</v>
      </c>
      <c r="B7" s="160" t="s">
        <v>9</v>
      </c>
      <c r="C7" s="161" t="s">
        <v>10</v>
      </c>
      <c r="D7" s="161" t="s">
        <v>467</v>
      </c>
      <c r="E7" s="161"/>
      <c r="F7" s="161"/>
      <c r="G7" s="162"/>
      <c r="I7" s="27"/>
      <c r="J7" s="6" t="s">
        <v>436</v>
      </c>
    </row>
    <row r="8" spans="1:14" s="6" customFormat="1" x14ac:dyDescent="0.2">
      <c r="A8" s="222" t="s">
        <v>539</v>
      </c>
      <c r="B8" s="207" t="s">
        <v>541</v>
      </c>
      <c r="C8" s="231" t="e">
        <f>#REF!</f>
        <v>#REF!</v>
      </c>
      <c r="D8" s="207"/>
      <c r="E8" s="207"/>
      <c r="F8" s="213"/>
      <c r="G8" s="213"/>
      <c r="I8" s="27"/>
    </row>
    <row r="9" spans="1:14" x14ac:dyDescent="0.2">
      <c r="A9" s="222" t="s">
        <v>524</v>
      </c>
      <c r="B9" s="207" t="s">
        <v>526</v>
      </c>
      <c r="C9" s="231">
        <v>2.44</v>
      </c>
      <c r="D9" s="207" t="s">
        <v>525</v>
      </c>
      <c r="E9" s="207"/>
      <c r="F9" s="213"/>
      <c r="G9" s="213"/>
    </row>
    <row r="10" spans="1:14" x14ac:dyDescent="0.2">
      <c r="A10" s="222" t="s">
        <v>454</v>
      </c>
      <c r="B10" s="207" t="s">
        <v>460</v>
      </c>
      <c r="C10" s="231" t="e">
        <f>C8*C9</f>
        <v>#REF!</v>
      </c>
      <c r="D10" s="207" t="s">
        <v>461</v>
      </c>
      <c r="E10" s="207"/>
      <c r="F10" s="213"/>
      <c r="G10" s="213"/>
      <c r="H10" t="s">
        <v>522</v>
      </c>
    </row>
    <row r="11" spans="1:14" x14ac:dyDescent="0.2">
      <c r="A11" s="222" t="s">
        <v>458</v>
      </c>
      <c r="B11" s="207" t="s">
        <v>464</v>
      </c>
      <c r="C11" s="207" t="e">
        <f>#REF!</f>
        <v>#REF!</v>
      </c>
      <c r="D11" s="207" t="s">
        <v>465</v>
      </c>
      <c r="E11" s="207"/>
      <c r="F11" s="213"/>
      <c r="G11" s="213"/>
      <c r="H11" s="226" t="e">
        <f>H12/H13</f>
        <v>#REF!</v>
      </c>
    </row>
    <row r="12" spans="1:14" x14ac:dyDescent="0.2">
      <c r="A12" s="222" t="s">
        <v>455</v>
      </c>
      <c r="B12" s="207" t="s">
        <v>540</v>
      </c>
      <c r="C12" s="207" t="e">
        <f>C10*C11</f>
        <v>#REF!</v>
      </c>
      <c r="D12" s="207" t="s">
        <v>462</v>
      </c>
      <c r="E12" s="207" t="s">
        <v>463</v>
      </c>
      <c r="F12" s="213"/>
      <c r="G12" s="213"/>
      <c r="H12">
        <f>B35*1000</f>
        <v>6300</v>
      </c>
      <c r="I12" t="s">
        <v>521</v>
      </c>
      <c r="J12" s="234" t="s">
        <v>528</v>
      </c>
      <c r="K12" s="234" t="s">
        <v>527</v>
      </c>
      <c r="L12" s="234" t="s">
        <v>543</v>
      </c>
      <c r="M12" s="234" t="s">
        <v>544</v>
      </c>
    </row>
    <row r="13" spans="1:14" x14ac:dyDescent="0.2">
      <c r="A13" s="222" t="s">
        <v>470</v>
      </c>
      <c r="B13" s="207" t="s">
        <v>457</v>
      </c>
      <c r="C13" s="207" t="e">
        <f>C12/1000</f>
        <v>#REF!</v>
      </c>
      <c r="D13" s="207" t="s">
        <v>465</v>
      </c>
      <c r="E13" s="207"/>
      <c r="F13" s="213"/>
      <c r="G13" s="213"/>
      <c r="H13" s="18" t="e">
        <f>2.44*C11</f>
        <v>#REF!</v>
      </c>
      <c r="I13" t="s">
        <v>520</v>
      </c>
      <c r="J13" s="235">
        <f>2900*12</f>
        <v>34800</v>
      </c>
      <c r="K13" s="235">
        <f>150*12</f>
        <v>1800</v>
      </c>
      <c r="L13" s="235" t="e">
        <f>SUM(#REF!)*#REF!</f>
        <v>#REF!</v>
      </c>
      <c r="M13" s="236" t="e">
        <f>(((J13+K13)/12/30)*1000)/L13</f>
        <v>#REF!</v>
      </c>
      <c r="N13">
        <f>(J13+K13)/365</f>
        <v>100.27397260274</v>
      </c>
    </row>
    <row r="14" spans="1:14" x14ac:dyDescent="0.2">
      <c r="A14" s="206" t="s">
        <v>483</v>
      </c>
      <c r="B14" s="207" t="s">
        <v>479</v>
      </c>
      <c r="C14" s="207">
        <v>0.25</v>
      </c>
      <c r="D14" s="222" t="s">
        <v>480</v>
      </c>
      <c r="E14" s="207"/>
      <c r="F14" s="213"/>
      <c r="G14" s="213"/>
      <c r="J14" s="274"/>
      <c r="M14" s="18"/>
    </row>
    <row r="15" spans="1:14" x14ac:dyDescent="0.2">
      <c r="A15" s="223" t="s">
        <v>508</v>
      </c>
      <c r="B15" s="207" t="s">
        <v>487</v>
      </c>
      <c r="C15" s="207">
        <v>2.4</v>
      </c>
      <c r="D15" s="222" t="s">
        <v>566</v>
      </c>
      <c r="E15" s="207"/>
      <c r="F15" s="213"/>
      <c r="G15" s="213"/>
      <c r="H15" t="s">
        <v>523</v>
      </c>
      <c r="J15" s="234" t="s">
        <v>529</v>
      </c>
      <c r="K15" s="234" t="s">
        <v>542</v>
      </c>
      <c r="L15" s="234" t="s">
        <v>543</v>
      </c>
      <c r="M15" s="234" t="s">
        <v>544</v>
      </c>
    </row>
    <row r="16" spans="1:14" x14ac:dyDescent="0.2">
      <c r="A16" s="223" t="s">
        <v>509</v>
      </c>
      <c r="B16" s="207" t="s">
        <v>487</v>
      </c>
      <c r="C16" s="207">
        <v>1</v>
      </c>
      <c r="D16" s="222" t="s">
        <v>482</v>
      </c>
      <c r="E16" s="207"/>
      <c r="F16" s="213"/>
      <c r="G16" s="213"/>
      <c r="H16" s="226" t="e">
        <f>H13*2</f>
        <v>#REF!</v>
      </c>
      <c r="J16" s="235">
        <f>7242</f>
        <v>7242</v>
      </c>
      <c r="K16" s="235" t="e">
        <f>SUM(J13:N13)</f>
        <v>#REF!</v>
      </c>
      <c r="L16" s="235">
        <v>182660</v>
      </c>
      <c r="M16" s="236">
        <v>0.67</v>
      </c>
    </row>
    <row r="17" spans="1:8" x14ac:dyDescent="0.2">
      <c r="A17" s="223" t="s">
        <v>510</v>
      </c>
      <c r="B17" s="207" t="s">
        <v>485</v>
      </c>
      <c r="C17" s="207">
        <v>15</v>
      </c>
      <c r="D17" s="222" t="s">
        <v>488</v>
      </c>
      <c r="E17" s="207"/>
      <c r="F17" s="213"/>
      <c r="G17" s="213"/>
      <c r="H17" s="226" t="e">
        <f>H12/H16</f>
        <v>#REF!</v>
      </c>
    </row>
    <row r="18" spans="1:8" x14ac:dyDescent="0.2">
      <c r="A18" s="223" t="s">
        <v>511</v>
      </c>
      <c r="B18" s="207" t="s">
        <v>486</v>
      </c>
      <c r="C18" s="207">
        <v>6</v>
      </c>
      <c r="D18" s="222" t="s">
        <v>488</v>
      </c>
      <c r="E18" s="207"/>
      <c r="F18" s="213"/>
      <c r="G18" s="213"/>
    </row>
    <row r="19" spans="1:8" x14ac:dyDescent="0.2">
      <c r="A19" s="215" t="s">
        <v>474</v>
      </c>
      <c r="B19" s="216" t="s">
        <v>9</v>
      </c>
      <c r="C19" s="216">
        <v>3</v>
      </c>
      <c r="D19" s="216" t="s">
        <v>473</v>
      </c>
      <c r="E19" s="216"/>
      <c r="F19" s="214"/>
      <c r="G19" s="214"/>
      <c r="H19">
        <f>2900/26</f>
        <v>111.538461538462</v>
      </c>
    </row>
    <row r="20" spans="1:8" ht="25.5" x14ac:dyDescent="0.2">
      <c r="A20" s="208" t="s">
        <v>499</v>
      </c>
      <c r="B20" s="209" t="s">
        <v>37</v>
      </c>
      <c r="C20" s="209">
        <v>6</v>
      </c>
      <c r="D20" s="210"/>
      <c r="E20" s="211"/>
      <c r="F20" s="210"/>
      <c r="G20" s="210"/>
      <c r="H20">
        <f>H19/15</f>
        <v>7.4358974358974699</v>
      </c>
    </row>
    <row r="21" spans="1:8" x14ac:dyDescent="0.2">
      <c r="A21" s="212" t="s">
        <v>500</v>
      </c>
      <c r="B21" s="209" t="s">
        <v>506</v>
      </c>
      <c r="C21" s="230" t="e">
        <f>#REF!</f>
        <v>#REF!</v>
      </c>
      <c r="D21" s="211"/>
      <c r="E21" s="211"/>
      <c r="F21" s="210"/>
      <c r="G21" s="210"/>
      <c r="H21" s="187"/>
    </row>
    <row r="22" spans="1:8" x14ac:dyDescent="0.2">
      <c r="A22" s="212" t="s">
        <v>505</v>
      </c>
      <c r="B22" s="209"/>
      <c r="C22" s="209">
        <v>10</v>
      </c>
      <c r="D22" s="211"/>
      <c r="E22" s="211"/>
      <c r="F22" s="210"/>
      <c r="G22" s="210"/>
    </row>
    <row r="23" spans="1:8" x14ac:dyDescent="0.2">
      <c r="A23" s="212" t="s">
        <v>501</v>
      </c>
      <c r="B23" s="209" t="s">
        <v>506</v>
      </c>
      <c r="C23" s="209">
        <v>15</v>
      </c>
      <c r="D23" s="210"/>
      <c r="E23" s="210"/>
      <c r="F23" s="210"/>
      <c r="G23" s="210"/>
    </row>
    <row r="24" spans="1:8" x14ac:dyDescent="0.2">
      <c r="A24" s="212" t="s">
        <v>502</v>
      </c>
      <c r="B24" s="209" t="s">
        <v>506</v>
      </c>
      <c r="C24" s="209">
        <v>60</v>
      </c>
      <c r="D24" s="210"/>
      <c r="E24" s="210"/>
      <c r="F24" s="210"/>
      <c r="G24" s="210"/>
    </row>
    <row r="25" spans="1:8" x14ac:dyDescent="0.2">
      <c r="A25" s="212" t="s">
        <v>503</v>
      </c>
      <c r="B25" s="209" t="s">
        <v>506</v>
      </c>
      <c r="C25" s="209">
        <v>58</v>
      </c>
      <c r="D25" s="210"/>
      <c r="E25" s="210"/>
      <c r="F25" s="210"/>
      <c r="G25" s="210"/>
    </row>
    <row r="26" spans="1:8" x14ac:dyDescent="0.2">
      <c r="A26" s="212" t="s">
        <v>507</v>
      </c>
      <c r="B26" s="209" t="str">
        <f>B13</f>
        <v>ton/dia</v>
      </c>
      <c r="C26" s="209" t="e">
        <f>#REF!</f>
        <v>#REF!</v>
      </c>
      <c r="D26" s="210"/>
      <c r="E26" s="210"/>
      <c r="F26" s="210"/>
      <c r="G26" s="210"/>
    </row>
    <row r="27" spans="1:8" x14ac:dyDescent="0.2">
      <c r="A27" s="229" t="s">
        <v>515</v>
      </c>
      <c r="B27" s="209" t="s">
        <v>516</v>
      </c>
      <c r="C27" s="209">
        <v>4</v>
      </c>
      <c r="D27" s="210"/>
      <c r="E27" s="210"/>
      <c r="F27" s="210"/>
      <c r="G27" s="210"/>
    </row>
    <row r="28" spans="1:8" ht="15" x14ac:dyDescent="0.2">
      <c r="A28" s="158" t="s">
        <v>478</v>
      </c>
      <c r="B28" s="155"/>
      <c r="C28" s="155"/>
      <c r="D28" s="155"/>
      <c r="E28" s="155"/>
      <c r="F28" s="155"/>
      <c r="G28" s="155"/>
    </row>
    <row r="29" spans="1:8" ht="15" x14ac:dyDescent="0.25">
      <c r="A29" s="197" t="s">
        <v>491</v>
      </c>
      <c r="B29" s="160"/>
      <c r="C29" s="161"/>
      <c r="D29" s="161"/>
      <c r="E29" s="161"/>
      <c r="F29" s="161"/>
      <c r="G29" s="162"/>
    </row>
    <row r="30" spans="1:8" ht="13.5" thickBot="1" x14ac:dyDescent="0.25"/>
    <row r="31" spans="1:8" ht="13.5" thickBot="1" x14ac:dyDescent="0.25">
      <c r="A31" s="232" t="s">
        <v>475</v>
      </c>
      <c r="B31" t="s">
        <v>538</v>
      </c>
      <c r="C31" s="233">
        <v>0.7</v>
      </c>
    </row>
    <row r="32" spans="1:8" x14ac:dyDescent="0.2">
      <c r="A32" s="192" t="s">
        <v>483</v>
      </c>
      <c r="D32" s="187"/>
    </row>
    <row r="33" spans="1:7" x14ac:dyDescent="0.2">
      <c r="A33" s="192" t="s">
        <v>484</v>
      </c>
      <c r="D33" s="187"/>
    </row>
    <row r="34" spans="1:7" ht="13.5" thickBot="1" x14ac:dyDescent="0.25">
      <c r="A34" s="192" t="s">
        <v>490</v>
      </c>
    </row>
    <row r="35" spans="1:7" ht="13.5" thickBot="1" x14ac:dyDescent="0.25">
      <c r="A35" s="200" t="s">
        <v>489</v>
      </c>
      <c r="B35" s="233">
        <f>C14*C15*C17*C31</f>
        <v>6.3</v>
      </c>
      <c r="E35" s="272"/>
    </row>
    <row r="36" spans="1:7" x14ac:dyDescent="0.2">
      <c r="A36" s="187"/>
    </row>
    <row r="37" spans="1:7" ht="15" x14ac:dyDescent="0.25">
      <c r="A37" s="197" t="s">
        <v>493</v>
      </c>
      <c r="B37" s="160"/>
      <c r="C37" s="161"/>
      <c r="D37" s="161"/>
      <c r="E37" s="161"/>
      <c r="F37" s="161"/>
      <c r="G37" s="162"/>
    </row>
    <row r="38" spans="1:7" ht="13.5" thickBot="1" x14ac:dyDescent="0.25">
      <c r="A38" s="187"/>
    </row>
    <row r="39" spans="1:7" ht="13.5" thickBot="1" x14ac:dyDescent="0.25">
      <c r="A39" s="199" t="s">
        <v>494</v>
      </c>
    </row>
    <row r="40" spans="1:7" x14ac:dyDescent="0.2">
      <c r="A40" s="25" t="s">
        <v>476</v>
      </c>
    </row>
    <row r="41" spans="1:7" ht="13.5" thickBot="1" x14ac:dyDescent="0.25">
      <c r="A41" s="25" t="s">
        <v>477</v>
      </c>
    </row>
    <row r="42" spans="1:7" ht="13.5" thickBot="1" x14ac:dyDescent="0.25">
      <c r="A42" s="201" t="s">
        <v>493</v>
      </c>
      <c r="B42" s="220">
        <f>7/C18</f>
        <v>1.17</v>
      </c>
    </row>
    <row r="44" spans="1:7" ht="15" x14ac:dyDescent="0.25">
      <c r="A44" s="197" t="s">
        <v>492</v>
      </c>
      <c r="B44" s="160"/>
      <c r="C44" s="161"/>
      <c r="D44" s="161"/>
      <c r="E44" s="161"/>
      <c r="F44" s="161"/>
      <c r="G44" s="162"/>
    </row>
    <row r="45" spans="1:7" ht="13.5" thickBot="1" x14ac:dyDescent="0.25">
      <c r="A45" s="187"/>
    </row>
    <row r="46" spans="1:7" ht="13.5" thickBot="1" x14ac:dyDescent="0.25">
      <c r="A46" s="194" t="s">
        <v>468</v>
      </c>
    </row>
    <row r="47" spans="1:7" x14ac:dyDescent="0.2">
      <c r="A47" s="25" t="s">
        <v>470</v>
      </c>
    </row>
    <row r="48" spans="1:7" x14ac:dyDescent="0.2">
      <c r="A48" s="25" t="s">
        <v>472</v>
      </c>
    </row>
    <row r="49" spans="1:7" x14ac:dyDescent="0.2">
      <c r="A49" s="23" t="s">
        <v>471</v>
      </c>
      <c r="B49" s="214"/>
      <c r="C49" s="214"/>
      <c r="D49" s="214"/>
      <c r="E49" s="214"/>
      <c r="F49" s="214"/>
      <c r="G49" s="214"/>
    </row>
    <row r="50" spans="1:7" ht="13.5" thickBot="1" x14ac:dyDescent="0.25">
      <c r="A50" s="25" t="s">
        <v>469</v>
      </c>
    </row>
    <row r="51" spans="1:7" ht="13.5" thickBot="1" x14ac:dyDescent="0.25">
      <c r="A51" s="205" t="s">
        <v>492</v>
      </c>
      <c r="B51" s="224" t="e">
        <f>(C13/(B35*C19))*B42</f>
        <v>#REF!</v>
      </c>
    </row>
    <row r="52" spans="1:7" ht="13.5" thickBot="1" x14ac:dyDescent="0.25">
      <c r="A52" s="205"/>
      <c r="B52" s="220"/>
    </row>
    <row r="53" spans="1:7" x14ac:dyDescent="0.2">
      <c r="A53" s="205"/>
      <c r="B53" s="221"/>
    </row>
    <row r="54" spans="1:7" ht="15" x14ac:dyDescent="0.2">
      <c r="A54" s="158" t="s">
        <v>495</v>
      </c>
      <c r="B54" s="155"/>
      <c r="C54" s="155"/>
      <c r="D54" s="155"/>
      <c r="E54" s="155"/>
      <c r="F54" s="155"/>
      <c r="G54" s="155"/>
    </row>
    <row r="55" spans="1:7" ht="15" x14ac:dyDescent="0.25">
      <c r="A55" s="197" t="s">
        <v>496</v>
      </c>
      <c r="B55" s="160"/>
      <c r="C55" s="161"/>
      <c r="D55" s="161"/>
      <c r="E55" s="161"/>
      <c r="F55" s="161"/>
      <c r="G55" s="162"/>
    </row>
    <row r="56" spans="1:7" ht="13.5" thickBot="1" x14ac:dyDescent="0.25">
      <c r="A56" s="187"/>
    </row>
    <row r="57" spans="1:7" ht="13.5" thickBot="1" x14ac:dyDescent="0.25">
      <c r="A57" s="194" t="s">
        <v>497</v>
      </c>
    </row>
    <row r="59" spans="1:7" x14ac:dyDescent="0.2">
      <c r="A59" s="25" t="s">
        <v>499</v>
      </c>
    </row>
    <row r="60" spans="1:7" x14ac:dyDescent="0.2">
      <c r="A60" s="25" t="s">
        <v>500</v>
      </c>
    </row>
    <row r="61" spans="1:7" x14ac:dyDescent="0.2">
      <c r="A61" s="25" t="s">
        <v>505</v>
      </c>
    </row>
    <row r="62" spans="1:7" x14ac:dyDescent="0.2">
      <c r="A62" s="25" t="s">
        <v>501</v>
      </c>
    </row>
    <row r="63" spans="1:7" x14ac:dyDescent="0.2">
      <c r="A63" s="25" t="s">
        <v>502</v>
      </c>
    </row>
    <row r="64" spans="1:7" x14ac:dyDescent="0.2">
      <c r="A64" s="25" t="s">
        <v>503</v>
      </c>
    </row>
    <row r="65" spans="1:7" ht="13.5" thickBot="1" x14ac:dyDescent="0.25">
      <c r="A65" s="25" t="s">
        <v>504</v>
      </c>
    </row>
    <row r="66" spans="1:7" ht="13.5" thickBot="1" x14ac:dyDescent="0.25">
      <c r="A66" s="205" t="s">
        <v>498</v>
      </c>
      <c r="B66" s="220" t="e">
        <f xml:space="preserve"> 1/C20 * ((C21/C22) + 2 * (C23/C24) + 2 * ((C25/C24) * (C26/B35)))</f>
        <v>#REF!</v>
      </c>
    </row>
    <row r="67" spans="1:7" ht="13.5" thickBot="1" x14ac:dyDescent="0.25">
      <c r="B67" s="220" t="e">
        <f>ROUNDUP(B66,0)</f>
        <v>#REF!</v>
      </c>
    </row>
    <row r="68" spans="1:7" ht="33.75" x14ac:dyDescent="0.2">
      <c r="A68" s="225" t="s">
        <v>514</v>
      </c>
    </row>
    <row r="70" spans="1:7" ht="15" x14ac:dyDescent="0.2">
      <c r="A70" s="158" t="s">
        <v>513</v>
      </c>
      <c r="B70" s="155"/>
      <c r="C70" s="155"/>
      <c r="D70" s="155"/>
      <c r="E70" s="155"/>
      <c r="F70" s="155"/>
      <c r="G70" s="155"/>
    </row>
    <row r="71" spans="1:7" ht="15" x14ac:dyDescent="0.25">
      <c r="A71" s="197" t="s">
        <v>519</v>
      </c>
      <c r="B71" s="160"/>
      <c r="C71" s="161"/>
      <c r="D71" s="161"/>
      <c r="E71" s="161"/>
      <c r="F71" s="161"/>
      <c r="G71" s="162"/>
    </row>
    <row r="72" spans="1:7" ht="13.5" thickBot="1" x14ac:dyDescent="0.25"/>
    <row r="73" spans="1:7" ht="13.5" thickBot="1" x14ac:dyDescent="0.25">
      <c r="A73" s="194" t="s">
        <v>517</v>
      </c>
    </row>
    <row r="74" spans="1:7" ht="13.5" thickBot="1" x14ac:dyDescent="0.25">
      <c r="A74" s="205" t="s">
        <v>518</v>
      </c>
      <c r="B74" s="220">
        <f>B35/C27</f>
        <v>1.58</v>
      </c>
    </row>
    <row r="75" spans="1:7" ht="13.5" thickBot="1" x14ac:dyDescent="0.25">
      <c r="B75" s="220">
        <f>ROUNDUP(B74,0)</f>
        <v>2</v>
      </c>
    </row>
    <row r="77" spans="1:7" x14ac:dyDescent="0.2">
      <c r="A77" s="191"/>
      <c r="B77" s="202"/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2"/>
  <sheetViews>
    <sheetView showGridLines="0" zoomScaleNormal="100" workbookViewId="0">
      <selection activeCell="F11" sqref="B2:F11"/>
    </sheetView>
  </sheetViews>
  <sheetFormatPr defaultRowHeight="12.75" x14ac:dyDescent="0.2"/>
  <cols>
    <col min="1" max="1" width="2.42578125" customWidth="1"/>
    <col min="2" max="2" width="29.42578125" customWidth="1"/>
    <col min="3" max="3" width="13.28515625" customWidth="1"/>
    <col min="4" max="4" width="41.7109375" customWidth="1"/>
    <col min="5" max="5" width="15.5703125" bestFit="1" customWidth="1"/>
    <col min="6" max="6" width="14.28515625" bestFit="1" customWidth="1"/>
    <col min="7" max="7" width="14.28515625" style="198" customWidth="1"/>
    <col min="8" max="10" width="14.28515625" bestFit="1" customWidth="1"/>
    <col min="11" max="11" width="10.42578125" bestFit="1" customWidth="1"/>
    <col min="12" max="12" width="10.7109375" bestFit="1" customWidth="1"/>
  </cols>
  <sheetData>
    <row r="1" spans="2:11" ht="13.5" thickBot="1" x14ac:dyDescent="0.25"/>
    <row r="2" spans="2:11" x14ac:dyDescent="0.2">
      <c r="B2" s="699"/>
      <c r="C2" s="702" t="s">
        <v>712</v>
      </c>
      <c r="D2" s="703"/>
      <c r="E2" s="708"/>
      <c r="F2" s="709"/>
    </row>
    <row r="3" spans="2:11" x14ac:dyDescent="0.2">
      <c r="B3" s="700"/>
      <c r="C3" s="704"/>
      <c r="D3" s="705"/>
      <c r="E3" s="710"/>
      <c r="F3" s="711"/>
    </row>
    <row r="4" spans="2:11" x14ac:dyDescent="0.2">
      <c r="B4" s="700"/>
      <c r="C4" s="704"/>
      <c r="D4" s="705"/>
      <c r="E4" s="710"/>
      <c r="F4" s="711"/>
    </row>
    <row r="5" spans="2:11" x14ac:dyDescent="0.2">
      <c r="B5" s="700"/>
      <c r="C5" s="704"/>
      <c r="D5" s="705"/>
      <c r="E5" s="710"/>
      <c r="F5" s="711"/>
    </row>
    <row r="6" spans="2:11" x14ac:dyDescent="0.2">
      <c r="B6" s="700"/>
      <c r="C6" s="704"/>
      <c r="D6" s="705"/>
      <c r="E6" s="710"/>
      <c r="F6" s="711"/>
    </row>
    <row r="7" spans="2:11" ht="13.5" thickBot="1" x14ac:dyDescent="0.25">
      <c r="B7" s="701"/>
      <c r="C7" s="706"/>
      <c r="D7" s="707"/>
      <c r="E7" s="712"/>
      <c r="F7" s="713"/>
    </row>
    <row r="8" spans="2:11" ht="14.25" x14ac:dyDescent="0.2">
      <c r="B8" s="696" t="s">
        <v>677</v>
      </c>
      <c r="C8" s="697"/>
      <c r="D8" s="697"/>
      <c r="E8" s="697"/>
      <c r="F8" s="698"/>
      <c r="G8" s="456"/>
    </row>
    <row r="9" spans="2:11" ht="42.75" x14ac:dyDescent="0.2">
      <c r="B9" s="483" t="s">
        <v>680</v>
      </c>
      <c r="C9" s="412" t="s">
        <v>675</v>
      </c>
      <c r="D9" s="412" t="s">
        <v>676</v>
      </c>
      <c r="E9" s="419" t="s">
        <v>679</v>
      </c>
      <c r="F9" s="484" t="s">
        <v>681</v>
      </c>
      <c r="G9" s="457"/>
    </row>
    <row r="10" spans="2:11" ht="15" thickBot="1" x14ac:dyDescent="0.25">
      <c r="B10" s="485" t="s">
        <v>674</v>
      </c>
      <c r="C10" s="454"/>
      <c r="D10" s="536"/>
      <c r="E10" s="536"/>
      <c r="F10" s="537"/>
      <c r="G10" s="458"/>
      <c r="K10" s="18"/>
    </row>
    <row r="11" spans="2:11" ht="13.5" thickBot="1" x14ac:dyDescent="0.25">
      <c r="B11" s="538" t="s">
        <v>673</v>
      </c>
      <c r="C11" s="539" t="s">
        <v>678</v>
      </c>
      <c r="D11" s="540">
        <v>3202</v>
      </c>
      <c r="E11" s="540">
        <f>F11/D11</f>
        <v>0</v>
      </c>
      <c r="F11" s="541">
        <f>'COLETA URBANA '!F349</f>
        <v>13.45</v>
      </c>
      <c r="G11" s="476"/>
      <c r="H11" s="226"/>
      <c r="K11" s="18"/>
    </row>
    <row r="15" spans="2:11" x14ac:dyDescent="0.2">
      <c r="B15" s="198"/>
      <c r="C15" s="198"/>
      <c r="D15" s="198"/>
      <c r="E15" s="198"/>
      <c r="F15" s="198"/>
    </row>
    <row r="16" spans="2:11" x14ac:dyDescent="0.2">
      <c r="B16" s="467"/>
      <c r="C16" s="467"/>
      <c r="D16" s="467"/>
      <c r="E16" s="198"/>
      <c r="F16" s="198"/>
    </row>
    <row r="17" spans="2:6" ht="13.9" customHeight="1" x14ac:dyDescent="0.2">
      <c r="B17" s="455"/>
      <c r="C17" s="467"/>
      <c r="D17" s="467"/>
      <c r="E17" s="198"/>
      <c r="F17" s="198"/>
    </row>
    <row r="18" spans="2:6" x14ac:dyDescent="0.2">
      <c r="B18" s="455"/>
      <c r="C18" s="467"/>
      <c r="D18" s="467"/>
      <c r="E18" s="198"/>
      <c r="F18" s="198"/>
    </row>
    <row r="19" spans="2:6" x14ac:dyDescent="0.2">
      <c r="B19" s="455"/>
      <c r="C19" s="467"/>
      <c r="D19" s="198"/>
      <c r="E19" s="198"/>
      <c r="F19" s="198"/>
    </row>
    <row r="20" spans="2:6" x14ac:dyDescent="0.2">
      <c r="B20" s="455"/>
      <c r="C20" s="467"/>
      <c r="D20" s="467"/>
      <c r="E20" s="198"/>
      <c r="F20" s="198"/>
    </row>
    <row r="21" spans="2:6" x14ac:dyDescent="0.2">
      <c r="B21" s="198"/>
      <c r="C21" s="198"/>
      <c r="D21" s="198"/>
      <c r="E21" s="198"/>
      <c r="F21" s="198"/>
    </row>
    <row r="22" spans="2:6" x14ac:dyDescent="0.2">
      <c r="B22" s="467"/>
      <c r="C22" s="198"/>
      <c r="D22" s="198"/>
      <c r="E22" s="198"/>
      <c r="F22" s="198"/>
    </row>
  </sheetData>
  <mergeCells count="4">
    <mergeCell ref="B8:F8"/>
    <mergeCell ref="B2:B7"/>
    <mergeCell ref="C2:D7"/>
    <mergeCell ref="E2:F7"/>
  </mergeCells>
  <pageMargins left="0.511811024" right="0.511811024" top="0.78740157499999996" bottom="0.78740157499999996" header="0.31496062000000002" footer="0.31496062000000002"/>
  <pageSetup paperSize="9" scale="86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218"/>
  <sheetViews>
    <sheetView showGridLines="0" topLeftCell="A120" zoomScale="70" zoomScaleNormal="70" zoomScaleSheetLayoutView="100" workbookViewId="0">
      <selection activeCell="D175" sqref="D175"/>
    </sheetView>
  </sheetViews>
  <sheetFormatPr defaultColWidth="11.42578125" defaultRowHeight="12.75" x14ac:dyDescent="0.2"/>
  <cols>
    <col min="1" max="1" width="4.42578125" style="6" customWidth="1"/>
    <col min="2" max="2" width="42.42578125" style="3" customWidth="1"/>
    <col min="3" max="3" width="25.85546875" style="6" customWidth="1"/>
    <col min="4" max="4" width="22.5703125" style="3" customWidth="1"/>
    <col min="5" max="5" width="18.140625" style="3" customWidth="1"/>
    <col min="6" max="6" width="15" style="3" customWidth="1"/>
    <col min="7" max="7" width="20.5703125" style="3" customWidth="1"/>
    <col min="8" max="8" width="20" style="3" customWidth="1"/>
    <col min="9" max="9" width="22.140625" style="3" customWidth="1"/>
    <col min="10" max="10" width="19.140625" style="3" customWidth="1"/>
    <col min="11" max="11" width="16.85546875" style="3" bestFit="1" customWidth="1"/>
    <col min="12" max="12" width="11.7109375" style="3" customWidth="1"/>
    <col min="13" max="13" width="12" style="3" customWidth="1"/>
    <col min="14" max="15" width="12.7109375" style="3" customWidth="1"/>
    <col min="16" max="17" width="13.42578125" style="3" customWidth="1"/>
    <col min="18" max="18" width="12" style="3" customWidth="1"/>
    <col min="19" max="19" width="12.140625" style="6" customWidth="1"/>
    <col min="20" max="20" width="14.5703125" style="6" customWidth="1"/>
    <col min="21" max="21" width="11.42578125" style="6" customWidth="1"/>
    <col min="22" max="22" width="12.42578125" style="6" customWidth="1"/>
    <col min="23" max="32" width="11.42578125" style="6" customWidth="1"/>
    <col min="33" max="16384" width="11.42578125" style="6"/>
  </cols>
  <sheetData>
    <row r="1" spans="1:27" x14ac:dyDescent="0.2">
      <c r="B1" s="20"/>
      <c r="C1" s="19"/>
    </row>
    <row r="2" spans="1:27" x14ac:dyDescent="0.2">
      <c r="B2" s="20"/>
      <c r="C2" s="19"/>
    </row>
    <row r="3" spans="1:27" x14ac:dyDescent="0.2">
      <c r="B3" s="20"/>
      <c r="C3" s="19"/>
    </row>
    <row r="4" spans="1:27" x14ac:dyDescent="0.2">
      <c r="B4" s="20"/>
      <c r="C4" s="19"/>
    </row>
    <row r="5" spans="1:27" x14ac:dyDescent="0.2">
      <c r="B5" s="20"/>
      <c r="C5" s="19"/>
    </row>
    <row r="6" spans="1:27" x14ac:dyDescent="0.2">
      <c r="B6" s="20"/>
      <c r="C6" s="19"/>
    </row>
    <row r="7" spans="1:27" x14ac:dyDescent="0.2">
      <c r="B7" s="20"/>
      <c r="C7" s="19"/>
      <c r="F7" s="382"/>
    </row>
    <row r="8" spans="1:27" x14ac:dyDescent="0.2">
      <c r="B8" s="20"/>
      <c r="C8" s="19"/>
    </row>
    <row r="9" spans="1:27" x14ac:dyDescent="0.2">
      <c r="A9" s="182">
        <v>1</v>
      </c>
      <c r="B9" s="182" t="s">
        <v>22</v>
      </c>
      <c r="C9" s="183"/>
      <c r="D9" s="184"/>
      <c r="E9" s="184"/>
      <c r="F9" s="184"/>
      <c r="G9" s="184"/>
      <c r="H9" s="259"/>
      <c r="I9" s="259"/>
      <c r="J9" s="259"/>
      <c r="K9" s="259"/>
      <c r="L9" s="259"/>
      <c r="M9" s="259"/>
      <c r="N9" s="259"/>
      <c r="O9" s="259"/>
      <c r="P9" s="259"/>
      <c r="Q9" s="259"/>
      <c r="R9" s="259"/>
      <c r="S9" s="259"/>
      <c r="T9" s="259"/>
      <c r="U9" s="259"/>
      <c r="V9" s="259"/>
      <c r="W9" s="259"/>
      <c r="X9" s="259"/>
      <c r="Y9" s="259"/>
      <c r="Z9" s="259"/>
      <c r="AA9" s="259"/>
    </row>
    <row r="10" spans="1:27" s="26" customFormat="1" x14ac:dyDescent="0.2">
      <c r="A10" s="98"/>
      <c r="B10" s="98" t="s">
        <v>276</v>
      </c>
      <c r="C10" s="98" t="s">
        <v>22</v>
      </c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7"/>
    </row>
    <row r="11" spans="1:27" x14ac:dyDescent="0.2">
      <c r="A11" s="35" t="s">
        <v>91</v>
      </c>
      <c r="B11" s="35" t="s">
        <v>270</v>
      </c>
      <c r="C11" s="96">
        <v>0.4</v>
      </c>
    </row>
    <row r="12" spans="1:27" x14ac:dyDescent="0.2">
      <c r="A12" s="35" t="s">
        <v>91</v>
      </c>
      <c r="B12" s="35" t="s">
        <v>271</v>
      </c>
      <c r="C12" s="96">
        <v>0.4</v>
      </c>
    </row>
    <row r="13" spans="1:27" x14ac:dyDescent="0.2">
      <c r="A13" s="35" t="s">
        <v>91</v>
      </c>
      <c r="B13" s="35" t="s">
        <v>272</v>
      </c>
      <c r="C13" s="96">
        <v>0.4</v>
      </c>
    </row>
    <row r="14" spans="1:27" x14ac:dyDescent="0.2">
      <c r="A14" s="35" t="s">
        <v>91</v>
      </c>
      <c r="B14" s="35" t="s">
        <v>273</v>
      </c>
      <c r="C14" s="96">
        <v>0.4</v>
      </c>
      <c r="F14" s="259"/>
    </row>
    <row r="15" spans="1:27" x14ac:dyDescent="0.2">
      <c r="A15" s="35" t="s">
        <v>91</v>
      </c>
      <c r="B15" s="97" t="s">
        <v>293</v>
      </c>
      <c r="C15" s="96">
        <v>0.4</v>
      </c>
      <c r="F15" s="259"/>
      <c r="G15" s="259"/>
      <c r="H15" s="259"/>
    </row>
    <row r="16" spans="1:27" x14ac:dyDescent="0.2">
      <c r="A16" s="35" t="s">
        <v>91</v>
      </c>
      <c r="B16" s="35" t="s">
        <v>274</v>
      </c>
      <c r="C16" s="96">
        <v>0.4</v>
      </c>
      <c r="F16" s="259"/>
      <c r="G16" s="259"/>
      <c r="H16" s="259"/>
    </row>
    <row r="17" spans="1:18" x14ac:dyDescent="0.2">
      <c r="A17" s="35" t="s">
        <v>91</v>
      </c>
      <c r="B17" s="97" t="s">
        <v>716</v>
      </c>
      <c r="C17" s="96">
        <v>0.4</v>
      </c>
      <c r="F17" s="259"/>
      <c r="G17" s="259"/>
      <c r="H17" s="259"/>
    </row>
    <row r="18" spans="1:18" x14ac:dyDescent="0.2">
      <c r="A18" s="35" t="s">
        <v>91</v>
      </c>
      <c r="B18" s="97" t="s">
        <v>722</v>
      </c>
      <c r="C18" s="96">
        <v>0</v>
      </c>
      <c r="F18" s="259"/>
      <c r="G18" s="259"/>
      <c r="H18" s="259"/>
    </row>
    <row r="19" spans="1:18" ht="13.5" thickBot="1" x14ac:dyDescent="0.25">
      <c r="B19" s="20"/>
      <c r="C19" s="19"/>
      <c r="F19" s="259"/>
      <c r="G19" s="259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</row>
    <row r="20" spans="1:18" ht="13.9" customHeight="1" thickBot="1" x14ac:dyDescent="0.25">
      <c r="A20" s="331">
        <v>2</v>
      </c>
      <c r="B20" s="331" t="s">
        <v>275</v>
      </c>
      <c r="C20" s="715" t="s">
        <v>711</v>
      </c>
      <c r="D20" s="716"/>
      <c r="E20" s="716"/>
      <c r="F20" s="716"/>
      <c r="G20" s="717"/>
      <c r="H20" s="26"/>
      <c r="I20" s="26"/>
      <c r="J20" s="26"/>
      <c r="K20" s="714"/>
      <c r="L20" s="714"/>
      <c r="M20" s="714"/>
      <c r="N20" s="714"/>
      <c r="O20" s="714"/>
      <c r="P20" s="6"/>
      <c r="Q20" s="6"/>
      <c r="R20" s="6"/>
    </row>
    <row r="21" spans="1:18" s="106" customFormat="1" ht="24" x14ac:dyDescent="0.2">
      <c r="A21" s="332"/>
      <c r="B21" s="330" t="s">
        <v>276</v>
      </c>
      <c r="C21" s="333" t="s">
        <v>277</v>
      </c>
      <c r="D21" s="333" t="s">
        <v>278</v>
      </c>
      <c r="E21" s="333" t="s">
        <v>279</v>
      </c>
      <c r="F21" s="333" t="s">
        <v>287</v>
      </c>
      <c r="G21" s="333" t="s">
        <v>288</v>
      </c>
      <c r="H21" s="6"/>
      <c r="I21" s="6"/>
      <c r="J21" s="6"/>
      <c r="K21" s="395"/>
      <c r="L21" s="395"/>
      <c r="M21" s="395"/>
      <c r="N21" s="395"/>
      <c r="O21" s="395"/>
    </row>
    <row r="22" spans="1:18" s="26" customFormat="1" x14ac:dyDescent="0.2">
      <c r="A22" s="35" t="s">
        <v>96</v>
      </c>
      <c r="B22" s="35" t="s">
        <v>270</v>
      </c>
      <c r="C22" s="340">
        <v>7</v>
      </c>
      <c r="D22" s="340">
        <v>7</v>
      </c>
      <c r="E22" s="351">
        <v>0</v>
      </c>
      <c r="F22" s="341">
        <v>1</v>
      </c>
      <c r="G22" s="352">
        <v>0</v>
      </c>
      <c r="K22" s="256"/>
      <c r="L22" s="396"/>
      <c r="M22" s="396"/>
      <c r="N22" s="288"/>
      <c r="O22" s="397"/>
    </row>
    <row r="23" spans="1:18" s="26" customFormat="1" x14ac:dyDescent="0.2">
      <c r="A23" s="57" t="s">
        <v>96</v>
      </c>
      <c r="B23" s="35" t="s">
        <v>271</v>
      </c>
      <c r="C23" s="351">
        <v>0</v>
      </c>
      <c r="D23" s="351">
        <v>0</v>
      </c>
      <c r="E23" s="340">
        <v>2</v>
      </c>
      <c r="F23" s="352">
        <v>0</v>
      </c>
      <c r="G23" s="341">
        <v>1</v>
      </c>
      <c r="J23" s="396"/>
      <c r="K23" s="396"/>
      <c r="L23" s="396"/>
      <c r="M23" s="397"/>
      <c r="N23" s="397"/>
    </row>
    <row r="24" spans="1:18" s="26" customFormat="1" x14ac:dyDescent="0.2">
      <c r="A24" s="35" t="s">
        <v>96</v>
      </c>
      <c r="B24" s="35" t="s">
        <v>272</v>
      </c>
      <c r="C24" s="340">
        <v>15</v>
      </c>
      <c r="D24" s="340">
        <v>15</v>
      </c>
      <c r="E24" s="351">
        <v>0</v>
      </c>
      <c r="F24" s="341">
        <v>6</v>
      </c>
      <c r="G24" s="352">
        <v>0</v>
      </c>
      <c r="J24" s="256"/>
      <c r="K24" s="396"/>
      <c r="L24" s="396"/>
      <c r="M24" s="288"/>
      <c r="N24" s="397"/>
    </row>
    <row r="25" spans="1:18" s="26" customFormat="1" x14ac:dyDescent="0.2">
      <c r="A25" s="57" t="s">
        <v>96</v>
      </c>
      <c r="B25" s="35" t="s">
        <v>273</v>
      </c>
      <c r="C25" s="351">
        <v>0</v>
      </c>
      <c r="D25" s="351">
        <v>0</v>
      </c>
      <c r="E25" s="340">
        <f>E23*2</f>
        <v>4</v>
      </c>
      <c r="F25" s="351">
        <v>0</v>
      </c>
      <c r="G25" s="340">
        <v>2</v>
      </c>
      <c r="J25" s="396"/>
      <c r="K25" s="396"/>
      <c r="L25" s="396"/>
      <c r="M25" s="397"/>
      <c r="N25" s="397"/>
    </row>
    <row r="26" spans="1:18" s="26" customFormat="1" x14ac:dyDescent="0.2">
      <c r="A26" s="57"/>
      <c r="B26" s="74"/>
      <c r="C26" s="65"/>
      <c r="D26" s="57"/>
      <c r="E26" s="57"/>
      <c r="F26" s="57"/>
      <c r="G26" s="57"/>
    </row>
    <row r="27" spans="1:18" x14ac:dyDescent="0.2">
      <c r="A27" s="182" t="s">
        <v>94</v>
      </c>
      <c r="B27" s="182" t="s">
        <v>275</v>
      </c>
      <c r="C27" s="183"/>
      <c r="D27" s="184"/>
      <c r="E27" s="184"/>
      <c r="F27" s="184"/>
      <c r="G27" s="184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</row>
    <row r="28" spans="1:18" s="26" customFormat="1" x14ac:dyDescent="0.2">
      <c r="A28" s="57"/>
      <c r="B28" s="74"/>
      <c r="C28" s="65"/>
      <c r="D28" s="57"/>
      <c r="E28" s="57"/>
      <c r="F28" s="57"/>
      <c r="G28" s="57"/>
    </row>
    <row r="29" spans="1:18" s="26" customFormat="1" x14ac:dyDescent="0.2">
      <c r="A29" s="35"/>
      <c r="B29" s="105" t="s">
        <v>276</v>
      </c>
      <c r="C29" s="335" t="s">
        <v>290</v>
      </c>
      <c r="D29" s="3"/>
      <c r="E29" s="3"/>
      <c r="F29" s="3"/>
      <c r="G29" s="3"/>
    </row>
    <row r="30" spans="1:18" s="26" customFormat="1" x14ac:dyDescent="0.2">
      <c r="A30" s="100" t="s">
        <v>95</v>
      </c>
      <c r="B30" s="97" t="s">
        <v>293</v>
      </c>
      <c r="C30" s="339">
        <v>1</v>
      </c>
      <c r="D30" s="3"/>
      <c r="E30" s="3"/>
      <c r="F30" s="3"/>
      <c r="G30" s="3"/>
    </row>
    <row r="31" spans="1:18" s="26" customFormat="1" x14ac:dyDescent="0.2">
      <c r="A31" s="100" t="s">
        <v>95</v>
      </c>
      <c r="B31" s="97" t="s">
        <v>177</v>
      </c>
      <c r="C31" s="339">
        <v>3</v>
      </c>
      <c r="D31" s="3"/>
      <c r="E31" s="3"/>
      <c r="F31" s="3"/>
      <c r="G31" s="3"/>
    </row>
    <row r="32" spans="1:18" s="26" customFormat="1" x14ac:dyDescent="0.2">
      <c r="A32" s="100" t="s">
        <v>95</v>
      </c>
      <c r="B32" s="97" t="s">
        <v>716</v>
      </c>
      <c r="C32" s="339">
        <v>1</v>
      </c>
      <c r="D32" s="3"/>
      <c r="E32" s="3"/>
      <c r="F32" s="3"/>
      <c r="G32" s="3"/>
    </row>
    <row r="33" spans="1:18" s="26" customFormat="1" x14ac:dyDescent="0.2">
      <c r="A33" s="57"/>
      <c r="B33" s="74"/>
      <c r="C33" s="65"/>
      <c r="D33" s="57"/>
      <c r="E33" s="57"/>
      <c r="F33" s="57"/>
      <c r="G33" s="57"/>
      <c r="H33" s="6"/>
      <c r="I33" s="6"/>
      <c r="J33" s="6"/>
    </row>
    <row r="34" spans="1:18" x14ac:dyDescent="0.2">
      <c r="A34" s="182">
        <v>3</v>
      </c>
      <c r="B34" s="182" t="s">
        <v>267</v>
      </c>
      <c r="C34" s="183"/>
      <c r="D34" s="184"/>
      <c r="E34" s="184"/>
      <c r="F34" s="184"/>
      <c r="G34" s="184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</row>
    <row r="35" spans="1:18" s="26" customFormat="1" x14ac:dyDescent="0.2">
      <c r="A35" s="98"/>
      <c r="B35" s="98" t="s">
        <v>276</v>
      </c>
      <c r="C35" s="98" t="s">
        <v>267</v>
      </c>
      <c r="D35" s="98" t="s">
        <v>295</v>
      </c>
      <c r="E35" s="57"/>
      <c r="F35" s="57"/>
      <c r="G35" s="57"/>
      <c r="H35" s="6"/>
      <c r="I35" s="6"/>
      <c r="J35" s="6"/>
    </row>
    <row r="36" spans="1:18" x14ac:dyDescent="0.2">
      <c r="A36" s="35" t="s">
        <v>112</v>
      </c>
      <c r="B36" s="35" t="s">
        <v>270</v>
      </c>
      <c r="C36" s="96">
        <v>0.5</v>
      </c>
      <c r="D36" s="24">
        <v>0</v>
      </c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</row>
    <row r="37" spans="1:18" x14ac:dyDescent="0.2">
      <c r="A37" s="35" t="s">
        <v>112</v>
      </c>
      <c r="B37" s="35" t="s">
        <v>271</v>
      </c>
      <c r="C37" s="96">
        <v>0.5</v>
      </c>
      <c r="D37" s="24">
        <v>0</v>
      </c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</row>
    <row r="38" spans="1:18" x14ac:dyDescent="0.2">
      <c r="A38" s="35" t="s">
        <v>112</v>
      </c>
      <c r="B38" s="35" t="s">
        <v>272</v>
      </c>
      <c r="C38" s="96">
        <v>0.5</v>
      </c>
      <c r="D38" s="24">
        <v>0</v>
      </c>
      <c r="H38" s="26"/>
      <c r="I38" s="26"/>
      <c r="J38" s="26"/>
      <c r="K38" s="6"/>
      <c r="L38" s="6"/>
      <c r="M38" s="6"/>
      <c r="N38" s="6"/>
      <c r="O38" s="6"/>
      <c r="P38" s="6"/>
      <c r="Q38" s="6"/>
      <c r="R38" s="6"/>
    </row>
    <row r="39" spans="1:18" x14ac:dyDescent="0.2">
      <c r="A39" s="35" t="s">
        <v>112</v>
      </c>
      <c r="B39" s="35" t="s">
        <v>273</v>
      </c>
      <c r="C39" s="96">
        <v>0.5</v>
      </c>
      <c r="D39" s="24">
        <v>0</v>
      </c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</row>
    <row r="40" spans="1:18" x14ac:dyDescent="0.2">
      <c r="A40" s="35" t="s">
        <v>112</v>
      </c>
      <c r="B40" s="97" t="s">
        <v>293</v>
      </c>
      <c r="C40" s="96">
        <v>0.5</v>
      </c>
      <c r="D40" s="24">
        <v>0</v>
      </c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</row>
    <row r="41" spans="1:18" x14ac:dyDescent="0.2">
      <c r="A41" s="35" t="s">
        <v>112</v>
      </c>
      <c r="B41" s="35" t="s">
        <v>274</v>
      </c>
      <c r="C41" s="96">
        <v>0.5</v>
      </c>
      <c r="D41" s="24">
        <v>0</v>
      </c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</row>
    <row r="42" spans="1:18" x14ac:dyDescent="0.2">
      <c r="A42" s="35" t="s">
        <v>112</v>
      </c>
      <c r="B42" s="97" t="s">
        <v>716</v>
      </c>
      <c r="C42" s="96">
        <v>0.5</v>
      </c>
      <c r="D42" s="24">
        <v>0</v>
      </c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</row>
    <row r="43" spans="1:18" x14ac:dyDescent="0.2">
      <c r="A43" s="28"/>
      <c r="B43" s="74"/>
      <c r="C43" s="99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</row>
    <row r="44" spans="1:18" x14ac:dyDescent="0.2">
      <c r="A44" s="182">
        <v>4</v>
      </c>
      <c r="B44" s="182" t="s">
        <v>268</v>
      </c>
      <c r="C44" s="183" t="s">
        <v>304</v>
      </c>
      <c r="D44" s="184"/>
      <c r="E44" s="184"/>
      <c r="F44" s="184"/>
      <c r="G44" s="184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</row>
    <row r="45" spans="1:18" s="26" customFormat="1" x14ac:dyDescent="0.2">
      <c r="A45" s="98"/>
      <c r="B45" s="98" t="s">
        <v>276</v>
      </c>
      <c r="C45" s="98" t="s">
        <v>268</v>
      </c>
      <c r="D45" s="98" t="s">
        <v>295</v>
      </c>
      <c r="E45" s="57"/>
      <c r="F45" s="57"/>
      <c r="G45" s="57"/>
      <c r="H45" s="6"/>
      <c r="I45" s="6"/>
      <c r="J45" s="6"/>
    </row>
    <row r="46" spans="1:18" x14ac:dyDescent="0.2">
      <c r="A46" s="35" t="s">
        <v>98</v>
      </c>
      <c r="B46" s="35" t="s">
        <v>270</v>
      </c>
      <c r="C46" s="96">
        <v>1</v>
      </c>
      <c r="D46" s="24">
        <v>0</v>
      </c>
      <c r="H46" s="26"/>
      <c r="I46" s="26"/>
      <c r="J46" s="26"/>
      <c r="K46" s="6"/>
      <c r="L46" s="6"/>
      <c r="M46" s="6"/>
      <c r="N46" s="6"/>
      <c r="O46" s="6"/>
      <c r="P46" s="6"/>
      <c r="Q46" s="6"/>
      <c r="R46" s="6"/>
    </row>
    <row r="47" spans="1:18" x14ac:dyDescent="0.2">
      <c r="A47" s="35" t="s">
        <v>98</v>
      </c>
      <c r="B47" s="35" t="s">
        <v>271</v>
      </c>
      <c r="C47" s="96">
        <v>1</v>
      </c>
      <c r="D47" s="24">
        <v>0</v>
      </c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</row>
    <row r="48" spans="1:18" x14ac:dyDescent="0.2">
      <c r="A48" s="35" t="s">
        <v>98</v>
      </c>
      <c r="B48" s="35" t="s">
        <v>272</v>
      </c>
      <c r="C48" s="96">
        <v>1</v>
      </c>
      <c r="D48" s="24">
        <v>0</v>
      </c>
      <c r="H48" s="26"/>
      <c r="I48" s="26"/>
      <c r="J48" s="26"/>
      <c r="K48" s="6"/>
      <c r="L48" s="6"/>
      <c r="M48" s="6"/>
      <c r="N48" s="6"/>
      <c r="O48" s="6"/>
      <c r="P48" s="6"/>
      <c r="Q48" s="6"/>
      <c r="R48" s="6"/>
    </row>
    <row r="49" spans="1:18" x14ac:dyDescent="0.2">
      <c r="A49" s="35" t="s">
        <v>98</v>
      </c>
      <c r="B49" s="35" t="s">
        <v>273</v>
      </c>
      <c r="C49" s="96">
        <v>1</v>
      </c>
      <c r="D49" s="24">
        <v>0</v>
      </c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</row>
    <row r="50" spans="1:18" x14ac:dyDescent="0.2">
      <c r="A50" s="35" t="s">
        <v>98</v>
      </c>
      <c r="B50" s="97" t="s">
        <v>293</v>
      </c>
      <c r="C50" s="96">
        <v>1</v>
      </c>
      <c r="D50" s="24">
        <v>0</v>
      </c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</row>
    <row r="51" spans="1:18" x14ac:dyDescent="0.2">
      <c r="A51" s="35" t="s">
        <v>98</v>
      </c>
      <c r="B51" s="35" t="s">
        <v>274</v>
      </c>
      <c r="C51" s="96">
        <v>1</v>
      </c>
      <c r="D51" s="24">
        <v>0</v>
      </c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</row>
    <row r="52" spans="1:18" x14ac:dyDescent="0.2">
      <c r="A52" s="35" t="s">
        <v>98</v>
      </c>
      <c r="B52" s="97" t="s">
        <v>716</v>
      </c>
      <c r="C52" s="96">
        <v>1</v>
      </c>
      <c r="D52" s="24">
        <v>0</v>
      </c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</row>
    <row r="53" spans="1:18" s="26" customFormat="1" x14ac:dyDescent="0.2">
      <c r="A53" s="57"/>
      <c r="B53" s="74"/>
      <c r="C53" s="65"/>
      <c r="D53" s="57"/>
      <c r="E53" s="57"/>
      <c r="F53" s="57"/>
      <c r="G53" s="57"/>
      <c r="H53" s="6"/>
      <c r="I53" s="6"/>
      <c r="J53" s="6"/>
    </row>
    <row r="54" spans="1:18" x14ac:dyDescent="0.2">
      <c r="A54" s="182">
        <v>5</v>
      </c>
      <c r="B54" s="182" t="s">
        <v>282</v>
      </c>
      <c r="C54" s="182"/>
      <c r="D54" s="183"/>
      <c r="E54" s="184"/>
      <c r="F54" s="184"/>
      <c r="G54" s="184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</row>
    <row r="55" spans="1:18" s="26" customFormat="1" x14ac:dyDescent="0.2">
      <c r="A55" s="98"/>
      <c r="B55" s="98" t="s">
        <v>276</v>
      </c>
      <c r="C55" s="98" t="s">
        <v>265</v>
      </c>
      <c r="D55" s="57"/>
      <c r="E55" s="57"/>
      <c r="F55" s="57"/>
      <c r="G55" s="57"/>
      <c r="H55" s="6"/>
      <c r="I55" s="6"/>
      <c r="J55" s="6"/>
    </row>
    <row r="56" spans="1:18" x14ac:dyDescent="0.2">
      <c r="A56" s="35" t="s">
        <v>99</v>
      </c>
      <c r="B56" s="35" t="s">
        <v>270</v>
      </c>
      <c r="C56" s="100">
        <v>220</v>
      </c>
      <c r="H56" s="25"/>
      <c r="I56" s="25"/>
      <c r="J56" s="25"/>
      <c r="K56" s="6"/>
      <c r="L56" s="6"/>
      <c r="M56" s="6"/>
      <c r="N56" s="6"/>
      <c r="O56" s="6"/>
      <c r="P56" s="6"/>
      <c r="Q56" s="6"/>
      <c r="R56" s="6"/>
    </row>
    <row r="57" spans="1:18" x14ac:dyDescent="0.2">
      <c r="A57" s="35" t="s">
        <v>99</v>
      </c>
      <c r="B57" s="35" t="s">
        <v>271</v>
      </c>
      <c r="C57" s="100">
        <v>220</v>
      </c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</row>
    <row r="58" spans="1:18" x14ac:dyDescent="0.2">
      <c r="A58" s="35" t="s">
        <v>99</v>
      </c>
      <c r="B58" s="35" t="s">
        <v>272</v>
      </c>
      <c r="C58" s="100">
        <v>220</v>
      </c>
      <c r="H58" s="26"/>
      <c r="I58" s="26"/>
      <c r="J58" s="26"/>
      <c r="K58" s="6"/>
      <c r="L58" s="6"/>
      <c r="M58" s="6"/>
      <c r="N58" s="6"/>
      <c r="O58" s="6"/>
      <c r="P58" s="6"/>
      <c r="Q58" s="6"/>
      <c r="R58" s="6"/>
    </row>
    <row r="59" spans="1:18" x14ac:dyDescent="0.2">
      <c r="A59" s="35" t="s">
        <v>99</v>
      </c>
      <c r="B59" s="35" t="s">
        <v>273</v>
      </c>
      <c r="C59" s="100">
        <v>220</v>
      </c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</row>
    <row r="60" spans="1:18" x14ac:dyDescent="0.2">
      <c r="A60" s="35" t="s">
        <v>99</v>
      </c>
      <c r="B60" s="97" t="s">
        <v>293</v>
      </c>
      <c r="C60" s="100">
        <v>220</v>
      </c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</row>
    <row r="61" spans="1:18" x14ac:dyDescent="0.2">
      <c r="A61" s="35" t="s">
        <v>99</v>
      </c>
      <c r="B61" s="35" t="s">
        <v>274</v>
      </c>
      <c r="C61" s="100">
        <v>220</v>
      </c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</row>
    <row r="62" spans="1:18" x14ac:dyDescent="0.2">
      <c r="A62" s="35" t="s">
        <v>99</v>
      </c>
      <c r="B62" s="97" t="s">
        <v>716</v>
      </c>
      <c r="C62" s="100">
        <v>220</v>
      </c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</row>
    <row r="63" spans="1:18" s="25" customFormat="1" x14ac:dyDescent="0.2">
      <c r="B63" s="72"/>
      <c r="C63" s="73"/>
      <c r="D63" s="74"/>
      <c r="E63" s="74"/>
      <c r="F63" s="74"/>
      <c r="G63" s="74"/>
      <c r="H63" s="6"/>
      <c r="I63" s="6"/>
      <c r="J63" s="6"/>
    </row>
    <row r="64" spans="1:18" x14ac:dyDescent="0.2">
      <c r="A64" s="182">
        <v>6</v>
      </c>
      <c r="B64" s="182" t="s">
        <v>281</v>
      </c>
      <c r="C64" s="182"/>
      <c r="D64" s="183"/>
      <c r="E64" s="184"/>
      <c r="F64" s="184"/>
      <c r="G64" s="184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</row>
    <row r="65" spans="1:18" s="26" customFormat="1" x14ac:dyDescent="0.2">
      <c r="A65" s="98"/>
      <c r="B65" s="98" t="s">
        <v>276</v>
      </c>
      <c r="C65" s="98" t="s">
        <v>266</v>
      </c>
      <c r="D65" s="57"/>
      <c r="E65" s="57"/>
      <c r="F65" s="57"/>
      <c r="G65" s="57"/>
      <c r="H65" s="6"/>
      <c r="I65" s="6"/>
      <c r="J65" s="6"/>
    </row>
    <row r="66" spans="1:18" x14ac:dyDescent="0.2">
      <c r="A66" s="35" t="s">
        <v>103</v>
      </c>
      <c r="B66" s="35" t="s">
        <v>270</v>
      </c>
      <c r="C66" s="100">
        <v>26</v>
      </c>
      <c r="H66" s="25"/>
      <c r="I66" s="25"/>
      <c r="J66" s="25"/>
      <c r="K66" s="6"/>
      <c r="L66" s="6"/>
      <c r="M66" s="6"/>
      <c r="N66" s="6"/>
      <c r="O66" s="6"/>
      <c r="P66" s="6"/>
      <c r="Q66" s="6"/>
      <c r="R66" s="6"/>
    </row>
    <row r="67" spans="1:18" x14ac:dyDescent="0.2">
      <c r="A67" s="35" t="s">
        <v>103</v>
      </c>
      <c r="B67" s="35" t="s">
        <v>271</v>
      </c>
      <c r="C67" s="100">
        <v>26</v>
      </c>
      <c r="H67" s="25"/>
      <c r="I67" s="25"/>
      <c r="J67" s="25"/>
      <c r="K67" s="6"/>
      <c r="L67" s="6"/>
      <c r="M67" s="6"/>
      <c r="N67" s="6"/>
      <c r="O67" s="6"/>
      <c r="P67" s="6"/>
      <c r="Q67" s="6"/>
      <c r="R67" s="6"/>
    </row>
    <row r="68" spans="1:18" x14ac:dyDescent="0.2">
      <c r="A68" s="35" t="s">
        <v>103</v>
      </c>
      <c r="B68" s="35" t="s">
        <v>272</v>
      </c>
      <c r="C68" s="100">
        <v>26</v>
      </c>
      <c r="H68" s="25"/>
      <c r="I68" s="25"/>
      <c r="J68" s="25"/>
      <c r="K68" s="6"/>
      <c r="L68" s="6"/>
      <c r="M68" s="6"/>
      <c r="N68" s="6"/>
      <c r="O68" s="6"/>
      <c r="P68" s="6"/>
      <c r="Q68" s="6"/>
      <c r="R68" s="6"/>
    </row>
    <row r="69" spans="1:18" x14ac:dyDescent="0.2">
      <c r="A69" s="35" t="s">
        <v>103</v>
      </c>
      <c r="B69" s="35" t="s">
        <v>273</v>
      </c>
      <c r="C69" s="100">
        <v>26</v>
      </c>
      <c r="H69" s="25"/>
      <c r="I69" s="25"/>
      <c r="J69" s="25"/>
      <c r="K69" s="6"/>
      <c r="L69" s="6"/>
      <c r="M69" s="6"/>
      <c r="N69" s="6"/>
      <c r="O69" s="6"/>
      <c r="P69" s="6"/>
      <c r="Q69" s="6"/>
      <c r="R69" s="6"/>
    </row>
    <row r="70" spans="1:18" x14ac:dyDescent="0.2">
      <c r="A70" s="35" t="s">
        <v>103</v>
      </c>
      <c r="B70" s="97" t="s">
        <v>289</v>
      </c>
      <c r="C70" s="100">
        <v>26</v>
      </c>
      <c r="H70" s="25"/>
      <c r="I70" s="25"/>
      <c r="J70" s="25"/>
      <c r="K70" s="6"/>
      <c r="L70" s="6"/>
      <c r="M70" s="6"/>
      <c r="N70" s="6"/>
      <c r="O70" s="6"/>
      <c r="P70" s="6"/>
      <c r="Q70" s="6"/>
      <c r="R70" s="6"/>
    </row>
    <row r="71" spans="1:18" x14ac:dyDescent="0.2">
      <c r="A71" s="35" t="s">
        <v>103</v>
      </c>
      <c r="B71" s="35" t="s">
        <v>274</v>
      </c>
      <c r="C71" s="100">
        <v>26</v>
      </c>
      <c r="H71" s="25"/>
      <c r="I71" s="25"/>
      <c r="J71" s="25"/>
      <c r="K71" s="6"/>
      <c r="L71" s="6"/>
      <c r="M71" s="6"/>
      <c r="N71" s="6"/>
      <c r="O71" s="6"/>
      <c r="P71" s="6"/>
      <c r="Q71" s="6"/>
      <c r="R71" s="6"/>
    </row>
    <row r="72" spans="1:18" x14ac:dyDescent="0.2">
      <c r="A72" s="35" t="s">
        <v>103</v>
      </c>
      <c r="B72" s="97" t="s">
        <v>716</v>
      </c>
      <c r="C72" s="100">
        <v>26</v>
      </c>
      <c r="D72" s="1"/>
      <c r="H72" s="25"/>
      <c r="I72" s="25"/>
      <c r="J72" s="25"/>
      <c r="K72" s="6"/>
      <c r="L72" s="6"/>
      <c r="M72" s="6"/>
      <c r="N72" s="6"/>
      <c r="O72" s="6"/>
      <c r="P72" s="6"/>
      <c r="Q72" s="6"/>
      <c r="R72" s="6"/>
    </row>
    <row r="73" spans="1:18" s="25" customFormat="1" x14ac:dyDescent="0.2">
      <c r="B73" s="72"/>
      <c r="C73" s="73"/>
      <c r="D73" s="74"/>
      <c r="E73" s="74"/>
      <c r="F73" s="74"/>
      <c r="G73" s="74"/>
    </row>
    <row r="74" spans="1:18" s="25" customFormat="1" x14ac:dyDescent="0.2">
      <c r="A74" s="182">
        <v>7</v>
      </c>
      <c r="B74" s="182" t="s">
        <v>280</v>
      </c>
      <c r="C74" s="182"/>
      <c r="D74" s="183"/>
      <c r="E74" s="184"/>
      <c r="F74" s="184"/>
      <c r="G74" s="184"/>
    </row>
    <row r="75" spans="1:18" s="25" customFormat="1" x14ac:dyDescent="0.2">
      <c r="A75" s="98"/>
      <c r="B75" s="98" t="s">
        <v>276</v>
      </c>
      <c r="C75" s="98" t="s">
        <v>269</v>
      </c>
      <c r="D75" s="74"/>
      <c r="E75" s="74"/>
      <c r="F75" s="74"/>
      <c r="G75" s="74"/>
    </row>
    <row r="76" spans="1:18" s="25" customFormat="1" x14ac:dyDescent="0.2">
      <c r="A76" s="35" t="s">
        <v>106</v>
      </c>
      <c r="B76" s="35" t="s">
        <v>270</v>
      </c>
      <c r="C76" s="100">
        <f>C66*2</f>
        <v>52</v>
      </c>
      <c r="D76" s="74"/>
      <c r="E76" s="74"/>
      <c r="F76" s="74"/>
      <c r="G76" s="74"/>
    </row>
    <row r="77" spans="1:18" s="25" customFormat="1" x14ac:dyDescent="0.2">
      <c r="A77" s="35" t="s">
        <v>106</v>
      </c>
      <c r="B77" s="35" t="s">
        <v>271</v>
      </c>
      <c r="C77" s="100">
        <f>C67*2</f>
        <v>52</v>
      </c>
      <c r="D77" s="74"/>
      <c r="E77" s="74"/>
      <c r="F77" s="74"/>
      <c r="G77" s="74"/>
    </row>
    <row r="78" spans="1:18" s="25" customFormat="1" x14ac:dyDescent="0.2">
      <c r="A78" s="35" t="s">
        <v>106</v>
      </c>
      <c r="B78" s="35" t="s">
        <v>272</v>
      </c>
      <c r="C78" s="100">
        <f>C68*2</f>
        <v>52</v>
      </c>
      <c r="D78" s="74"/>
      <c r="E78" s="74"/>
      <c r="F78" s="74"/>
      <c r="G78" s="74"/>
    </row>
    <row r="79" spans="1:18" s="25" customFormat="1" x14ac:dyDescent="0.2">
      <c r="A79" s="35" t="s">
        <v>106</v>
      </c>
      <c r="B79" s="35" t="s">
        <v>273</v>
      </c>
      <c r="C79" s="100">
        <f>C69*2</f>
        <v>52</v>
      </c>
      <c r="D79" s="74"/>
      <c r="E79" s="74"/>
      <c r="F79" s="74"/>
      <c r="G79" s="74"/>
    </row>
    <row r="80" spans="1:18" s="25" customFormat="1" x14ac:dyDescent="0.2">
      <c r="A80" s="35" t="s">
        <v>106</v>
      </c>
      <c r="B80" s="97" t="s">
        <v>293</v>
      </c>
      <c r="C80" s="100">
        <f>C70*2</f>
        <v>52</v>
      </c>
      <c r="D80" s="74"/>
      <c r="E80" s="74"/>
      <c r="F80" s="74"/>
      <c r="G80" s="74"/>
    </row>
    <row r="81" spans="1:18" s="25" customFormat="1" x14ac:dyDescent="0.2">
      <c r="A81" s="35" t="s">
        <v>106</v>
      </c>
      <c r="B81" s="97" t="s">
        <v>716</v>
      </c>
      <c r="C81" s="100">
        <v>0</v>
      </c>
      <c r="D81" s="74"/>
      <c r="E81" s="74"/>
      <c r="F81" s="74"/>
      <c r="G81" s="74"/>
    </row>
    <row r="82" spans="1:18" s="25" customFormat="1" x14ac:dyDescent="0.2">
      <c r="B82" s="72"/>
      <c r="C82" s="73"/>
      <c r="D82" s="74"/>
      <c r="E82" s="74"/>
      <c r="F82" s="74"/>
      <c r="G82" s="74"/>
    </row>
    <row r="83" spans="1:18" s="25" customFormat="1" x14ac:dyDescent="0.2">
      <c r="A83" s="182">
        <v>8</v>
      </c>
      <c r="B83" s="182" t="s">
        <v>292</v>
      </c>
      <c r="C83" s="182"/>
      <c r="D83" s="183"/>
      <c r="E83" s="184"/>
      <c r="F83" s="184"/>
      <c r="G83" s="184"/>
    </row>
    <row r="84" spans="1:18" s="25" customFormat="1" x14ac:dyDescent="0.2">
      <c r="A84" s="98"/>
      <c r="B84" s="98" t="s">
        <v>276</v>
      </c>
      <c r="C84" s="98" t="s">
        <v>285</v>
      </c>
      <c r="D84" s="74"/>
      <c r="E84" s="74"/>
      <c r="F84" s="74"/>
      <c r="G84" s="74"/>
    </row>
    <row r="85" spans="1:18" s="25" customFormat="1" x14ac:dyDescent="0.2">
      <c r="A85" s="35" t="s">
        <v>107</v>
      </c>
      <c r="B85" s="35" t="s">
        <v>270</v>
      </c>
      <c r="C85" s="100">
        <f t="shared" ref="C85:C91" si="0">1*C66</f>
        <v>26</v>
      </c>
      <c r="D85" s="74"/>
      <c r="E85" s="74"/>
      <c r="F85" s="74"/>
      <c r="G85" s="74"/>
      <c r="H85" s="6"/>
      <c r="I85" s="6"/>
      <c r="J85" s="6"/>
    </row>
    <row r="86" spans="1:18" s="25" customFormat="1" x14ac:dyDescent="0.2">
      <c r="A86" s="35" t="s">
        <v>107</v>
      </c>
      <c r="B86" s="35" t="s">
        <v>271</v>
      </c>
      <c r="C86" s="100">
        <f t="shared" si="0"/>
        <v>26</v>
      </c>
      <c r="D86" s="74"/>
      <c r="E86" s="74"/>
      <c r="F86" s="74"/>
      <c r="G86" s="74"/>
      <c r="H86" s="6"/>
      <c r="I86" s="6"/>
      <c r="J86" s="6"/>
    </row>
    <row r="87" spans="1:18" s="25" customFormat="1" x14ac:dyDescent="0.2">
      <c r="A87" s="35" t="s">
        <v>107</v>
      </c>
      <c r="B87" s="35" t="s">
        <v>272</v>
      </c>
      <c r="C87" s="100">
        <f t="shared" si="0"/>
        <v>26</v>
      </c>
      <c r="D87" s="74"/>
      <c r="E87" s="74"/>
      <c r="F87" s="74"/>
      <c r="G87" s="74"/>
      <c r="H87" s="6"/>
      <c r="I87" s="6"/>
      <c r="J87" s="6"/>
    </row>
    <row r="88" spans="1:18" s="25" customFormat="1" x14ac:dyDescent="0.2">
      <c r="A88" s="35" t="s">
        <v>107</v>
      </c>
      <c r="B88" s="35" t="s">
        <v>273</v>
      </c>
      <c r="C88" s="100">
        <f t="shared" si="0"/>
        <v>26</v>
      </c>
      <c r="D88" s="74"/>
      <c r="E88" s="74"/>
      <c r="F88" s="74"/>
      <c r="G88" s="74"/>
      <c r="H88" s="6"/>
      <c r="I88" s="6"/>
      <c r="J88" s="6"/>
    </row>
    <row r="89" spans="1:18" s="25" customFormat="1" x14ac:dyDescent="0.2">
      <c r="A89" s="35" t="s">
        <v>107</v>
      </c>
      <c r="B89" s="97" t="s">
        <v>293</v>
      </c>
      <c r="C89" s="100">
        <f t="shared" si="0"/>
        <v>26</v>
      </c>
      <c r="D89" s="74"/>
      <c r="E89" s="574" t="s">
        <v>723</v>
      </c>
      <c r="F89" s="74"/>
      <c r="G89" s="74"/>
      <c r="H89" s="6"/>
      <c r="I89" s="6"/>
      <c r="J89" s="6"/>
    </row>
    <row r="90" spans="1:18" s="25" customFormat="1" x14ac:dyDescent="0.2">
      <c r="A90" s="35" t="s">
        <v>107</v>
      </c>
      <c r="B90" s="35" t="s">
        <v>274</v>
      </c>
      <c r="C90" s="100">
        <f t="shared" si="0"/>
        <v>26</v>
      </c>
      <c r="D90" s="74"/>
      <c r="E90" s="74"/>
      <c r="F90" s="74"/>
      <c r="G90" s="74"/>
      <c r="H90" s="6"/>
      <c r="I90" s="6"/>
      <c r="J90" s="6"/>
    </row>
    <row r="91" spans="1:18" s="25" customFormat="1" x14ac:dyDescent="0.2">
      <c r="A91" s="35" t="s">
        <v>107</v>
      </c>
      <c r="B91" s="97" t="s">
        <v>716</v>
      </c>
      <c r="C91" s="100">
        <f t="shared" si="0"/>
        <v>26</v>
      </c>
      <c r="D91" s="74"/>
      <c r="E91" s="74"/>
      <c r="F91" s="74"/>
      <c r="G91" s="74"/>
      <c r="H91" s="6"/>
      <c r="I91" s="6"/>
      <c r="J91" s="6"/>
    </row>
    <row r="92" spans="1:18" x14ac:dyDescent="0.2">
      <c r="C92" s="68"/>
      <c r="D92" s="69"/>
      <c r="E92" s="69"/>
      <c r="F92" s="69"/>
      <c r="G92" s="69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</row>
    <row r="93" spans="1:18" x14ac:dyDescent="0.2">
      <c r="A93" s="182">
        <v>9</v>
      </c>
      <c r="B93" s="182" t="s">
        <v>283</v>
      </c>
      <c r="C93" s="182"/>
      <c r="D93" s="183"/>
      <c r="E93" s="184"/>
      <c r="F93" s="184"/>
      <c r="G93" s="184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</row>
    <row r="94" spans="1:18" x14ac:dyDescent="0.2">
      <c r="A94" s="98"/>
      <c r="B94" s="98" t="s">
        <v>276</v>
      </c>
      <c r="C94" s="98" t="s">
        <v>182</v>
      </c>
      <c r="D94" s="69"/>
      <c r="E94" s="69"/>
      <c r="F94" s="69"/>
      <c r="G94" s="69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</row>
    <row r="95" spans="1:18" x14ac:dyDescent="0.2">
      <c r="A95" s="35" t="s">
        <v>284</v>
      </c>
      <c r="B95" s="35" t="s">
        <v>270</v>
      </c>
      <c r="C95" s="101">
        <f t="shared" ref="C95:C101" si="1">$C$148</f>
        <v>0.71799999999999997</v>
      </c>
      <c r="D95" s="69"/>
      <c r="E95" s="69"/>
      <c r="F95" s="69"/>
      <c r="G95" s="69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</row>
    <row r="96" spans="1:18" x14ac:dyDescent="0.2">
      <c r="A96" s="35" t="s">
        <v>284</v>
      </c>
      <c r="B96" s="35" t="s">
        <v>271</v>
      </c>
      <c r="C96" s="101">
        <f t="shared" si="1"/>
        <v>0.71799999999999997</v>
      </c>
      <c r="D96" s="69"/>
      <c r="E96" s="69"/>
      <c r="F96" s="69"/>
      <c r="G96" s="69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</row>
    <row r="97" spans="1:18" x14ac:dyDescent="0.2">
      <c r="A97" s="35" t="s">
        <v>284</v>
      </c>
      <c r="B97" s="35" t="s">
        <v>272</v>
      </c>
      <c r="C97" s="101">
        <f t="shared" si="1"/>
        <v>0.71799999999999997</v>
      </c>
      <c r="D97" s="69"/>
      <c r="E97" s="69"/>
      <c r="F97" s="69"/>
      <c r="G97" s="69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</row>
    <row r="98" spans="1:18" x14ac:dyDescent="0.2">
      <c r="A98" s="35" t="s">
        <v>284</v>
      </c>
      <c r="B98" s="35" t="s">
        <v>273</v>
      </c>
      <c r="C98" s="101">
        <f t="shared" si="1"/>
        <v>0.71799999999999997</v>
      </c>
      <c r="D98" s="69"/>
      <c r="E98" s="69"/>
      <c r="F98" s="69"/>
      <c r="G98" s="69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</row>
    <row r="99" spans="1:18" x14ac:dyDescent="0.2">
      <c r="A99" s="35" t="s">
        <v>284</v>
      </c>
      <c r="B99" s="97" t="s">
        <v>293</v>
      </c>
      <c r="C99" s="101">
        <f t="shared" si="1"/>
        <v>0.71799999999999997</v>
      </c>
      <c r="D99" s="69"/>
      <c r="E99" s="69"/>
      <c r="F99" s="69"/>
      <c r="G99" s="69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</row>
    <row r="100" spans="1:18" x14ac:dyDescent="0.2">
      <c r="A100" s="35" t="s">
        <v>284</v>
      </c>
      <c r="B100" s="35" t="s">
        <v>274</v>
      </c>
      <c r="C100" s="101">
        <f t="shared" si="1"/>
        <v>0.71799999999999997</v>
      </c>
      <c r="D100" s="69"/>
      <c r="E100" s="69"/>
      <c r="F100" s="69"/>
      <c r="G100" s="69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</row>
    <row r="101" spans="1:18" x14ac:dyDescent="0.2">
      <c r="A101" s="35" t="s">
        <v>284</v>
      </c>
      <c r="B101" s="97" t="s">
        <v>716</v>
      </c>
      <c r="C101" s="101">
        <f t="shared" si="1"/>
        <v>0.71799999999999997</v>
      </c>
      <c r="D101" s="69"/>
      <c r="E101" s="69"/>
      <c r="F101" s="69"/>
      <c r="G101" s="69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</row>
    <row r="102" spans="1:18" x14ac:dyDescent="0.2">
      <c r="G102" s="69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</row>
    <row r="103" spans="1:18" x14ac:dyDescent="0.2">
      <c r="A103" s="182">
        <v>10</v>
      </c>
      <c r="B103" s="182" t="s">
        <v>181</v>
      </c>
      <c r="C103" s="182"/>
      <c r="D103" s="183"/>
      <c r="E103" s="184"/>
      <c r="F103" s="184"/>
      <c r="G103" s="184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</row>
    <row r="104" spans="1:18" x14ac:dyDescent="0.2">
      <c r="A104" s="98"/>
      <c r="B104" s="98" t="s">
        <v>276</v>
      </c>
      <c r="C104" s="98" t="s">
        <v>181</v>
      </c>
      <c r="G104" s="69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</row>
    <row r="105" spans="1:18" x14ac:dyDescent="0.2">
      <c r="A105" s="35" t="s">
        <v>286</v>
      </c>
      <c r="B105" s="35" t="s">
        <v>270</v>
      </c>
      <c r="C105" s="96">
        <v>0</v>
      </c>
      <c r="G105" s="69"/>
      <c r="H105" s="5"/>
      <c r="I105" s="5"/>
      <c r="J105" s="5"/>
      <c r="K105" s="6"/>
      <c r="L105" s="6"/>
      <c r="M105" s="6"/>
      <c r="N105" s="6"/>
      <c r="O105" s="6"/>
      <c r="P105" s="6"/>
      <c r="Q105" s="6"/>
      <c r="R105" s="6"/>
    </row>
    <row r="106" spans="1:18" x14ac:dyDescent="0.2">
      <c r="A106" s="35" t="s">
        <v>286</v>
      </c>
      <c r="B106" s="35" t="s">
        <v>271</v>
      </c>
      <c r="C106" s="96">
        <v>0.2</v>
      </c>
      <c r="G106" s="69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</row>
    <row r="107" spans="1:18" x14ac:dyDescent="0.2">
      <c r="A107" s="35" t="s">
        <v>286</v>
      </c>
      <c r="B107" s="35" t="s">
        <v>272</v>
      </c>
      <c r="C107" s="96">
        <v>0</v>
      </c>
      <c r="G107" s="69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</row>
    <row r="108" spans="1:18" x14ac:dyDescent="0.2">
      <c r="A108" s="35" t="s">
        <v>286</v>
      </c>
      <c r="B108" s="35" t="s">
        <v>273</v>
      </c>
      <c r="C108" s="96">
        <v>0.2</v>
      </c>
      <c r="G108" s="69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</row>
    <row r="109" spans="1:18" x14ac:dyDescent="0.2">
      <c r="A109" s="35" t="s">
        <v>286</v>
      </c>
      <c r="B109" s="97" t="s">
        <v>293</v>
      </c>
      <c r="C109" s="96">
        <v>0</v>
      </c>
      <c r="G109" s="69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</row>
    <row r="110" spans="1:18" x14ac:dyDescent="0.2">
      <c r="A110" s="35" t="s">
        <v>286</v>
      </c>
      <c r="B110" s="35" t="s">
        <v>274</v>
      </c>
      <c r="C110" s="96">
        <v>0.2</v>
      </c>
      <c r="G110" s="69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</row>
    <row r="111" spans="1:18" x14ac:dyDescent="0.2">
      <c r="A111" s="35" t="s">
        <v>286</v>
      </c>
      <c r="B111" s="97" t="s">
        <v>716</v>
      </c>
      <c r="C111" s="96">
        <v>0</v>
      </c>
      <c r="G111" s="69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</row>
    <row r="112" spans="1:18" s="5" customFormat="1" x14ac:dyDescent="0.2">
      <c r="B112" s="74"/>
      <c r="C112" s="99"/>
      <c r="D112" s="1"/>
      <c r="E112" s="1"/>
      <c r="F112" s="1"/>
      <c r="G112" s="69"/>
      <c r="H112" s="6"/>
      <c r="I112" s="6"/>
      <c r="J112" s="6"/>
    </row>
    <row r="113" spans="1:18" ht="13.5" thickBot="1" x14ac:dyDescent="0.25">
      <c r="A113" s="185" t="s">
        <v>263</v>
      </c>
      <c r="B113" s="182"/>
      <c r="C113" s="182" t="s">
        <v>264</v>
      </c>
      <c r="D113" s="184"/>
      <c r="E113" s="184"/>
      <c r="F113" s="184"/>
      <c r="G113" s="184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</row>
    <row r="114" spans="1:18" x14ac:dyDescent="0.2">
      <c r="A114" s="293" t="s">
        <v>202</v>
      </c>
      <c r="B114" s="294" t="s">
        <v>203</v>
      </c>
      <c r="C114" s="295" t="s">
        <v>72</v>
      </c>
      <c r="D114" s="289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</row>
    <row r="115" spans="1:18" x14ac:dyDescent="0.2">
      <c r="A115" s="78" t="s">
        <v>204</v>
      </c>
      <c r="B115" s="80" t="s">
        <v>205</v>
      </c>
      <c r="C115" s="374">
        <v>0.2</v>
      </c>
      <c r="D115" s="290"/>
      <c r="K115" s="6"/>
      <c r="L115" s="6"/>
      <c r="M115" s="6"/>
      <c r="N115" s="6"/>
      <c r="O115" s="6"/>
      <c r="P115" s="6"/>
      <c r="Q115" s="6"/>
      <c r="R115" s="6"/>
    </row>
    <row r="116" spans="1:18" x14ac:dyDescent="0.2">
      <c r="A116" s="78" t="s">
        <v>206</v>
      </c>
      <c r="B116" s="80" t="s">
        <v>207</v>
      </c>
      <c r="C116" s="374">
        <v>1.4999999999999999E-2</v>
      </c>
      <c r="D116" s="290"/>
      <c r="K116" s="6"/>
      <c r="L116" s="6"/>
      <c r="M116" s="6"/>
      <c r="N116" s="6"/>
      <c r="O116" s="6"/>
      <c r="P116" s="6"/>
      <c r="Q116" s="6"/>
      <c r="R116" s="6"/>
    </row>
    <row r="117" spans="1:18" x14ac:dyDescent="0.2">
      <c r="A117" s="78" t="s">
        <v>208</v>
      </c>
      <c r="B117" s="80" t="s">
        <v>209</v>
      </c>
      <c r="C117" s="374">
        <v>0.01</v>
      </c>
      <c r="D117" s="290"/>
      <c r="K117" s="6"/>
      <c r="L117" s="6"/>
      <c r="M117" s="6"/>
      <c r="N117" s="6"/>
      <c r="O117" s="6"/>
      <c r="P117" s="6"/>
      <c r="Q117" s="6"/>
      <c r="R117" s="6"/>
    </row>
    <row r="118" spans="1:18" x14ac:dyDescent="0.2">
      <c r="A118" s="78" t="s">
        <v>210</v>
      </c>
      <c r="B118" s="80" t="s">
        <v>211</v>
      </c>
      <c r="C118" s="374">
        <v>2E-3</v>
      </c>
      <c r="D118" s="290"/>
      <c r="K118" s="6"/>
      <c r="L118" s="6"/>
      <c r="M118" s="6"/>
      <c r="N118" s="6"/>
      <c r="O118" s="6"/>
      <c r="P118" s="6"/>
      <c r="Q118" s="6"/>
      <c r="R118" s="6"/>
    </row>
    <row r="119" spans="1:18" x14ac:dyDescent="0.2">
      <c r="A119" s="78" t="s">
        <v>212</v>
      </c>
      <c r="B119" s="80" t="s">
        <v>213</v>
      </c>
      <c r="C119" s="374">
        <v>6.0000000000000001E-3</v>
      </c>
      <c r="D119" s="290"/>
      <c r="K119" s="6"/>
      <c r="L119" s="6"/>
      <c r="M119" s="6"/>
      <c r="N119" s="6"/>
      <c r="O119" s="6"/>
      <c r="P119" s="6"/>
      <c r="Q119" s="6"/>
      <c r="R119" s="6"/>
    </row>
    <row r="120" spans="1:18" x14ac:dyDescent="0.2">
      <c r="A120" s="78" t="s">
        <v>214</v>
      </c>
      <c r="B120" s="80" t="s">
        <v>215</v>
      </c>
      <c r="C120" s="374">
        <v>2.5000000000000001E-2</v>
      </c>
      <c r="D120" s="290"/>
      <c r="K120" s="6"/>
      <c r="L120" s="6"/>
      <c r="M120" s="6"/>
      <c r="N120" s="6"/>
      <c r="O120" s="6"/>
      <c r="P120" s="6"/>
      <c r="Q120" s="6"/>
      <c r="R120" s="6"/>
    </row>
    <row r="121" spans="1:18" s="3" customFormat="1" x14ac:dyDescent="0.2">
      <c r="A121" s="78" t="s">
        <v>216</v>
      </c>
      <c r="B121" s="80" t="s">
        <v>217</v>
      </c>
      <c r="C121" s="374">
        <v>0.03</v>
      </c>
      <c r="D121" s="290"/>
    </row>
    <row r="122" spans="1:18" s="3" customFormat="1" x14ac:dyDescent="0.2">
      <c r="A122" s="78" t="s">
        <v>218</v>
      </c>
      <c r="B122" s="80" t="s">
        <v>219</v>
      </c>
      <c r="C122" s="374">
        <v>0.08</v>
      </c>
      <c r="D122" s="290"/>
    </row>
    <row r="123" spans="1:18" s="3" customFormat="1" x14ac:dyDescent="0.2">
      <c r="A123" s="78" t="s">
        <v>642</v>
      </c>
      <c r="B123" s="80" t="s">
        <v>643</v>
      </c>
      <c r="C123" s="374">
        <v>0.01</v>
      </c>
      <c r="D123" s="290"/>
    </row>
    <row r="124" spans="1:18" s="3" customFormat="1" x14ac:dyDescent="0.2">
      <c r="A124" s="78" t="s">
        <v>220</v>
      </c>
      <c r="B124" s="81" t="s">
        <v>221</v>
      </c>
      <c r="C124" s="375">
        <f>SUM(C115:C123)</f>
        <v>0.378</v>
      </c>
      <c r="D124" s="291"/>
    </row>
    <row r="125" spans="1:18" s="3" customFormat="1" x14ac:dyDescent="0.2">
      <c r="A125" s="82"/>
      <c r="B125" s="83"/>
      <c r="C125" s="376"/>
      <c r="D125" s="291"/>
    </row>
    <row r="126" spans="1:18" s="3" customFormat="1" x14ac:dyDescent="0.2">
      <c r="A126" s="78" t="s">
        <v>222</v>
      </c>
      <c r="B126" s="84" t="s">
        <v>223</v>
      </c>
      <c r="C126" s="377">
        <v>0</v>
      </c>
      <c r="D126" s="292"/>
    </row>
    <row r="127" spans="1:18" s="3" customFormat="1" x14ac:dyDescent="0.2">
      <c r="A127" s="78" t="s">
        <v>224</v>
      </c>
      <c r="B127" s="85" t="s">
        <v>225</v>
      </c>
      <c r="C127" s="378">
        <v>0</v>
      </c>
      <c r="D127" s="292"/>
    </row>
    <row r="128" spans="1:18" s="3" customFormat="1" x14ac:dyDescent="0.2">
      <c r="A128" s="78" t="s">
        <v>226</v>
      </c>
      <c r="B128" s="85" t="s">
        <v>227</v>
      </c>
      <c r="C128" s="378">
        <v>6.6E-3</v>
      </c>
      <c r="D128" s="292"/>
    </row>
    <row r="129" spans="1:32" s="3" customFormat="1" x14ac:dyDescent="0.2">
      <c r="A129" s="78" t="s">
        <v>228</v>
      </c>
      <c r="B129" s="85" t="s">
        <v>229</v>
      </c>
      <c r="C129" s="378">
        <v>8.3299999999999999E-2</v>
      </c>
      <c r="D129" s="292"/>
    </row>
    <row r="130" spans="1:32" s="3" customFormat="1" x14ac:dyDescent="0.2">
      <c r="A130" s="78" t="s">
        <v>230</v>
      </c>
      <c r="B130" s="85" t="s">
        <v>231</v>
      </c>
      <c r="C130" s="378">
        <v>5.0000000000000001E-4</v>
      </c>
      <c r="D130" s="292"/>
    </row>
    <row r="131" spans="1:32" s="3" customFormat="1" x14ac:dyDescent="0.2">
      <c r="A131" s="78" t="s">
        <v>232</v>
      </c>
      <c r="B131" s="85" t="s">
        <v>233</v>
      </c>
      <c r="C131" s="378">
        <v>5.5999999999999999E-3</v>
      </c>
      <c r="D131" s="292"/>
    </row>
    <row r="132" spans="1:32" s="3" customFormat="1" x14ac:dyDescent="0.2">
      <c r="A132" s="78" t="s">
        <v>234</v>
      </c>
      <c r="B132" s="85" t="s">
        <v>235</v>
      </c>
      <c r="C132" s="378">
        <v>0</v>
      </c>
      <c r="D132" s="292"/>
    </row>
    <row r="133" spans="1:32" s="3" customFormat="1" x14ac:dyDescent="0.2">
      <c r="A133" s="78" t="s">
        <v>236</v>
      </c>
      <c r="B133" s="85" t="s">
        <v>237</v>
      </c>
      <c r="C133" s="378">
        <v>8.0000000000000004E-4</v>
      </c>
      <c r="D133" s="292"/>
    </row>
    <row r="134" spans="1:32" s="3" customFormat="1" x14ac:dyDescent="0.2">
      <c r="A134" s="78" t="s">
        <v>238</v>
      </c>
      <c r="B134" s="84" t="s">
        <v>239</v>
      </c>
      <c r="C134" s="377">
        <v>9.4700000000000006E-2</v>
      </c>
      <c r="D134" s="292"/>
    </row>
    <row r="135" spans="1:32" s="3" customFormat="1" x14ac:dyDescent="0.2">
      <c r="A135" s="78" t="s">
        <v>240</v>
      </c>
      <c r="B135" s="84" t="s">
        <v>241</v>
      </c>
      <c r="C135" s="377">
        <v>2.9999999999999997E-4</v>
      </c>
      <c r="D135" s="292"/>
    </row>
    <row r="136" spans="1:32" s="3" customFormat="1" x14ac:dyDescent="0.2">
      <c r="A136" s="78" t="s">
        <v>242</v>
      </c>
      <c r="B136" s="81" t="s">
        <v>243</v>
      </c>
      <c r="C136" s="375">
        <f>SUM(C126:C135)</f>
        <v>0.1918</v>
      </c>
      <c r="D136" s="291"/>
    </row>
    <row r="137" spans="1:32" s="3" customFormat="1" x14ac:dyDescent="0.2">
      <c r="A137" s="82"/>
      <c r="B137" s="83"/>
      <c r="C137" s="376"/>
      <c r="D137" s="291"/>
    </row>
    <row r="138" spans="1:32" s="3" customFormat="1" x14ac:dyDescent="0.2">
      <c r="A138" s="78" t="s">
        <v>244</v>
      </c>
      <c r="B138" s="79" t="s">
        <v>245</v>
      </c>
      <c r="C138" s="377">
        <v>3.6299999999999999E-2</v>
      </c>
      <c r="D138" s="292"/>
    </row>
    <row r="139" spans="1:32" s="3" customFormat="1" x14ac:dyDescent="0.2">
      <c r="A139" s="78" t="s">
        <v>246</v>
      </c>
      <c r="B139" s="79" t="s">
        <v>247</v>
      </c>
      <c r="C139" s="377">
        <v>8.9999999999999998E-4</v>
      </c>
      <c r="D139" s="292"/>
    </row>
    <row r="140" spans="1:32" s="3" customFormat="1" x14ac:dyDescent="0.2">
      <c r="A140" s="78" t="s">
        <v>248</v>
      </c>
      <c r="B140" s="79" t="s">
        <v>249</v>
      </c>
      <c r="C140" s="377">
        <v>1.26E-2</v>
      </c>
      <c r="D140" s="292"/>
    </row>
    <row r="141" spans="1:32" s="3" customFormat="1" x14ac:dyDescent="0.2">
      <c r="A141" s="78" t="s">
        <v>250</v>
      </c>
      <c r="B141" s="79" t="s">
        <v>251</v>
      </c>
      <c r="C141" s="377">
        <v>1.8599999999999998E-2</v>
      </c>
      <c r="D141" s="292"/>
    </row>
    <row r="142" spans="1:32" s="3" customFormat="1" x14ac:dyDescent="0.2">
      <c r="A142" s="78" t="s">
        <v>252</v>
      </c>
      <c r="B142" s="79" t="s">
        <v>253</v>
      </c>
      <c r="C142" s="377">
        <v>3.0999999999999999E-3</v>
      </c>
      <c r="D142" s="292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</row>
    <row r="143" spans="1:32" s="3" customFormat="1" x14ac:dyDescent="0.2">
      <c r="A143" s="78" t="s">
        <v>254</v>
      </c>
      <c r="B143" s="81" t="s">
        <v>255</v>
      </c>
      <c r="C143" s="375">
        <f>SUM(C138:C142)</f>
        <v>7.1499999999999994E-2</v>
      </c>
      <c r="D143" s="291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</row>
    <row r="144" spans="1:32" s="3" customFormat="1" x14ac:dyDescent="0.2">
      <c r="A144" s="82"/>
      <c r="B144" s="83"/>
      <c r="C144" s="376"/>
      <c r="D144" s="291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</row>
    <row r="145" spans="1:34" s="3" customFormat="1" x14ac:dyDescent="0.2">
      <c r="A145" s="78" t="s">
        <v>256</v>
      </c>
      <c r="B145" s="86" t="s">
        <v>257</v>
      </c>
      <c r="C145" s="377">
        <f>ROUND(C124*C136,4)</f>
        <v>7.2499999999999995E-2</v>
      </c>
      <c r="D145" s="292"/>
      <c r="J145" s="123"/>
      <c r="K145" s="123"/>
      <c r="L145" s="123"/>
      <c r="M145" s="74"/>
      <c r="N145" s="74"/>
      <c r="O145" s="74"/>
      <c r="P145" s="123"/>
      <c r="Q145" s="123"/>
      <c r="R145" s="122"/>
      <c r="S145" s="121"/>
      <c r="T145" s="121"/>
      <c r="U145" s="121"/>
      <c r="V145" s="121"/>
      <c r="W145" s="121"/>
      <c r="X145" s="121"/>
      <c r="Y145" s="121"/>
      <c r="Z145" s="121"/>
      <c r="AA145" s="121"/>
      <c r="AB145" s="121"/>
      <c r="AC145" s="121"/>
      <c r="AD145" s="121"/>
      <c r="AE145" s="121"/>
      <c r="AF145" s="121"/>
    </row>
    <row r="146" spans="1:34" s="3" customFormat="1" x14ac:dyDescent="0.2">
      <c r="A146" s="78" t="s">
        <v>258</v>
      </c>
      <c r="B146" s="86" t="s">
        <v>259</v>
      </c>
      <c r="C146" s="377">
        <f>(C124*C139)+(C122*C138)</f>
        <v>3.2000000000000002E-3</v>
      </c>
      <c r="D146" s="292"/>
      <c r="J146" s="117"/>
      <c r="K146" s="28"/>
      <c r="L146" s="117"/>
      <c r="M146" s="28"/>
      <c r="N146" s="28"/>
      <c r="O146" s="28"/>
      <c r="P146" s="117"/>
      <c r="Q146" s="117"/>
      <c r="R146" s="25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</row>
    <row r="147" spans="1:34" s="3" customFormat="1" x14ac:dyDescent="0.2">
      <c r="A147" s="78" t="s">
        <v>260</v>
      </c>
      <c r="B147" s="81" t="s">
        <v>261</v>
      </c>
      <c r="C147" s="375">
        <f>SUM(C145:C146)</f>
        <v>7.5700000000000003E-2</v>
      </c>
      <c r="D147" s="291"/>
      <c r="J147" s="119"/>
      <c r="K147" s="14"/>
      <c r="L147" s="119"/>
      <c r="M147" s="28"/>
      <c r="N147" s="28"/>
      <c r="O147" s="28"/>
      <c r="P147" s="119"/>
      <c r="Q147" s="119"/>
      <c r="R147" s="25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</row>
    <row r="148" spans="1:34" ht="13.5" thickBot="1" x14ac:dyDescent="0.25">
      <c r="A148" s="87"/>
      <c r="B148" s="88" t="s">
        <v>262</v>
      </c>
      <c r="C148" s="379">
        <v>0.71799999999999997</v>
      </c>
      <c r="D148" s="291"/>
      <c r="J148" s="28"/>
      <c r="K148" s="14"/>
      <c r="L148" s="28"/>
      <c r="M148" s="28"/>
      <c r="N148" s="28"/>
      <c r="O148" s="28"/>
      <c r="P148" s="28"/>
      <c r="Q148" s="28"/>
      <c r="R148" s="28"/>
    </row>
    <row r="149" spans="1:34" x14ac:dyDescent="0.2">
      <c r="J149" s="28"/>
      <c r="K149" s="14"/>
      <c r="L149" s="28"/>
      <c r="M149" s="28"/>
      <c r="N149" s="28"/>
      <c r="O149" s="28"/>
      <c r="P149" s="28"/>
      <c r="Q149" s="28"/>
      <c r="R149" s="28"/>
    </row>
    <row r="150" spans="1:34" x14ac:dyDescent="0.2">
      <c r="A150" s="25"/>
      <c r="B150" s="116" t="s">
        <v>310</v>
      </c>
      <c r="C150" s="124">
        <v>12</v>
      </c>
      <c r="J150" s="28"/>
      <c r="K150" s="28"/>
      <c r="L150" s="28"/>
      <c r="M150" s="28"/>
      <c r="N150" s="28"/>
      <c r="O150" s="28"/>
      <c r="P150" s="28"/>
      <c r="Q150" s="28"/>
      <c r="R150" s="28"/>
    </row>
    <row r="151" spans="1:34" s="121" customFormat="1" x14ac:dyDescent="0.2">
      <c r="A151" s="123"/>
      <c r="B151" s="120" t="s">
        <v>309</v>
      </c>
      <c r="C151" s="120" t="s">
        <v>43</v>
      </c>
      <c r="D151" s="120" t="s">
        <v>44</v>
      </c>
      <c r="E151" s="120" t="s">
        <v>45</v>
      </c>
      <c r="F151" s="120" t="s">
        <v>48</v>
      </c>
      <c r="G151" s="120" t="s">
        <v>641</v>
      </c>
      <c r="H151" s="120" t="s">
        <v>122</v>
      </c>
      <c r="I151" s="120" t="s">
        <v>123</v>
      </c>
      <c r="J151" s="14"/>
      <c r="K151" s="28"/>
      <c r="L151" s="14"/>
      <c r="M151" s="14"/>
      <c r="N151" s="14"/>
      <c r="O151" s="14"/>
      <c r="P151" s="14"/>
      <c r="Q151" s="14"/>
      <c r="R151" s="14"/>
      <c r="S151" s="7"/>
      <c r="T151" s="7"/>
      <c r="U151" s="7"/>
      <c r="V151" s="7"/>
      <c r="W151" s="7"/>
      <c r="X151" s="7"/>
      <c r="Y151" s="7"/>
      <c r="Z151" s="7"/>
      <c r="AA151" s="7"/>
      <c r="AB151" s="7"/>
      <c r="AC151" s="7"/>
      <c r="AD151" s="7"/>
      <c r="AE151" s="7"/>
      <c r="AF151" s="7"/>
    </row>
    <row r="152" spans="1:34" x14ac:dyDescent="0.2">
      <c r="A152" s="117"/>
      <c r="B152" s="116" t="s">
        <v>311</v>
      </c>
      <c r="C152" s="124">
        <v>6</v>
      </c>
      <c r="D152" s="124">
        <v>6</v>
      </c>
      <c r="E152" s="124">
        <v>6</v>
      </c>
      <c r="F152" s="124">
        <v>6</v>
      </c>
      <c r="G152" s="124">
        <v>2</v>
      </c>
      <c r="H152" s="124">
        <v>6</v>
      </c>
      <c r="I152" s="124">
        <v>12</v>
      </c>
      <c r="J152" s="14"/>
      <c r="K152" s="28"/>
      <c r="L152" s="14"/>
      <c r="M152" s="14"/>
      <c r="N152" s="14"/>
      <c r="O152" s="14"/>
      <c r="P152" s="14"/>
      <c r="Q152" s="14"/>
      <c r="R152" s="14"/>
      <c r="S152" s="7"/>
      <c r="T152" s="7"/>
      <c r="U152" s="7"/>
      <c r="V152" s="7"/>
      <c r="W152" s="7"/>
      <c r="X152" s="7"/>
      <c r="Y152" s="7"/>
      <c r="Z152" s="7"/>
      <c r="AA152" s="7"/>
      <c r="AB152" s="7"/>
      <c r="AC152" s="7"/>
      <c r="AD152" s="7"/>
      <c r="AE152" s="7"/>
      <c r="AF152" s="7"/>
    </row>
    <row r="153" spans="1:34" x14ac:dyDescent="0.2">
      <c r="A153" s="117"/>
      <c r="B153" s="116" t="s">
        <v>312</v>
      </c>
      <c r="C153" s="124">
        <f t="shared" ref="C153:H153" si="2">C152/$C$150</f>
        <v>0.5</v>
      </c>
      <c r="D153" s="124">
        <f t="shared" si="2"/>
        <v>0.5</v>
      </c>
      <c r="E153" s="124">
        <f t="shared" si="2"/>
        <v>0.5</v>
      </c>
      <c r="F153" s="124">
        <f t="shared" si="2"/>
        <v>0.5</v>
      </c>
      <c r="G153" s="124">
        <f t="shared" si="2"/>
        <v>0.17</v>
      </c>
      <c r="H153" s="124">
        <f t="shared" si="2"/>
        <v>0.5</v>
      </c>
      <c r="I153" s="124">
        <v>0.3</v>
      </c>
      <c r="J153" s="115"/>
      <c r="K153" s="28"/>
      <c r="L153" s="115"/>
      <c r="M153" s="1"/>
      <c r="N153" s="28"/>
      <c r="O153" s="28"/>
      <c r="P153" s="115"/>
      <c r="Q153" s="115"/>
      <c r="R153" s="25"/>
    </row>
    <row r="154" spans="1:34" x14ac:dyDescent="0.2">
      <c r="A154" s="25"/>
      <c r="B154" s="334" t="s">
        <v>618</v>
      </c>
      <c r="C154" s="380">
        <f>$C$22+$D$22+$F$22+$E$23+$G$22+$G$23+$C$30+$E$22+$C$23+$D$23+$F$23</f>
        <v>19</v>
      </c>
      <c r="D154" s="380">
        <f>$C$22+$D$22+$F$22+$E$23+$G$22+$G$23+$C$30+$E$22+$C$23+$D$23+$F$23</f>
        <v>19</v>
      </c>
      <c r="E154" s="380">
        <f>$C$22+$D$22+$F$22+$E$23+$G$22+$G$23+$C$30+$E$22+$C$23+$D$23+$F$23</f>
        <v>19</v>
      </c>
      <c r="F154" s="380">
        <f>$C$22+$D$22+$F$22+$E$23+$G$22+$G$23+$C$30+$E$22+$C$23+$D$23+$F$23</f>
        <v>19</v>
      </c>
      <c r="G154" s="380">
        <f>$C$22+$D$22+$F$22+$E$23+$G$22+$G$23+$C$30+$E$22+$C$23+$D$23+$F$23</f>
        <v>19</v>
      </c>
      <c r="H154" s="380">
        <f>C30+C22+D22+F22</f>
        <v>16</v>
      </c>
      <c r="I154" s="380">
        <f>H154</f>
        <v>16</v>
      </c>
      <c r="J154" s="115"/>
      <c r="K154" s="28"/>
      <c r="L154" s="115"/>
      <c r="M154" s="1"/>
      <c r="N154" s="28"/>
      <c r="O154" s="28"/>
      <c r="P154" s="115"/>
      <c r="Q154" s="115"/>
      <c r="R154" s="25"/>
    </row>
    <row r="155" spans="1:34" x14ac:dyDescent="0.2">
      <c r="A155" s="25"/>
      <c r="B155" s="335" t="s">
        <v>619</v>
      </c>
      <c r="C155" s="380">
        <f>$C$22+$D$22+$F$22+$E$23+$G$22+$G$23+$C$30+$E$22+$C$23+$D$23+$F$23</f>
        <v>19</v>
      </c>
      <c r="D155" s="380">
        <f>$C$22+$D$22+$F$22+$E$23+$G$22+$G$23+$C$30+$E$22+$C$23+$D$23+$F$23</f>
        <v>19</v>
      </c>
      <c r="E155" s="118">
        <f>E154*E153</f>
        <v>9.5</v>
      </c>
      <c r="F155" s="118">
        <f>F154*F153</f>
        <v>9.5</v>
      </c>
      <c r="G155" s="118">
        <f>G154*G153</f>
        <v>3.23</v>
      </c>
      <c r="H155" s="118">
        <f>H154*H153</f>
        <v>8</v>
      </c>
      <c r="I155" s="118">
        <f>I154*I153</f>
        <v>4.8</v>
      </c>
      <c r="N155" s="28"/>
      <c r="O155" s="28"/>
      <c r="P155" s="28"/>
      <c r="Q155" s="28"/>
      <c r="R155" s="28"/>
    </row>
    <row r="156" spans="1:34" s="26" customFormat="1" x14ac:dyDescent="0.2">
      <c r="A156" s="25"/>
      <c r="B156" s="337"/>
      <c r="C156" s="338"/>
      <c r="D156" s="115"/>
      <c r="E156" s="115"/>
      <c r="F156" s="115"/>
      <c r="G156" s="115"/>
      <c r="H156" s="115"/>
      <c r="I156" s="28"/>
      <c r="J156" s="14"/>
      <c r="K156" s="119"/>
      <c r="L156" s="28"/>
      <c r="M156" s="6"/>
      <c r="N156" s="25"/>
      <c r="O156" s="25"/>
      <c r="P156" s="28"/>
      <c r="Q156" s="28"/>
      <c r="R156" s="28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</row>
    <row r="157" spans="1:34" x14ac:dyDescent="0.2">
      <c r="A157" s="25"/>
      <c r="B157" s="116" t="s">
        <v>310</v>
      </c>
      <c r="C157" s="124">
        <v>12</v>
      </c>
      <c r="I157" s="28"/>
      <c r="J157" s="14"/>
      <c r="K157" s="28"/>
      <c r="L157" s="28"/>
      <c r="M157" s="6"/>
      <c r="N157" s="25"/>
      <c r="O157" s="25"/>
      <c r="P157" s="28"/>
      <c r="Q157" s="28"/>
      <c r="R157" s="28"/>
    </row>
    <row r="158" spans="1:34" s="121" customFormat="1" x14ac:dyDescent="0.2">
      <c r="A158" s="123"/>
      <c r="B158" s="120" t="s">
        <v>309</v>
      </c>
      <c r="C158" s="120" t="s">
        <v>43</v>
      </c>
      <c r="D158" s="120" t="s">
        <v>44</v>
      </c>
      <c r="E158" s="120" t="s">
        <v>45</v>
      </c>
      <c r="F158" s="120" t="s">
        <v>48</v>
      </c>
      <c r="G158" s="120" t="s">
        <v>46</v>
      </c>
      <c r="H158" s="120" t="s">
        <v>87</v>
      </c>
      <c r="I158" s="120" t="s">
        <v>131</v>
      </c>
      <c r="J158" s="120" t="s">
        <v>122</v>
      </c>
      <c r="K158" s="120" t="s">
        <v>123</v>
      </c>
      <c r="L158" s="14"/>
      <c r="M158" s="28"/>
      <c r="N158" s="14"/>
      <c r="O158" s="7"/>
      <c r="P158" s="12"/>
      <c r="Q158" s="12"/>
      <c r="R158" s="14"/>
      <c r="S158" s="14"/>
      <c r="T158" s="14"/>
      <c r="U158" s="7"/>
      <c r="V158" s="7"/>
      <c r="W158" s="7"/>
      <c r="X158" s="7"/>
      <c r="Y158" s="7"/>
      <c r="Z158" s="7"/>
      <c r="AA158" s="7"/>
      <c r="AB158" s="7"/>
      <c r="AC158" s="7"/>
      <c r="AD158" s="7"/>
      <c r="AE158" s="7"/>
      <c r="AF158" s="7"/>
      <c r="AG158" s="7"/>
      <c r="AH158" s="7"/>
    </row>
    <row r="159" spans="1:34" x14ac:dyDescent="0.2">
      <c r="A159" s="117"/>
      <c r="B159" s="116" t="s">
        <v>311</v>
      </c>
      <c r="C159" s="124">
        <v>4</v>
      </c>
      <c r="D159" s="124">
        <v>4</v>
      </c>
      <c r="E159" s="124">
        <v>4</v>
      </c>
      <c r="F159" s="124">
        <v>4</v>
      </c>
      <c r="G159" s="124">
        <v>2</v>
      </c>
      <c r="H159" s="124">
        <v>1</v>
      </c>
      <c r="I159" s="124">
        <v>1</v>
      </c>
      <c r="J159" s="124">
        <v>6</v>
      </c>
      <c r="K159" s="124">
        <v>12</v>
      </c>
      <c r="L159" s="28"/>
      <c r="M159" s="28"/>
      <c r="N159" s="14"/>
      <c r="O159" s="7"/>
      <c r="P159" s="12"/>
      <c r="Q159" s="12"/>
      <c r="R159" s="14"/>
      <c r="S159" s="14"/>
      <c r="T159" s="14"/>
      <c r="U159" s="7"/>
      <c r="V159" s="7"/>
      <c r="W159" s="7"/>
      <c r="X159" s="7"/>
      <c r="Y159" s="7"/>
      <c r="Z159" s="7"/>
      <c r="AA159" s="7"/>
      <c r="AB159" s="7"/>
      <c r="AC159" s="7"/>
      <c r="AD159" s="7"/>
      <c r="AE159" s="7"/>
      <c r="AF159" s="7"/>
      <c r="AG159" s="7"/>
      <c r="AH159" s="7"/>
    </row>
    <row r="160" spans="1:34" x14ac:dyDescent="0.2">
      <c r="A160" s="117"/>
      <c r="B160" s="116" t="s">
        <v>312</v>
      </c>
      <c r="C160" s="124">
        <f>C159/$C$150</f>
        <v>0.33</v>
      </c>
      <c r="D160" s="124">
        <f>D159/$C$150</f>
        <v>0.33</v>
      </c>
      <c r="E160" s="124">
        <f>E159/$C$150</f>
        <v>0.33</v>
      </c>
      <c r="F160" s="124">
        <f>F159/$C$150</f>
        <v>0.33</v>
      </c>
      <c r="G160" s="124">
        <f>G159/$C$148</f>
        <v>2.79</v>
      </c>
      <c r="H160" s="124">
        <f>H159/$C$148</f>
        <v>1.39</v>
      </c>
      <c r="I160" s="124">
        <f>I159/$C$148</f>
        <v>1.39</v>
      </c>
      <c r="J160" s="124">
        <f>J159/$C$150</f>
        <v>0.5</v>
      </c>
      <c r="K160" s="124">
        <f>K159/$C$150</f>
        <v>1</v>
      </c>
      <c r="L160" s="14"/>
      <c r="M160" s="119"/>
      <c r="N160" s="115"/>
      <c r="O160" s="6"/>
      <c r="P160" s="25"/>
      <c r="Q160" s="25"/>
      <c r="R160" s="115"/>
      <c r="S160" s="115"/>
      <c r="T160" s="115"/>
    </row>
    <row r="161" spans="1:39" x14ac:dyDescent="0.2">
      <c r="A161" s="117"/>
      <c r="B161" s="334" t="s">
        <v>101</v>
      </c>
      <c r="C161" s="124">
        <f>C31</f>
        <v>3</v>
      </c>
      <c r="D161" s="124">
        <f t="shared" ref="D161:J162" si="3">$C$31</f>
        <v>3</v>
      </c>
      <c r="E161" s="124">
        <f t="shared" si="3"/>
        <v>3</v>
      </c>
      <c r="F161" s="124">
        <f t="shared" si="3"/>
        <v>3</v>
      </c>
      <c r="G161" s="353">
        <f t="shared" si="3"/>
        <v>3</v>
      </c>
      <c r="H161" s="353">
        <f t="shared" si="3"/>
        <v>3</v>
      </c>
      <c r="I161" s="353">
        <f t="shared" si="3"/>
        <v>3</v>
      </c>
      <c r="J161" s="380">
        <f t="shared" si="3"/>
        <v>3</v>
      </c>
      <c r="K161" s="380">
        <f>J161</f>
        <v>3</v>
      </c>
      <c r="L161" s="14"/>
      <c r="M161" s="119"/>
      <c r="N161" s="115"/>
      <c r="O161" s="6"/>
      <c r="P161" s="25"/>
      <c r="Q161" s="25"/>
      <c r="R161" s="115"/>
      <c r="S161" s="115"/>
      <c r="T161" s="115"/>
    </row>
    <row r="162" spans="1:39" x14ac:dyDescent="0.2">
      <c r="A162" s="25"/>
      <c r="B162" s="335" t="s">
        <v>619</v>
      </c>
      <c r="C162" s="124">
        <f>$C$31</f>
        <v>3</v>
      </c>
      <c r="D162" s="124">
        <f t="shared" si="3"/>
        <v>3</v>
      </c>
      <c r="E162" s="124">
        <f t="shared" si="3"/>
        <v>3</v>
      </c>
      <c r="F162" s="124">
        <f t="shared" si="3"/>
        <v>3</v>
      </c>
      <c r="G162" s="124">
        <f t="shared" si="3"/>
        <v>3</v>
      </c>
      <c r="H162" s="124">
        <f t="shared" si="3"/>
        <v>3</v>
      </c>
      <c r="I162" s="124">
        <f t="shared" si="3"/>
        <v>3</v>
      </c>
      <c r="J162" s="124">
        <f t="shared" si="3"/>
        <v>3</v>
      </c>
      <c r="K162" s="118">
        <f>C31*K160</f>
        <v>3</v>
      </c>
      <c r="R162" s="6"/>
    </row>
    <row r="163" spans="1:39" s="26" customFormat="1" x14ac:dyDescent="0.2">
      <c r="A163" s="25"/>
      <c r="B163" s="337"/>
      <c r="C163" s="338"/>
      <c r="D163" s="115"/>
      <c r="E163" s="115"/>
      <c r="F163" s="115"/>
      <c r="G163" s="115"/>
      <c r="H163" s="6"/>
      <c r="I163" s="28"/>
      <c r="J163" s="14"/>
      <c r="K163" s="28"/>
      <c r="L163" s="6"/>
      <c r="M163" s="6"/>
      <c r="N163" s="6"/>
      <c r="O163" s="6"/>
      <c r="P163" s="28"/>
      <c r="Q163" s="28"/>
      <c r="R163" s="28"/>
      <c r="S163" s="25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</row>
    <row r="164" spans="1:39" x14ac:dyDescent="0.2">
      <c r="A164" s="25"/>
      <c r="B164" s="116" t="s">
        <v>310</v>
      </c>
      <c r="C164" s="124">
        <v>12</v>
      </c>
      <c r="H164" s="6"/>
      <c r="I164" s="28"/>
      <c r="J164" s="28"/>
      <c r="K164" s="28"/>
      <c r="L164" s="6"/>
      <c r="M164" s="6"/>
      <c r="N164" s="6"/>
      <c r="O164" s="6"/>
      <c r="P164" s="28"/>
      <c r="Q164" s="28"/>
      <c r="R164" s="28"/>
      <c r="S164" s="25"/>
    </row>
    <row r="165" spans="1:39" s="121" customFormat="1" x14ac:dyDescent="0.2">
      <c r="A165" s="123"/>
      <c r="B165" s="120" t="s">
        <v>309</v>
      </c>
      <c r="C165" s="120" t="s">
        <v>43</v>
      </c>
      <c r="D165" s="120" t="s">
        <v>44</v>
      </c>
      <c r="E165" s="120" t="s">
        <v>45</v>
      </c>
      <c r="F165" s="120" t="s">
        <v>48</v>
      </c>
      <c r="G165" s="120" t="s">
        <v>87</v>
      </c>
      <c r="H165" s="120" t="s">
        <v>49</v>
      </c>
      <c r="I165" s="120" t="s">
        <v>122</v>
      </c>
      <c r="J165" s="120" t="s">
        <v>123</v>
      </c>
      <c r="K165" s="119"/>
      <c r="L165" s="6"/>
      <c r="M165" s="6"/>
      <c r="N165" s="6"/>
      <c r="O165" s="6"/>
      <c r="P165" s="28"/>
      <c r="Q165" s="28"/>
      <c r="R165" s="28"/>
      <c r="S165" s="25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</row>
    <row r="166" spans="1:39" x14ac:dyDescent="0.2">
      <c r="A166" s="117"/>
      <c r="B166" s="116" t="s">
        <v>311</v>
      </c>
      <c r="C166" s="124">
        <v>6</v>
      </c>
      <c r="D166" s="124">
        <v>6</v>
      </c>
      <c r="E166" s="124">
        <v>6</v>
      </c>
      <c r="F166" s="124">
        <v>6</v>
      </c>
      <c r="G166" s="124">
        <v>4</v>
      </c>
      <c r="H166" s="381">
        <v>12</v>
      </c>
      <c r="I166" s="124">
        <v>6</v>
      </c>
      <c r="J166" s="124">
        <v>12</v>
      </c>
      <c r="K166" s="28"/>
      <c r="L166" s="6"/>
      <c r="M166" s="6"/>
      <c r="N166" s="6"/>
      <c r="O166" s="6"/>
      <c r="P166" s="28"/>
      <c r="Q166" s="28"/>
      <c r="R166" s="28"/>
      <c r="S166" s="25"/>
    </row>
    <row r="167" spans="1:39" x14ac:dyDescent="0.2">
      <c r="A167" s="117"/>
      <c r="B167" s="116" t="s">
        <v>312</v>
      </c>
      <c r="C167" s="124">
        <f>C166/$C$150</f>
        <v>0.5</v>
      </c>
      <c r="D167" s="124">
        <v>1</v>
      </c>
      <c r="E167" s="124">
        <v>0.5</v>
      </c>
      <c r="F167" s="124">
        <v>0.5</v>
      </c>
      <c r="G167" s="124">
        <v>1</v>
      </c>
      <c r="H167" s="118">
        <v>1</v>
      </c>
      <c r="I167" s="124">
        <v>0.5</v>
      </c>
      <c r="J167" s="124">
        <v>0.3</v>
      </c>
      <c r="K167" s="28"/>
      <c r="L167" s="6"/>
      <c r="M167" s="6"/>
      <c r="N167" s="6"/>
      <c r="O167" s="6"/>
      <c r="P167" s="115"/>
      <c r="Q167" s="115"/>
      <c r="R167" s="115"/>
      <c r="S167" s="25"/>
    </row>
    <row r="168" spans="1:39" x14ac:dyDescent="0.2">
      <c r="A168" s="25"/>
      <c r="B168" s="186" t="s">
        <v>620</v>
      </c>
      <c r="C168" s="353">
        <f>$C$24+$D$24+$E$25+$F$24+$G$24+$G$25+$E$24+$F$25+$D$25+$C$25</f>
        <v>42</v>
      </c>
      <c r="D168" s="353">
        <f>$C$24+$D$24+$E$25+$F$24+$G$24+$G$25+$E$24+$F$25+$D$25+$C$25</f>
        <v>42</v>
      </c>
      <c r="E168" s="353">
        <f>$C$24+$D$24+$E$25+$F$24+$G$24+$G$25+$E$24+$F$25+$D$25+$C$25</f>
        <v>42</v>
      </c>
      <c r="F168" s="353">
        <f>$C$24+$D$24+$E$25+$F$24+$G$24+$G$25+$E$24+$F$25+$D$25+$C$25</f>
        <v>42</v>
      </c>
      <c r="G168" s="353">
        <f>$C$24+$D$24+$E$25+$F$24+$G$24+$G$25+$E$24+$F$25+$D$25+$C$25</f>
        <v>42</v>
      </c>
      <c r="H168" s="118">
        <f>C24+D24+F24+G25+E25</f>
        <v>42</v>
      </c>
      <c r="I168" s="380">
        <f>C24+D24+F24+G25+E25</f>
        <v>42</v>
      </c>
      <c r="J168" s="380">
        <f>I168</f>
        <v>42</v>
      </c>
      <c r="K168" s="28"/>
      <c r="L168" s="6"/>
      <c r="M168" s="6"/>
      <c r="N168" s="6"/>
      <c r="O168" s="6"/>
      <c r="P168" s="115"/>
      <c r="Q168" s="115"/>
      <c r="R168" s="115"/>
      <c r="S168" s="25"/>
    </row>
    <row r="169" spans="1:39" x14ac:dyDescent="0.2">
      <c r="A169" s="25"/>
      <c r="B169" s="335" t="s">
        <v>619</v>
      </c>
      <c r="C169" s="118">
        <f t="shared" ref="C169:J169" si="4">C168*C167</f>
        <v>21</v>
      </c>
      <c r="D169" s="118">
        <f t="shared" si="4"/>
        <v>42</v>
      </c>
      <c r="E169" s="118">
        <f t="shared" si="4"/>
        <v>21</v>
      </c>
      <c r="F169" s="118">
        <f t="shared" si="4"/>
        <v>21</v>
      </c>
      <c r="G169" s="118">
        <f t="shared" si="4"/>
        <v>42</v>
      </c>
      <c r="H169" s="353">
        <f t="shared" si="4"/>
        <v>42</v>
      </c>
      <c r="I169" s="118">
        <f t="shared" si="4"/>
        <v>21</v>
      </c>
      <c r="J169" s="118">
        <f t="shared" si="4"/>
        <v>12.6</v>
      </c>
      <c r="K169" s="119"/>
      <c r="L169" s="348"/>
      <c r="M169" s="348"/>
      <c r="N169" s="28"/>
      <c r="O169" s="28"/>
      <c r="P169" s="28"/>
      <c r="Q169" s="57"/>
      <c r="R169" s="6"/>
    </row>
    <row r="170" spans="1:39" x14ac:dyDescent="0.2">
      <c r="H170" s="28"/>
      <c r="I170" s="28"/>
      <c r="J170" s="393"/>
      <c r="K170" s="28"/>
      <c r="L170" s="128"/>
      <c r="M170" s="72"/>
      <c r="N170" s="28"/>
      <c r="O170" s="28"/>
      <c r="P170" s="28"/>
      <c r="R170" s="6"/>
    </row>
    <row r="171" spans="1:39" x14ac:dyDescent="0.2">
      <c r="A171" s="182">
        <v>10</v>
      </c>
      <c r="B171" s="182" t="s">
        <v>74</v>
      </c>
      <c r="C171" s="182"/>
      <c r="D171" s="182"/>
      <c r="E171" s="346" t="s">
        <v>623</v>
      </c>
      <c r="F171" s="393"/>
      <c r="G171" s="28"/>
      <c r="H171" s="28"/>
      <c r="I171" s="28"/>
      <c r="J171" s="28"/>
      <c r="K171" s="28"/>
      <c r="L171" s="28"/>
      <c r="N171" s="6"/>
      <c r="O171" s="6"/>
      <c r="P171" s="6"/>
      <c r="Q171" s="6"/>
      <c r="R171" s="6"/>
    </row>
    <row r="172" spans="1:39" s="26" customFormat="1" ht="25.5" x14ac:dyDescent="0.2">
      <c r="A172" s="120">
        <v>10</v>
      </c>
      <c r="B172" s="120" t="s">
        <v>316</v>
      </c>
      <c r="C172" s="120" t="s">
        <v>52</v>
      </c>
      <c r="D172" s="345" t="s">
        <v>183</v>
      </c>
      <c r="E172" s="347" t="s">
        <v>624</v>
      </c>
      <c r="F172" s="393"/>
      <c r="G172" s="28"/>
      <c r="H172" s="28"/>
      <c r="I172" s="28"/>
      <c r="J172" s="28"/>
      <c r="K172" s="28"/>
      <c r="L172" s="28"/>
      <c r="M172" s="3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</row>
    <row r="173" spans="1:39" ht="51" customHeight="1" x14ac:dyDescent="0.2">
      <c r="A173" s="125" t="s">
        <v>286</v>
      </c>
      <c r="B173" s="477" t="s">
        <v>567</v>
      </c>
      <c r="C173" s="359">
        <v>0.8</v>
      </c>
      <c r="D173" s="360">
        <v>36</v>
      </c>
      <c r="E173" s="45">
        <v>2</v>
      </c>
      <c r="F173" s="288"/>
      <c r="G173" s="28"/>
      <c r="H173" s="28"/>
      <c r="I173" s="28"/>
      <c r="J173" s="28"/>
      <c r="K173" s="28"/>
      <c r="L173" s="28"/>
      <c r="M173" s="259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7"/>
      <c r="AB173" s="7"/>
      <c r="AM173" s="107">
        <v>3</v>
      </c>
    </row>
    <row r="174" spans="1:39" ht="51.4" customHeight="1" x14ac:dyDescent="0.2">
      <c r="A174" s="125" t="s">
        <v>286</v>
      </c>
      <c r="B174" s="477" t="s">
        <v>568</v>
      </c>
      <c r="C174" s="362">
        <v>0.8</v>
      </c>
      <c r="D174" s="363">
        <v>48</v>
      </c>
      <c r="E174" s="45">
        <v>4</v>
      </c>
      <c r="F174" s="288"/>
      <c r="G174" s="28"/>
      <c r="H174" s="28"/>
      <c r="I174" s="28"/>
      <c r="J174" s="28"/>
      <c r="K174" s="28"/>
      <c r="L174" s="28"/>
      <c r="M174" s="259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7"/>
      <c r="AB174" s="7"/>
      <c r="AM174" s="350">
        <v>0</v>
      </c>
    </row>
    <row r="175" spans="1:39" ht="51.4" customHeight="1" x14ac:dyDescent="0.2">
      <c r="A175" s="125" t="s">
        <v>286</v>
      </c>
      <c r="B175" s="477" t="s">
        <v>690</v>
      </c>
      <c r="C175" s="362">
        <v>0.8</v>
      </c>
      <c r="D175" s="363">
        <v>60</v>
      </c>
      <c r="E175" s="548">
        <v>0</v>
      </c>
      <c r="F175" s="393"/>
      <c r="G175" s="28"/>
      <c r="H175" s="28"/>
      <c r="I175" s="72"/>
      <c r="J175" s="28"/>
      <c r="K175" s="28"/>
      <c r="L175" s="28"/>
      <c r="N175" s="6"/>
      <c r="O175" s="6"/>
      <c r="P175" s="6"/>
      <c r="Q175" s="6"/>
      <c r="R175" s="6"/>
      <c r="AM175" s="350"/>
    </row>
    <row r="176" spans="1:39" ht="25.5" x14ac:dyDescent="0.2">
      <c r="A176" s="125" t="s">
        <v>286</v>
      </c>
      <c r="B176" s="477" t="s">
        <v>694</v>
      </c>
      <c r="C176" s="362">
        <v>0.8</v>
      </c>
      <c r="D176" s="363">
        <v>60</v>
      </c>
      <c r="E176" s="45">
        <v>2</v>
      </c>
      <c r="F176" s="393"/>
      <c r="G176" s="25"/>
      <c r="H176" s="128"/>
      <c r="I176" s="72"/>
      <c r="J176" s="28"/>
      <c r="K176" s="28"/>
      <c r="L176" s="28"/>
      <c r="M176" s="57"/>
      <c r="N176" s="26"/>
      <c r="O176" s="26"/>
      <c r="P176" s="26"/>
      <c r="Q176" s="26"/>
      <c r="R176" s="26"/>
      <c r="S176" s="26"/>
      <c r="T176" s="26"/>
      <c r="U176" s="26"/>
      <c r="V176" s="26"/>
      <c r="W176" s="26"/>
      <c r="X176" s="26"/>
      <c r="Y176" s="26"/>
      <c r="Z176" s="26"/>
      <c r="AA176" s="26"/>
      <c r="AB176" s="26"/>
      <c r="AM176" s="100">
        <v>1</v>
      </c>
    </row>
    <row r="177" spans="1:39" ht="38.25" x14ac:dyDescent="0.2">
      <c r="A177" s="125" t="s">
        <v>286</v>
      </c>
      <c r="B177" s="477" t="s">
        <v>569</v>
      </c>
      <c r="C177" s="362">
        <v>0.8</v>
      </c>
      <c r="D177" s="363">
        <v>48</v>
      </c>
      <c r="E177" s="45">
        <v>1</v>
      </c>
      <c r="F177" s="288"/>
      <c r="G177" s="25"/>
      <c r="H177" s="128"/>
      <c r="I177" s="28"/>
      <c r="J177" s="28"/>
      <c r="K177" s="28"/>
      <c r="L177" s="28"/>
      <c r="M177" s="57"/>
      <c r="N177" s="26"/>
      <c r="O177" s="26"/>
      <c r="P177" s="26"/>
      <c r="Q177" s="26"/>
      <c r="R177" s="26"/>
      <c r="S177" s="26"/>
      <c r="T177" s="26"/>
      <c r="U177" s="26"/>
      <c r="V177" s="26"/>
      <c r="W177" s="26"/>
      <c r="X177" s="26"/>
      <c r="Y177" s="26"/>
      <c r="Z177" s="26"/>
      <c r="AA177" s="26"/>
      <c r="AB177" s="26"/>
      <c r="AM177" s="107">
        <v>2</v>
      </c>
    </row>
    <row r="178" spans="1:39" ht="39.4" customHeight="1" x14ac:dyDescent="0.2">
      <c r="A178" s="125" t="s">
        <v>286</v>
      </c>
      <c r="B178" s="478" t="s">
        <v>330</v>
      </c>
      <c r="C178" s="356">
        <v>0.8</v>
      </c>
      <c r="D178" s="357">
        <v>36</v>
      </c>
      <c r="E178" s="71">
        <v>2</v>
      </c>
      <c r="F178" s="288"/>
      <c r="G178" s="25"/>
      <c r="H178" s="128"/>
      <c r="I178" s="28"/>
      <c r="J178" s="28"/>
      <c r="K178" s="28"/>
      <c r="L178" s="28"/>
      <c r="M178" s="57"/>
      <c r="N178" s="26"/>
      <c r="O178" s="26"/>
      <c r="P178" s="26"/>
      <c r="Q178" s="26"/>
      <c r="R178" s="26"/>
      <c r="S178" s="26"/>
      <c r="T178" s="26"/>
      <c r="U178" s="26"/>
      <c r="V178" s="26"/>
      <c r="W178" s="26"/>
      <c r="X178" s="26"/>
      <c r="Y178" s="26"/>
      <c r="Z178" s="26"/>
      <c r="AA178" s="26"/>
      <c r="AB178" s="26"/>
      <c r="AM178" s="100">
        <f>AM173</f>
        <v>3</v>
      </c>
    </row>
    <row r="179" spans="1:39" s="7" customFormat="1" ht="39.4" customHeight="1" x14ac:dyDescent="0.2">
      <c r="A179" s="336" t="s">
        <v>286</v>
      </c>
      <c r="B179" s="478" t="s">
        <v>616</v>
      </c>
      <c r="C179" s="356">
        <v>0.8</v>
      </c>
      <c r="D179" s="357">
        <v>48</v>
      </c>
      <c r="E179" s="71">
        <v>3</v>
      </c>
      <c r="F179" s="393"/>
      <c r="G179" s="25"/>
      <c r="H179" s="128"/>
      <c r="I179" s="28"/>
      <c r="J179" s="28"/>
      <c r="K179" s="28"/>
      <c r="L179" s="28"/>
      <c r="M179" s="57"/>
      <c r="N179" s="26"/>
      <c r="O179" s="26"/>
      <c r="P179" s="26"/>
      <c r="Q179" s="26"/>
      <c r="R179" s="26"/>
      <c r="S179" s="26"/>
      <c r="T179" s="26"/>
      <c r="U179" s="26"/>
      <c r="V179" s="26"/>
      <c r="W179" s="26"/>
      <c r="X179" s="26"/>
      <c r="Y179" s="26"/>
      <c r="Z179" s="26"/>
      <c r="AA179" s="26"/>
      <c r="AB179" s="26"/>
      <c r="AM179" s="255">
        <f>AM174</f>
        <v>0</v>
      </c>
    </row>
    <row r="180" spans="1:39" s="7" customFormat="1" ht="39.4" customHeight="1" x14ac:dyDescent="0.2">
      <c r="A180" s="336" t="s">
        <v>286</v>
      </c>
      <c r="B180" s="478" t="s">
        <v>692</v>
      </c>
      <c r="C180" s="356">
        <v>0.8</v>
      </c>
      <c r="D180" s="357">
        <v>60</v>
      </c>
      <c r="E180" s="358">
        <v>0</v>
      </c>
      <c r="F180" s="393"/>
      <c r="G180" s="25"/>
      <c r="H180" s="128"/>
      <c r="I180" s="28"/>
      <c r="J180" s="28"/>
      <c r="K180" s="28"/>
      <c r="L180" s="28"/>
      <c r="M180" s="57"/>
      <c r="N180" s="26"/>
      <c r="O180" s="26"/>
      <c r="P180" s="26"/>
      <c r="Q180" s="26"/>
      <c r="R180" s="26"/>
      <c r="S180" s="26"/>
      <c r="T180" s="26"/>
      <c r="U180" s="26"/>
      <c r="V180" s="26"/>
      <c r="W180" s="26"/>
      <c r="X180" s="26"/>
      <c r="Y180" s="26"/>
      <c r="Z180" s="26"/>
      <c r="AA180" s="26"/>
      <c r="AB180" s="26"/>
      <c r="AM180" s="255"/>
    </row>
    <row r="181" spans="1:39" ht="25.5" x14ac:dyDescent="0.2">
      <c r="A181" s="125" t="s">
        <v>286</v>
      </c>
      <c r="B181" s="478" t="s">
        <v>317</v>
      </c>
      <c r="C181" s="356">
        <v>0.8</v>
      </c>
      <c r="D181" s="357">
        <v>60</v>
      </c>
      <c r="E181" s="71">
        <v>2</v>
      </c>
      <c r="F181" s="394"/>
      <c r="G181" s="28"/>
      <c r="H181" s="128"/>
      <c r="I181" s="28"/>
      <c r="J181" s="28"/>
      <c r="K181" s="28"/>
      <c r="L181" s="28"/>
      <c r="N181" s="6"/>
      <c r="O181" s="6"/>
      <c r="P181" s="6"/>
      <c r="Q181" s="6"/>
      <c r="R181" s="6"/>
      <c r="AM181" s="100">
        <f>AM176</f>
        <v>1</v>
      </c>
    </row>
    <row r="182" spans="1:39" s="26" customFormat="1" ht="25.5" x14ac:dyDescent="0.2">
      <c r="A182" s="125" t="s">
        <v>286</v>
      </c>
      <c r="B182" s="479" t="s">
        <v>570</v>
      </c>
      <c r="C182" s="362">
        <v>0.8</v>
      </c>
      <c r="D182" s="363">
        <v>36</v>
      </c>
      <c r="E182" s="45">
        <f>E173</f>
        <v>2</v>
      </c>
      <c r="F182" s="393"/>
      <c r="G182" s="28"/>
      <c r="H182" s="128"/>
      <c r="I182" s="72"/>
      <c r="J182" s="28"/>
      <c r="K182" s="28"/>
      <c r="L182" s="28"/>
      <c r="M182" s="3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M182" s="100">
        <f>AM173</f>
        <v>3</v>
      </c>
    </row>
    <row r="183" spans="1:39" s="26" customFormat="1" ht="25.5" x14ac:dyDescent="0.2">
      <c r="A183" s="125" t="s">
        <v>286</v>
      </c>
      <c r="B183" s="479" t="s">
        <v>571</v>
      </c>
      <c r="C183" s="362">
        <v>0.8</v>
      </c>
      <c r="D183" s="363">
        <v>48</v>
      </c>
      <c r="E183" s="45">
        <f>E174</f>
        <v>4</v>
      </c>
      <c r="F183" s="394"/>
      <c r="G183" s="28"/>
      <c r="H183" s="128"/>
      <c r="I183" s="72"/>
      <c r="J183" s="28"/>
      <c r="K183" s="28"/>
      <c r="L183" s="28"/>
      <c r="M183" s="3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M183" s="350">
        <f>AM174</f>
        <v>0</v>
      </c>
    </row>
    <row r="184" spans="1:39" s="26" customFormat="1" ht="25.5" x14ac:dyDescent="0.2">
      <c r="A184" s="125" t="s">
        <v>286</v>
      </c>
      <c r="B184" s="479" t="s">
        <v>691</v>
      </c>
      <c r="C184" s="362">
        <v>0.8</v>
      </c>
      <c r="D184" s="363">
        <v>60</v>
      </c>
      <c r="E184" s="361"/>
      <c r="F184" s="394"/>
      <c r="G184" s="28"/>
      <c r="H184" s="128"/>
      <c r="I184" s="72"/>
      <c r="J184" s="28"/>
      <c r="K184" s="28"/>
      <c r="L184" s="28"/>
      <c r="M184" s="3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M184" s="350"/>
    </row>
    <row r="185" spans="1:39" s="26" customFormat="1" x14ac:dyDescent="0.2">
      <c r="A185" s="125" t="s">
        <v>286</v>
      </c>
      <c r="B185" s="479" t="s">
        <v>702</v>
      </c>
      <c r="C185" s="362">
        <v>0.8</v>
      </c>
      <c r="D185" s="363">
        <v>60</v>
      </c>
      <c r="E185" s="45">
        <f>E176</f>
        <v>2</v>
      </c>
      <c r="F185" s="288"/>
      <c r="G185" s="3"/>
      <c r="H185" s="128"/>
      <c r="I185" s="72"/>
      <c r="J185" s="3"/>
      <c r="K185" s="3"/>
      <c r="L185" s="3"/>
      <c r="M185" s="3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M185" s="100">
        <f>AM176</f>
        <v>1</v>
      </c>
    </row>
    <row r="186" spans="1:39" s="26" customFormat="1" ht="25.5" x14ac:dyDescent="0.2">
      <c r="A186" s="125" t="s">
        <v>286</v>
      </c>
      <c r="B186" s="479" t="s">
        <v>572</v>
      </c>
      <c r="C186" s="362">
        <v>0.8</v>
      </c>
      <c r="D186" s="363">
        <v>48</v>
      </c>
      <c r="E186" s="45">
        <f>E177</f>
        <v>1</v>
      </c>
      <c r="F186" s="288"/>
      <c r="G186" s="3"/>
      <c r="H186" s="128"/>
      <c r="I186" s="72"/>
      <c r="J186" s="3"/>
      <c r="K186" s="3"/>
      <c r="L186" s="3"/>
      <c r="M186" s="3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M186" s="100">
        <f>AM177</f>
        <v>2</v>
      </c>
    </row>
    <row r="187" spans="1:39" x14ac:dyDescent="0.2">
      <c r="A187" s="125" t="s">
        <v>286</v>
      </c>
      <c r="B187" s="478" t="s">
        <v>313</v>
      </c>
      <c r="C187" s="356">
        <v>0.8</v>
      </c>
      <c r="D187" s="357">
        <v>60</v>
      </c>
      <c r="E187" s="406">
        <v>1</v>
      </c>
      <c r="F187" s="288"/>
      <c r="H187" s="128"/>
      <c r="I187" s="72"/>
      <c r="N187" s="6"/>
      <c r="O187" s="6"/>
      <c r="P187" s="6"/>
      <c r="Q187" s="6"/>
      <c r="R187" s="6"/>
      <c r="AM187" s="301">
        <f>1/3</f>
        <v>0.33</v>
      </c>
    </row>
    <row r="188" spans="1:39" ht="39" customHeight="1" x14ac:dyDescent="0.2">
      <c r="A188" s="125" t="s">
        <v>286</v>
      </c>
      <c r="B188" s="478" t="s">
        <v>314</v>
      </c>
      <c r="C188" s="356">
        <v>0.8</v>
      </c>
      <c r="D188" s="357">
        <v>60</v>
      </c>
      <c r="E188" s="358">
        <v>0</v>
      </c>
      <c r="F188" s="288"/>
      <c r="H188" s="128"/>
      <c r="I188" s="72"/>
      <c r="N188" s="6"/>
      <c r="O188" s="6"/>
      <c r="P188" s="6"/>
      <c r="Q188" s="6"/>
      <c r="R188" s="6"/>
      <c r="AM188" s="350">
        <v>0</v>
      </c>
    </row>
    <row r="189" spans="1:39" x14ac:dyDescent="0.2">
      <c r="A189" s="125" t="s">
        <v>286</v>
      </c>
      <c r="B189" s="477" t="s">
        <v>315</v>
      </c>
      <c r="C189" s="362">
        <v>0.8</v>
      </c>
      <c r="D189" s="363">
        <v>60</v>
      </c>
      <c r="E189" s="407">
        <v>1</v>
      </c>
      <c r="F189" s="288"/>
      <c r="N189" s="6"/>
      <c r="O189" s="6"/>
      <c r="P189" s="6"/>
      <c r="Q189" s="6"/>
      <c r="R189" s="6"/>
      <c r="AM189" s="301">
        <f>2/3</f>
        <v>0.67</v>
      </c>
    </row>
    <row r="190" spans="1:39" x14ac:dyDescent="0.2">
      <c r="A190" s="125" t="s">
        <v>286</v>
      </c>
      <c r="B190" s="477" t="s">
        <v>318</v>
      </c>
      <c r="C190" s="362">
        <v>0.8</v>
      </c>
      <c r="D190" s="363">
        <v>60</v>
      </c>
      <c r="E190" s="407">
        <v>1</v>
      </c>
      <c r="F190" s="288"/>
      <c r="N190" s="6"/>
      <c r="O190" s="6"/>
      <c r="P190" s="6"/>
      <c r="Q190" s="6"/>
      <c r="R190" s="6"/>
      <c r="AM190" s="301">
        <f>1/3</f>
        <v>0.33</v>
      </c>
    </row>
    <row r="191" spans="1:39" ht="25.5" x14ac:dyDescent="0.2">
      <c r="A191" s="125" t="s">
        <v>286</v>
      </c>
      <c r="B191" s="479" t="s">
        <v>665</v>
      </c>
      <c r="C191" s="362">
        <v>0.8</v>
      </c>
      <c r="D191" s="45">
        <v>36</v>
      </c>
      <c r="E191" s="361">
        <v>0</v>
      </c>
      <c r="F191" s="480"/>
      <c r="N191" s="6"/>
      <c r="O191" s="6"/>
      <c r="P191" s="6"/>
      <c r="Q191" s="6"/>
      <c r="R191" s="6"/>
      <c r="AM191" s="24"/>
    </row>
    <row r="192" spans="1:39" x14ac:dyDescent="0.2">
      <c r="A192" s="125" t="s">
        <v>286</v>
      </c>
      <c r="B192" s="479" t="s">
        <v>625</v>
      </c>
      <c r="C192" s="362">
        <v>0.8</v>
      </c>
      <c r="D192" s="45">
        <v>60</v>
      </c>
      <c r="E192" s="361">
        <v>0</v>
      </c>
      <c r="M192" s="6"/>
      <c r="N192" s="6"/>
      <c r="O192" s="6"/>
      <c r="P192" s="6"/>
      <c r="Q192" s="6"/>
      <c r="R192" s="6"/>
      <c r="AL192" s="24"/>
    </row>
    <row r="193" spans="1:38" ht="25.5" x14ac:dyDescent="0.2">
      <c r="A193" s="125" t="s">
        <v>286</v>
      </c>
      <c r="B193" s="479" t="s">
        <v>666</v>
      </c>
      <c r="C193" s="362">
        <v>0.8</v>
      </c>
      <c r="D193" s="45">
        <v>36</v>
      </c>
      <c r="E193" s="361">
        <v>0</v>
      </c>
      <c r="M193" s="6"/>
      <c r="N193" s="6"/>
      <c r="O193" s="6"/>
      <c r="P193" s="6"/>
      <c r="Q193" s="6"/>
      <c r="R193" s="6"/>
      <c r="AL193" s="24"/>
    </row>
    <row r="194" spans="1:38" x14ac:dyDescent="0.2">
      <c r="A194" s="125" t="s">
        <v>286</v>
      </c>
      <c r="B194" s="479" t="s">
        <v>626</v>
      </c>
      <c r="C194" s="362">
        <v>0.8</v>
      </c>
      <c r="D194" s="45">
        <v>60</v>
      </c>
      <c r="E194" s="361">
        <v>0</v>
      </c>
      <c r="J194" s="259"/>
      <c r="K194" s="259"/>
      <c r="L194" s="259"/>
      <c r="M194" s="7"/>
      <c r="N194" s="7"/>
      <c r="O194" s="7"/>
      <c r="P194" s="7"/>
      <c r="Q194" s="6"/>
      <c r="R194" s="6"/>
      <c r="AL194" s="24"/>
    </row>
    <row r="195" spans="1:38" ht="25.5" x14ac:dyDescent="0.2">
      <c r="A195" s="125" t="s">
        <v>286</v>
      </c>
      <c r="B195" s="479" t="s">
        <v>667</v>
      </c>
      <c r="C195" s="362">
        <v>0.8</v>
      </c>
      <c r="D195" s="45">
        <v>36</v>
      </c>
      <c r="E195" s="361">
        <v>0</v>
      </c>
      <c r="J195" s="259"/>
      <c r="K195" s="259"/>
      <c r="L195" s="259"/>
      <c r="M195" s="7"/>
      <c r="N195" s="7"/>
      <c r="O195" s="7"/>
      <c r="P195" s="7"/>
      <c r="Q195" s="6"/>
      <c r="R195" s="6"/>
    </row>
    <row r="196" spans="1:38" ht="25.5" x14ac:dyDescent="0.2">
      <c r="A196" s="125" t="s">
        <v>286</v>
      </c>
      <c r="B196" s="479" t="s">
        <v>627</v>
      </c>
      <c r="C196" s="362">
        <v>0.8</v>
      </c>
      <c r="D196" s="45">
        <v>60</v>
      </c>
      <c r="E196" s="361">
        <v>0</v>
      </c>
      <c r="J196" s="259"/>
      <c r="K196" s="259"/>
      <c r="L196" s="259"/>
      <c r="M196" s="7"/>
      <c r="N196" s="7"/>
      <c r="O196" s="7"/>
      <c r="P196" s="7"/>
      <c r="Q196" s="6"/>
      <c r="R196" s="6"/>
    </row>
    <row r="197" spans="1:38" ht="13.15" customHeight="1" x14ac:dyDescent="0.2">
      <c r="A197" s="478" t="s">
        <v>286</v>
      </c>
      <c r="B197" s="143" t="s">
        <v>695</v>
      </c>
      <c r="C197" s="107" t="s">
        <v>4</v>
      </c>
      <c r="D197" s="107"/>
      <c r="E197" s="107">
        <v>22</v>
      </c>
      <c r="F197" s="57"/>
      <c r="G197" s="57"/>
      <c r="J197" s="259"/>
      <c r="K197" s="259"/>
      <c r="L197" s="259"/>
      <c r="M197" s="259"/>
      <c r="N197" s="259"/>
      <c r="O197" s="259"/>
      <c r="P197" s="259"/>
      <c r="Q197" s="26"/>
      <c r="R197" s="26"/>
      <c r="S197" s="26"/>
      <c r="T197" s="26"/>
      <c r="U197" s="26"/>
      <c r="V197" s="26"/>
      <c r="W197" s="26"/>
      <c r="X197" s="26"/>
      <c r="Y197" s="26"/>
      <c r="Z197" s="26"/>
      <c r="AA197" s="26"/>
      <c r="AB197" s="26"/>
      <c r="AC197" s="26"/>
      <c r="AD197" s="26"/>
    </row>
    <row r="198" spans="1:38" x14ac:dyDescent="0.2">
      <c r="A198" s="478" t="s">
        <v>286</v>
      </c>
      <c r="B198" s="143" t="s">
        <v>696</v>
      </c>
      <c r="C198" s="107" t="s">
        <v>4</v>
      </c>
      <c r="D198" s="107"/>
      <c r="E198" s="107">
        <v>2</v>
      </c>
      <c r="F198" s="120" t="s">
        <v>358</v>
      </c>
      <c r="G198" s="120" t="s">
        <v>359</v>
      </c>
      <c r="J198" s="57"/>
      <c r="K198" s="57"/>
      <c r="L198" s="57"/>
      <c r="M198" s="57"/>
      <c r="N198" s="57"/>
      <c r="O198" s="57"/>
      <c r="P198" s="57"/>
      <c r="Q198" s="26"/>
      <c r="R198" s="26"/>
      <c r="S198" s="26"/>
      <c r="T198" s="26"/>
      <c r="U198" s="26"/>
      <c r="V198" s="26"/>
      <c r="W198" s="26"/>
      <c r="X198" s="26"/>
      <c r="Y198" s="26"/>
      <c r="Z198" s="26"/>
      <c r="AA198" s="26"/>
      <c r="AB198" s="26"/>
      <c r="AC198" s="26"/>
      <c r="AD198" s="26"/>
    </row>
    <row r="199" spans="1:38" x14ac:dyDescent="0.2">
      <c r="A199" s="478" t="s">
        <v>286</v>
      </c>
      <c r="B199" s="143" t="s">
        <v>697</v>
      </c>
      <c r="C199" s="107" t="s">
        <v>4</v>
      </c>
      <c r="D199" s="107"/>
      <c r="E199" s="107">
        <v>1</v>
      </c>
      <c r="F199" s="30">
        <v>12</v>
      </c>
      <c r="G199" s="30">
        <v>12</v>
      </c>
      <c r="I199" s="259"/>
      <c r="Q199" s="6"/>
      <c r="R199" s="6"/>
    </row>
    <row r="200" spans="1:38" x14ac:dyDescent="0.2">
      <c r="A200" s="481"/>
      <c r="B200" s="143" t="s">
        <v>698</v>
      </c>
      <c r="C200" s="107" t="s">
        <v>4</v>
      </c>
      <c r="D200" s="107"/>
      <c r="E200" s="107">
        <v>2</v>
      </c>
      <c r="F200" s="30">
        <v>12</v>
      </c>
      <c r="G200" s="30">
        <v>12</v>
      </c>
      <c r="I200" s="259"/>
      <c r="Q200" s="6"/>
      <c r="R200" s="6"/>
    </row>
    <row r="201" spans="1:38" x14ac:dyDescent="0.2">
      <c r="A201" s="182">
        <v>11</v>
      </c>
      <c r="B201" s="182" t="s">
        <v>350</v>
      </c>
      <c r="C201" s="182"/>
      <c r="D201" s="183"/>
      <c r="E201" s="184"/>
      <c r="F201" s="184"/>
      <c r="G201" s="184"/>
      <c r="I201" s="14"/>
      <c r="J201" s="557"/>
      <c r="K201" s="28"/>
      <c r="L201" s="28"/>
      <c r="M201" s="28"/>
      <c r="N201" s="28"/>
      <c r="O201" s="28"/>
      <c r="P201" s="28"/>
      <c r="Q201" s="28"/>
      <c r="R201" s="28"/>
      <c r="S201" s="25"/>
      <c r="T201" s="25"/>
      <c r="U201" s="25"/>
      <c r="V201" s="25"/>
      <c r="W201" s="25"/>
      <c r="X201" s="25"/>
      <c r="Y201" s="25"/>
      <c r="Z201" s="25"/>
      <c r="AA201" s="25"/>
      <c r="AB201" s="25"/>
      <c r="AC201" s="25"/>
      <c r="AD201" s="25"/>
      <c r="AE201" s="25"/>
      <c r="AF201" s="25"/>
    </row>
    <row r="202" spans="1:38" s="26" customFormat="1" ht="13.5" thickBot="1" x14ac:dyDescent="0.25">
      <c r="A202" s="66"/>
      <c r="B202" s="66"/>
      <c r="C202" s="65"/>
      <c r="D202" s="57"/>
      <c r="E202" s="57"/>
      <c r="F202" s="57"/>
      <c r="G202" s="57"/>
      <c r="H202" s="259"/>
      <c r="I202" s="14"/>
      <c r="J202" s="28"/>
      <c r="K202" s="28"/>
      <c r="L202" s="28"/>
      <c r="M202" s="28"/>
      <c r="N202" s="28"/>
      <c r="O202" s="28"/>
      <c r="P202" s="28"/>
      <c r="Q202" s="28"/>
      <c r="R202" s="28"/>
      <c r="S202" s="25"/>
      <c r="T202" s="25"/>
      <c r="U202" s="25"/>
      <c r="V202" s="25"/>
      <c r="W202" s="25"/>
      <c r="X202" s="25"/>
      <c r="Y202" s="25"/>
      <c r="Z202" s="25"/>
      <c r="AA202" s="25"/>
      <c r="AB202" s="25"/>
      <c r="AC202" s="25"/>
      <c r="AD202" s="25"/>
      <c r="AE202" s="25"/>
      <c r="AF202" s="25"/>
    </row>
    <row r="203" spans="1:38" s="26" customFormat="1" ht="25.5" x14ac:dyDescent="0.2">
      <c r="A203" s="558" t="s">
        <v>383</v>
      </c>
      <c r="B203" s="559" t="s">
        <v>355</v>
      </c>
      <c r="C203" s="560" t="s">
        <v>621</v>
      </c>
      <c r="D203" s="559" t="s">
        <v>351</v>
      </c>
      <c r="E203" s="559" t="s">
        <v>352</v>
      </c>
      <c r="F203" s="559" t="s">
        <v>356</v>
      </c>
      <c r="G203" s="559" t="s">
        <v>357</v>
      </c>
      <c r="H203" s="561" t="s">
        <v>360</v>
      </c>
      <c r="I203" s="1"/>
      <c r="J203" s="28"/>
      <c r="K203" s="28"/>
      <c r="L203" s="28"/>
      <c r="M203" s="28"/>
      <c r="N203" s="28"/>
      <c r="O203" s="28"/>
      <c r="P203" s="28"/>
      <c r="Q203" s="28"/>
      <c r="R203" s="28"/>
      <c r="S203" s="25"/>
      <c r="T203" s="25"/>
      <c r="U203" s="25"/>
      <c r="V203" s="25"/>
      <c r="W203" s="25"/>
      <c r="X203" s="25"/>
      <c r="Y203" s="25"/>
      <c r="Z203" s="25"/>
      <c r="AA203" s="25"/>
      <c r="AB203" s="25"/>
      <c r="AC203" s="25"/>
      <c r="AD203" s="25"/>
      <c r="AE203" s="25"/>
      <c r="AF203" s="25"/>
    </row>
    <row r="204" spans="1:38" x14ac:dyDescent="0.2">
      <c r="A204" s="562" t="s">
        <v>384</v>
      </c>
      <c r="B204" s="143" t="s">
        <v>346</v>
      </c>
      <c r="C204" s="350">
        <v>45000</v>
      </c>
      <c r="D204" s="24">
        <v>1.85</v>
      </c>
      <c r="E204" s="30">
        <v>50000</v>
      </c>
      <c r="F204" s="30">
        <v>6</v>
      </c>
      <c r="G204" s="30">
        <v>12</v>
      </c>
      <c r="H204" s="563">
        <v>20</v>
      </c>
      <c r="I204" s="1"/>
      <c r="J204" s="1"/>
    </row>
    <row r="205" spans="1:38" x14ac:dyDescent="0.2">
      <c r="A205" s="562" t="s">
        <v>385</v>
      </c>
      <c r="B205" s="143" t="s">
        <v>347</v>
      </c>
      <c r="C205" s="344">
        <v>7000</v>
      </c>
      <c r="D205" s="30">
        <v>1.85</v>
      </c>
      <c r="E205" s="30">
        <v>50000</v>
      </c>
      <c r="F205" s="30">
        <v>6</v>
      </c>
      <c r="G205" s="30">
        <v>12</v>
      </c>
      <c r="H205" s="563">
        <v>20</v>
      </c>
      <c r="I205" s="557"/>
      <c r="J205" s="1"/>
    </row>
    <row r="206" spans="1:38" ht="13.5" thickBot="1" x14ac:dyDescent="0.25">
      <c r="A206" s="564" t="s">
        <v>386</v>
      </c>
      <c r="B206" s="565" t="s">
        <v>348</v>
      </c>
      <c r="C206" s="566">
        <v>2000</v>
      </c>
      <c r="D206" s="567">
        <v>9.1999999999999993</v>
      </c>
      <c r="E206" s="567">
        <v>30000</v>
      </c>
      <c r="F206" s="567">
        <v>4</v>
      </c>
      <c r="G206" s="567"/>
      <c r="H206" s="568"/>
      <c r="I206" s="28"/>
      <c r="R206" s="6"/>
    </row>
    <row r="207" spans="1:38" s="25" customFormat="1" ht="13.5" thickBot="1" x14ac:dyDescent="0.25">
      <c r="B207" s="122"/>
      <c r="C207" s="152"/>
      <c r="D207" s="28"/>
      <c r="E207" s="153"/>
      <c r="F207" s="153"/>
      <c r="G207" s="153"/>
      <c r="H207" s="28"/>
      <c r="I207" s="3"/>
      <c r="J207" s="3"/>
      <c r="K207" s="3"/>
      <c r="L207" s="3"/>
      <c r="M207" s="3"/>
      <c r="N207" s="3"/>
      <c r="O207" s="3"/>
      <c r="P207" s="3"/>
      <c r="Q207" s="3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</row>
    <row r="208" spans="1:38" s="25" customFormat="1" ht="38.25" x14ac:dyDescent="0.2">
      <c r="A208" s="558" t="s">
        <v>387</v>
      </c>
      <c r="B208" s="559" t="s">
        <v>355</v>
      </c>
      <c r="C208" s="560" t="s">
        <v>621</v>
      </c>
      <c r="D208" s="559" t="s">
        <v>351</v>
      </c>
      <c r="E208" s="559" t="s">
        <v>354</v>
      </c>
      <c r="F208" s="559" t="s">
        <v>353</v>
      </c>
      <c r="G208" s="559" t="s">
        <v>361</v>
      </c>
      <c r="H208" s="561" t="s">
        <v>362</v>
      </c>
      <c r="I208" s="3"/>
      <c r="J208" s="3"/>
      <c r="K208" s="3"/>
      <c r="L208" s="3"/>
      <c r="M208" s="3"/>
      <c r="N208" s="3"/>
      <c r="O208" s="3"/>
      <c r="P208" s="3"/>
      <c r="Q208" s="3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</row>
    <row r="209" spans="1:18" ht="13.5" thickBot="1" x14ac:dyDescent="0.25">
      <c r="A209" s="569" t="s">
        <v>388</v>
      </c>
      <c r="B209" s="570" t="s">
        <v>349</v>
      </c>
      <c r="C209" s="571">
        <v>3500</v>
      </c>
      <c r="D209" s="572">
        <v>18.5</v>
      </c>
      <c r="E209" s="573">
        <v>15000</v>
      </c>
      <c r="F209" s="573">
        <v>20000</v>
      </c>
      <c r="G209" s="567">
        <v>1</v>
      </c>
      <c r="H209" s="568">
        <v>1</v>
      </c>
      <c r="R209" s="6"/>
    </row>
    <row r="210" spans="1:18" x14ac:dyDescent="0.2">
      <c r="C210" s="17"/>
      <c r="R210" s="6"/>
    </row>
    <row r="217" spans="1:18" x14ac:dyDescent="0.2">
      <c r="H217" s="409"/>
    </row>
    <row r="218" spans="1:18" x14ac:dyDescent="0.2">
      <c r="H218" s="399"/>
    </row>
  </sheetData>
  <mergeCells count="2">
    <mergeCell ref="K20:O20"/>
    <mergeCell ref="C20:G20"/>
  </mergeCells>
  <printOptions horizontalCentered="1"/>
  <pageMargins left="1.1811023622047245" right="0.19685039370078741" top="0.55118110236220474" bottom="0.39370078740157483" header="0.51181102362204722" footer="0.51181102362204722"/>
  <pageSetup paperSize="9" scale="73" firstPageNumber="0" fitToHeight="4" orientation="portrait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62"/>
  <sheetViews>
    <sheetView showGridLines="0" topLeftCell="A22" zoomScaleNormal="100" zoomScaleSheetLayoutView="100" workbookViewId="0">
      <selection activeCell="F53" sqref="F53"/>
    </sheetView>
  </sheetViews>
  <sheetFormatPr defaultColWidth="11.42578125" defaultRowHeight="12.75" x14ac:dyDescent="0.2"/>
  <cols>
    <col min="1" max="1" width="1.85546875" style="6" customWidth="1"/>
    <col min="2" max="2" width="18.7109375" style="3" bestFit="1" customWidth="1"/>
    <col min="3" max="3" width="43.140625" style="6" customWidth="1"/>
    <col min="4" max="4" width="21.28515625" style="6" customWidth="1"/>
    <col min="5" max="5" width="14" style="3" bestFit="1" customWidth="1"/>
    <col min="6" max="6" width="17.42578125" style="3" customWidth="1"/>
    <col min="7" max="7" width="12.28515625" style="3" bestFit="1" customWidth="1"/>
    <col min="8" max="8" width="11.42578125" style="6"/>
    <col min="9" max="9" width="20.42578125" style="6" customWidth="1"/>
    <col min="10" max="10" width="23.7109375" style="6" bestFit="1" customWidth="1"/>
    <col min="11" max="11" width="23.140625" style="6" customWidth="1"/>
    <col min="12" max="16384" width="11.42578125" style="6"/>
  </cols>
  <sheetData>
    <row r="1" spans="2:11" ht="13.5" thickBot="1" x14ac:dyDescent="0.25"/>
    <row r="2" spans="2:11" x14ac:dyDescent="0.2">
      <c r="B2" s="699"/>
      <c r="C2" s="718" t="s">
        <v>718</v>
      </c>
      <c r="D2" s="719"/>
      <c r="E2" s="708"/>
      <c r="F2" s="709"/>
    </row>
    <row r="3" spans="2:11" x14ac:dyDescent="0.2">
      <c r="B3" s="700"/>
      <c r="C3" s="720"/>
      <c r="D3" s="721"/>
      <c r="E3" s="710"/>
      <c r="F3" s="711"/>
    </row>
    <row r="4" spans="2:11" x14ac:dyDescent="0.2">
      <c r="B4" s="700"/>
      <c r="C4" s="720"/>
      <c r="D4" s="721"/>
      <c r="E4" s="710"/>
      <c r="F4" s="711"/>
    </row>
    <row r="5" spans="2:11" x14ac:dyDescent="0.2">
      <c r="B5" s="700"/>
      <c r="C5" s="720"/>
      <c r="D5" s="721"/>
      <c r="E5" s="710"/>
      <c r="F5" s="711"/>
    </row>
    <row r="6" spans="2:11" x14ac:dyDescent="0.2">
      <c r="B6" s="700"/>
      <c r="C6" s="720"/>
      <c r="D6" s="721"/>
      <c r="E6" s="710"/>
      <c r="F6" s="711"/>
      <c r="I6" s="25"/>
      <c r="J6" s="117"/>
      <c r="K6" s="117"/>
    </row>
    <row r="7" spans="2:11" ht="13.5" thickBot="1" x14ac:dyDescent="0.25">
      <c r="B7" s="701"/>
      <c r="C7" s="722"/>
      <c r="D7" s="723"/>
      <c r="E7" s="712"/>
      <c r="F7" s="713"/>
      <c r="I7" s="205"/>
      <c r="J7" s="438"/>
      <c r="K7" s="438"/>
    </row>
    <row r="8" spans="2:11" ht="13.5" thickBot="1" x14ac:dyDescent="0.25">
      <c r="B8" s="533" t="s">
        <v>161</v>
      </c>
      <c r="C8" s="534" t="s">
        <v>162</v>
      </c>
      <c r="D8" s="534" t="s">
        <v>0</v>
      </c>
      <c r="E8" s="534" t="s">
        <v>180</v>
      </c>
      <c r="F8" s="535" t="s">
        <v>167</v>
      </c>
      <c r="G8" s="439"/>
      <c r="I8" s="205"/>
      <c r="J8" s="438"/>
      <c r="K8" s="438"/>
    </row>
    <row r="9" spans="2:11" x14ac:dyDescent="0.2">
      <c r="B9" s="487" t="s">
        <v>147</v>
      </c>
      <c r="C9" s="488" t="s">
        <v>43</v>
      </c>
      <c r="D9" s="283" t="s">
        <v>153</v>
      </c>
      <c r="E9" s="493"/>
      <c r="F9" s="489"/>
      <c r="G9" s="28"/>
      <c r="I9" s="205"/>
      <c r="J9" s="438"/>
      <c r="K9" s="28"/>
    </row>
    <row r="10" spans="2:11" x14ac:dyDescent="0.2">
      <c r="B10" s="404" t="s">
        <v>147</v>
      </c>
      <c r="C10" s="15" t="s">
        <v>44</v>
      </c>
      <c r="D10" s="71" t="s">
        <v>153</v>
      </c>
      <c r="E10" s="494"/>
      <c r="F10" s="490"/>
      <c r="G10" s="28"/>
    </row>
    <row r="11" spans="2:11" x14ac:dyDescent="0.2">
      <c r="B11" s="404" t="s">
        <v>147</v>
      </c>
      <c r="C11" s="15" t="s">
        <v>45</v>
      </c>
      <c r="D11" s="71" t="s">
        <v>153</v>
      </c>
      <c r="E11" s="494"/>
      <c r="F11" s="490"/>
      <c r="G11" s="28"/>
    </row>
    <row r="12" spans="2:11" x14ac:dyDescent="0.2">
      <c r="B12" s="404" t="s">
        <v>147</v>
      </c>
      <c r="C12" s="15" t="s">
        <v>48</v>
      </c>
      <c r="D12" s="71" t="s">
        <v>153</v>
      </c>
      <c r="E12" s="494"/>
      <c r="F12" s="490"/>
      <c r="G12" s="28"/>
    </row>
    <row r="13" spans="2:11" x14ac:dyDescent="0.2">
      <c r="B13" s="404" t="s">
        <v>147</v>
      </c>
      <c r="C13" s="15" t="s">
        <v>46</v>
      </c>
      <c r="D13" s="71" t="s">
        <v>153</v>
      </c>
      <c r="E13" s="494"/>
      <c r="F13" s="490"/>
      <c r="G13" s="28"/>
    </row>
    <row r="14" spans="2:11" x14ac:dyDescent="0.2">
      <c r="B14" s="404" t="s">
        <v>147</v>
      </c>
      <c r="C14" s="15" t="s">
        <v>87</v>
      </c>
      <c r="D14" s="71" t="s">
        <v>153</v>
      </c>
      <c r="E14" s="494"/>
      <c r="F14" s="490"/>
      <c r="G14" s="28"/>
    </row>
    <row r="15" spans="2:11" x14ac:dyDescent="0.2">
      <c r="B15" s="404" t="s">
        <v>147</v>
      </c>
      <c r="C15" s="15" t="s">
        <v>131</v>
      </c>
      <c r="D15" s="71" t="s">
        <v>153</v>
      </c>
      <c r="E15" s="494"/>
      <c r="F15" s="490"/>
      <c r="G15" s="28"/>
    </row>
    <row r="16" spans="2:11" ht="13.5" thickBot="1" x14ac:dyDescent="0.25">
      <c r="B16" s="404" t="s">
        <v>147</v>
      </c>
      <c r="C16" s="15" t="s">
        <v>87</v>
      </c>
      <c r="D16" s="284" t="s">
        <v>153</v>
      </c>
      <c r="E16" s="494"/>
      <c r="F16" s="490"/>
      <c r="G16" s="28"/>
      <c r="I16" s="342"/>
    </row>
    <row r="17" spans="2:10" x14ac:dyDescent="0.2">
      <c r="B17" s="404" t="s">
        <v>147</v>
      </c>
      <c r="C17" s="15" t="s">
        <v>49</v>
      </c>
      <c r="D17" s="283" t="s">
        <v>153</v>
      </c>
      <c r="E17" s="494"/>
      <c r="F17" s="490"/>
      <c r="G17" s="28"/>
    </row>
    <row r="18" spans="2:10" x14ac:dyDescent="0.2">
      <c r="B18" s="404" t="s">
        <v>147</v>
      </c>
      <c r="C18" s="15" t="s">
        <v>122</v>
      </c>
      <c r="D18" s="71" t="s">
        <v>153</v>
      </c>
      <c r="E18" s="494"/>
      <c r="F18" s="490"/>
      <c r="G18" s="28"/>
    </row>
    <row r="19" spans="2:10" x14ac:dyDescent="0.2">
      <c r="B19" s="404" t="s">
        <v>147</v>
      </c>
      <c r="C19" s="15" t="s">
        <v>123</v>
      </c>
      <c r="D19" s="71" t="s">
        <v>153</v>
      </c>
      <c r="E19" s="494"/>
      <c r="F19" s="490"/>
      <c r="G19" s="28"/>
    </row>
    <row r="20" spans="2:10" x14ac:dyDescent="0.2">
      <c r="B20" s="404" t="s">
        <v>147</v>
      </c>
      <c r="C20" s="15" t="s">
        <v>164</v>
      </c>
      <c r="D20" s="71" t="s">
        <v>153</v>
      </c>
      <c r="E20" s="494"/>
      <c r="F20" s="490"/>
      <c r="G20" s="28"/>
    </row>
    <row r="21" spans="2:10" ht="13.5" thickBot="1" x14ac:dyDescent="0.25">
      <c r="B21" s="491" t="s">
        <v>147</v>
      </c>
      <c r="C21" s="492" t="s">
        <v>163</v>
      </c>
      <c r="D21" s="71" t="s">
        <v>153</v>
      </c>
      <c r="E21" s="518"/>
      <c r="F21" s="490"/>
      <c r="G21" s="28"/>
    </row>
    <row r="22" spans="2:10" x14ac:dyDescent="0.2">
      <c r="B22" s="392" t="s">
        <v>166</v>
      </c>
      <c r="C22" s="354" t="s">
        <v>165</v>
      </c>
      <c r="D22" s="71" t="s">
        <v>153</v>
      </c>
      <c r="E22" s="498"/>
      <c r="F22" s="442"/>
      <c r="G22" s="28"/>
    </row>
    <row r="23" spans="2:10" x14ac:dyDescent="0.2">
      <c r="B23" s="39" t="s">
        <v>166</v>
      </c>
      <c r="C23" s="40" t="s">
        <v>179</v>
      </c>
      <c r="D23" s="71" t="s">
        <v>153</v>
      </c>
      <c r="E23" s="499"/>
      <c r="F23" s="443"/>
      <c r="G23" s="28"/>
    </row>
    <row r="24" spans="2:10" ht="13.5" thickBot="1" x14ac:dyDescent="0.25">
      <c r="B24" s="39" t="s">
        <v>166</v>
      </c>
      <c r="C24" s="40" t="s">
        <v>178</v>
      </c>
      <c r="D24" s="284" t="s">
        <v>153</v>
      </c>
      <c r="E24" s="499"/>
      <c r="F24" s="443"/>
      <c r="G24" s="28"/>
      <c r="H24" s="46"/>
    </row>
    <row r="25" spans="2:10" ht="13.5" thickBot="1" x14ac:dyDescent="0.25">
      <c r="B25" s="39" t="s">
        <v>166</v>
      </c>
      <c r="C25" s="40" t="s">
        <v>291</v>
      </c>
      <c r="D25" s="283" t="s">
        <v>153</v>
      </c>
      <c r="E25" s="499"/>
      <c r="F25" s="443"/>
      <c r="G25" s="440"/>
      <c r="H25" s="411"/>
      <c r="J25" s="46"/>
    </row>
    <row r="26" spans="2:10" x14ac:dyDescent="0.2">
      <c r="B26" s="39" t="s">
        <v>166</v>
      </c>
      <c r="C26" s="40" t="s">
        <v>724</v>
      </c>
      <c r="D26" s="283" t="s">
        <v>153</v>
      </c>
      <c r="E26" s="499"/>
      <c r="F26" s="443"/>
      <c r="G26" s="440"/>
      <c r="H26" s="411"/>
      <c r="J26" s="46"/>
    </row>
    <row r="27" spans="2:10" x14ac:dyDescent="0.2">
      <c r="B27" s="39" t="s">
        <v>166</v>
      </c>
      <c r="C27" s="40" t="s">
        <v>294</v>
      </c>
      <c r="D27" s="71" t="s">
        <v>153</v>
      </c>
      <c r="E27" s="499"/>
      <c r="F27" s="443"/>
      <c r="G27" s="440"/>
      <c r="H27" s="411"/>
    </row>
    <row r="28" spans="2:10" x14ac:dyDescent="0.2">
      <c r="B28" s="39" t="s">
        <v>166</v>
      </c>
      <c r="C28" s="40" t="s">
        <v>27</v>
      </c>
      <c r="D28" s="71" t="s">
        <v>153</v>
      </c>
      <c r="E28" s="499"/>
      <c r="F28" s="443"/>
      <c r="G28" s="28"/>
    </row>
    <row r="29" spans="2:10" x14ac:dyDescent="0.2">
      <c r="B29" s="39" t="s">
        <v>166</v>
      </c>
      <c r="C29" s="40" t="s">
        <v>29</v>
      </c>
      <c r="D29" s="71" t="s">
        <v>153</v>
      </c>
      <c r="E29" s="499"/>
      <c r="F29" s="443"/>
      <c r="G29" s="28"/>
      <c r="H29" s="46"/>
    </row>
    <row r="30" spans="2:10" ht="13.5" thickBot="1" x14ac:dyDescent="0.25">
      <c r="B30" s="47" t="s">
        <v>166</v>
      </c>
      <c r="C30" s="48" t="s">
        <v>671</v>
      </c>
      <c r="D30" s="71" t="s">
        <v>153</v>
      </c>
      <c r="E30" s="500"/>
      <c r="F30" s="444"/>
      <c r="G30" s="28"/>
      <c r="H30" s="46"/>
    </row>
    <row r="31" spans="2:10" x14ac:dyDescent="0.2">
      <c r="B31" s="487" t="s">
        <v>714</v>
      </c>
      <c r="C31" s="488" t="s">
        <v>56</v>
      </c>
      <c r="D31" s="71" t="s">
        <v>153</v>
      </c>
      <c r="E31" s="519"/>
      <c r="F31" s="489"/>
      <c r="G31" s="28"/>
    </row>
    <row r="32" spans="2:10" ht="13.5" thickBot="1" x14ac:dyDescent="0.25">
      <c r="B32" s="405" t="s">
        <v>714</v>
      </c>
      <c r="C32" s="520" t="s">
        <v>57</v>
      </c>
      <c r="D32" s="71" t="s">
        <v>153</v>
      </c>
      <c r="E32" s="494"/>
      <c r="F32" s="521"/>
      <c r="G32" s="28"/>
    </row>
    <row r="33" spans="2:15" ht="26.25" thickBot="1" x14ac:dyDescent="0.25">
      <c r="B33" s="392" t="s">
        <v>149</v>
      </c>
      <c r="C33" s="531" t="s">
        <v>687</v>
      </c>
      <c r="D33" s="284" t="s">
        <v>153</v>
      </c>
      <c r="E33" s="511"/>
      <c r="F33" s="555"/>
      <c r="G33" s="28"/>
      <c r="H33" s="280"/>
      <c r="I33" s="281"/>
      <c r="J33" s="282"/>
      <c r="K33" s="60"/>
      <c r="L33" s="25"/>
      <c r="M33" s="25"/>
      <c r="N33" s="25"/>
      <c r="O33" s="25"/>
    </row>
    <row r="34" spans="2:15" ht="27.75" customHeight="1" x14ac:dyDescent="0.2">
      <c r="B34" s="39" t="s">
        <v>149</v>
      </c>
      <c r="C34" s="532" t="s">
        <v>688</v>
      </c>
      <c r="D34" s="71" t="s">
        <v>153</v>
      </c>
      <c r="E34" s="554"/>
      <c r="F34" s="556"/>
      <c r="G34" s="28"/>
      <c r="H34" s="280"/>
      <c r="I34" s="281"/>
      <c r="J34" s="60"/>
      <c r="K34" s="60"/>
      <c r="L34" s="25"/>
      <c r="M34" s="25"/>
      <c r="N34" s="25"/>
      <c r="O34" s="25"/>
    </row>
    <row r="35" spans="2:15" x14ac:dyDescent="0.2">
      <c r="B35" s="39" t="s">
        <v>149</v>
      </c>
      <c r="C35" s="40" t="s">
        <v>686</v>
      </c>
      <c r="D35" s="71" t="s">
        <v>153</v>
      </c>
      <c r="E35" s="512"/>
      <c r="F35" s="444"/>
      <c r="G35" s="28"/>
      <c r="H35" s="280"/>
      <c r="I35" s="281"/>
      <c r="J35" s="60"/>
      <c r="K35" s="25"/>
      <c r="L35" s="25"/>
      <c r="M35" s="25"/>
      <c r="N35" s="25"/>
      <c r="O35" s="25"/>
    </row>
    <row r="36" spans="2:15" x14ac:dyDescent="0.2">
      <c r="B36" s="39" t="s">
        <v>149</v>
      </c>
      <c r="C36" s="40" t="s">
        <v>689</v>
      </c>
      <c r="D36" s="71" t="s">
        <v>153</v>
      </c>
      <c r="E36" s="512"/>
      <c r="F36" s="444"/>
      <c r="G36" s="28"/>
      <c r="H36" s="280"/>
      <c r="I36" s="281"/>
      <c r="J36" s="60"/>
      <c r="K36" s="25"/>
      <c r="L36" s="25"/>
      <c r="M36" s="25"/>
      <c r="N36" s="25"/>
      <c r="O36" s="25"/>
    </row>
    <row r="37" spans="2:15" x14ac:dyDescent="0.2">
      <c r="B37" s="39" t="s">
        <v>149</v>
      </c>
      <c r="C37" s="486" t="s">
        <v>319</v>
      </c>
      <c r="D37" s="71" t="s">
        <v>153</v>
      </c>
      <c r="E37" s="512"/>
      <c r="F37" s="444"/>
      <c r="G37" s="28"/>
      <c r="H37" s="28"/>
      <c r="I37" s="281"/>
      <c r="J37" s="60"/>
      <c r="K37" s="25"/>
      <c r="L37" s="25"/>
      <c r="M37" s="25"/>
      <c r="N37" s="25"/>
      <c r="O37" s="25"/>
    </row>
    <row r="38" spans="2:15" x14ac:dyDescent="0.2">
      <c r="B38" s="39" t="s">
        <v>152</v>
      </c>
      <c r="C38" s="40" t="s">
        <v>685</v>
      </c>
      <c r="D38" s="71" t="s">
        <v>153</v>
      </c>
      <c r="E38" s="512"/>
      <c r="F38" s="49"/>
      <c r="G38" s="28"/>
      <c r="H38" s="280"/>
      <c r="I38" s="281"/>
      <c r="J38" s="60"/>
      <c r="K38" s="25"/>
      <c r="L38" s="25"/>
      <c r="M38" s="25"/>
      <c r="N38" s="25"/>
      <c r="O38" s="25"/>
    </row>
    <row r="39" spans="2:15" ht="13.5" thickBot="1" x14ac:dyDescent="0.25">
      <c r="B39" s="39" t="s">
        <v>151</v>
      </c>
      <c r="C39" s="40" t="s">
        <v>684</v>
      </c>
      <c r="D39" s="71" t="s">
        <v>153</v>
      </c>
      <c r="E39" s="512"/>
      <c r="F39" s="49"/>
      <c r="G39" s="28"/>
      <c r="H39" s="280"/>
      <c r="I39" s="281"/>
      <c r="J39" s="60"/>
      <c r="K39" s="25"/>
      <c r="L39" s="25"/>
      <c r="M39" s="25"/>
      <c r="N39" s="25"/>
      <c r="O39" s="25"/>
    </row>
    <row r="40" spans="2:15" x14ac:dyDescent="0.2">
      <c r="B40" s="487" t="s">
        <v>168</v>
      </c>
      <c r="C40" s="488" t="s">
        <v>132</v>
      </c>
      <c r="D40" s="283" t="s">
        <v>153</v>
      </c>
      <c r="E40" s="512"/>
      <c r="F40" s="525"/>
      <c r="G40" s="28"/>
      <c r="H40" s="296"/>
      <c r="I40" s="297"/>
      <c r="J40" s="12"/>
    </row>
    <row r="41" spans="2:15" x14ac:dyDescent="0.2">
      <c r="B41" s="404" t="s">
        <v>168</v>
      </c>
      <c r="C41" s="15" t="s">
        <v>133</v>
      </c>
      <c r="D41" s="71" t="s">
        <v>153</v>
      </c>
      <c r="E41" s="513"/>
      <c r="F41" s="526"/>
      <c r="G41" s="28"/>
      <c r="H41" s="296"/>
      <c r="I41" s="297"/>
      <c r="J41" s="12"/>
    </row>
    <row r="42" spans="2:15" x14ac:dyDescent="0.2">
      <c r="B42" s="404" t="s">
        <v>168</v>
      </c>
      <c r="C42" s="15" t="s">
        <v>88</v>
      </c>
      <c r="D42" s="71" t="s">
        <v>153</v>
      </c>
      <c r="E42" s="513"/>
      <c r="F42" s="526"/>
      <c r="G42" s="28"/>
      <c r="H42" s="296"/>
      <c r="I42" s="297"/>
      <c r="J42" s="12"/>
    </row>
    <row r="43" spans="2:15" x14ac:dyDescent="0.2">
      <c r="B43" s="404" t="s">
        <v>168</v>
      </c>
      <c r="C43" s="15" t="s">
        <v>194</v>
      </c>
      <c r="D43" s="71" t="s">
        <v>153</v>
      </c>
      <c r="E43" s="513"/>
      <c r="F43" s="526"/>
      <c r="G43" s="28"/>
      <c r="H43" s="296"/>
      <c r="I43" s="297"/>
      <c r="J43" s="12"/>
    </row>
    <row r="44" spans="2:15" x14ac:dyDescent="0.2">
      <c r="B44" s="404" t="s">
        <v>168</v>
      </c>
      <c r="C44" s="15" t="s">
        <v>628</v>
      </c>
      <c r="D44" s="71" t="s">
        <v>153</v>
      </c>
      <c r="E44" s="494"/>
      <c r="F44" s="444"/>
      <c r="G44" s="28"/>
      <c r="H44" s="300"/>
      <c r="I44" s="297"/>
      <c r="J44" s="12"/>
    </row>
    <row r="45" spans="2:15" x14ac:dyDescent="0.2">
      <c r="B45" s="404" t="s">
        <v>168</v>
      </c>
      <c r="C45" s="15" t="s">
        <v>611</v>
      </c>
      <c r="D45" s="71" t="s">
        <v>153</v>
      </c>
      <c r="E45" s="494"/>
      <c r="F45" s="444"/>
      <c r="G45" s="28"/>
      <c r="H45" s="296"/>
      <c r="I45" s="297"/>
      <c r="J45" s="12"/>
    </row>
    <row r="46" spans="2:15" ht="13.5" thickBot="1" x14ac:dyDescent="0.25">
      <c r="B46" s="404" t="s">
        <v>168</v>
      </c>
      <c r="C46" s="15" t="s">
        <v>629</v>
      </c>
      <c r="D46" s="284" t="s">
        <v>153</v>
      </c>
      <c r="E46" s="494"/>
      <c r="F46" s="444"/>
      <c r="G46" s="28"/>
      <c r="H46" s="296"/>
      <c r="I46" s="297"/>
      <c r="J46" s="12"/>
    </row>
    <row r="47" spans="2:15" x14ac:dyDescent="0.2">
      <c r="B47" s="522" t="s">
        <v>402</v>
      </c>
      <c r="C47" s="523" t="s">
        <v>89</v>
      </c>
      <c r="D47" s="283" t="s">
        <v>153</v>
      </c>
      <c r="E47" s="494"/>
      <c r="F47" s="444"/>
      <c r="G47" s="441"/>
      <c r="H47" s="4"/>
      <c r="I47" s="297"/>
      <c r="J47" s="12"/>
    </row>
    <row r="48" spans="2:15" x14ac:dyDescent="0.2">
      <c r="B48" s="522" t="s">
        <v>402</v>
      </c>
      <c r="C48" s="523" t="s">
        <v>64</v>
      </c>
      <c r="D48" s="71" t="s">
        <v>153</v>
      </c>
      <c r="E48" s="494"/>
      <c r="F48" s="444"/>
      <c r="G48" s="441"/>
      <c r="H48" s="4"/>
      <c r="I48" s="297"/>
      <c r="J48" s="12"/>
    </row>
    <row r="49" spans="2:10" x14ac:dyDescent="0.2">
      <c r="B49" s="522" t="s">
        <v>402</v>
      </c>
      <c r="C49" s="523" t="s">
        <v>65</v>
      </c>
      <c r="D49" s="71" t="s">
        <v>153</v>
      </c>
      <c r="E49" s="494"/>
      <c r="F49" s="444"/>
      <c r="G49" s="441"/>
      <c r="H49" s="298"/>
      <c r="I49" s="297"/>
      <c r="J49" s="12"/>
    </row>
    <row r="50" spans="2:10" x14ac:dyDescent="0.2">
      <c r="B50" s="522" t="s">
        <v>402</v>
      </c>
      <c r="C50" s="523" t="s">
        <v>66</v>
      </c>
      <c r="D50" s="71" t="s">
        <v>153</v>
      </c>
      <c r="E50" s="494"/>
      <c r="F50" s="444"/>
      <c r="G50" s="441"/>
      <c r="H50" s="4"/>
      <c r="I50" s="297"/>
      <c r="J50" s="299"/>
    </row>
    <row r="51" spans="2:10" x14ac:dyDescent="0.2">
      <c r="B51" s="522" t="s">
        <v>402</v>
      </c>
      <c r="C51" s="523" t="s">
        <v>67</v>
      </c>
      <c r="D51" s="71" t="s">
        <v>153</v>
      </c>
      <c r="E51" s="494"/>
      <c r="F51" s="444"/>
      <c r="G51" s="441"/>
      <c r="H51" s="304"/>
      <c r="I51" s="410"/>
      <c r="J51" s="12"/>
    </row>
    <row r="52" spans="2:10" x14ac:dyDescent="0.2">
      <c r="B52" s="404" t="s">
        <v>403</v>
      </c>
      <c r="C52" s="15" t="s">
        <v>89</v>
      </c>
      <c r="D52" s="71" t="s">
        <v>153</v>
      </c>
      <c r="E52" s="494"/>
      <c r="F52" s="444"/>
      <c r="G52" s="28"/>
      <c r="H52" s="4"/>
      <c r="I52" s="297"/>
      <c r="J52" s="12"/>
    </row>
    <row r="53" spans="2:10" x14ac:dyDescent="0.2">
      <c r="B53" s="404" t="s">
        <v>403</v>
      </c>
      <c r="C53" s="15" t="s">
        <v>64</v>
      </c>
      <c r="D53" s="71" t="s">
        <v>153</v>
      </c>
      <c r="E53" s="494"/>
      <c r="F53" s="444"/>
      <c r="G53" s="28"/>
      <c r="H53" s="4"/>
      <c r="I53" s="297"/>
      <c r="J53" s="12"/>
    </row>
    <row r="54" spans="2:10" ht="13.5" thickBot="1" x14ac:dyDescent="0.25">
      <c r="B54" s="404" t="s">
        <v>403</v>
      </c>
      <c r="C54" s="15" t="s">
        <v>65</v>
      </c>
      <c r="D54" s="284" t="s">
        <v>153</v>
      </c>
      <c r="E54" s="494"/>
      <c r="F54" s="444"/>
      <c r="G54" s="28"/>
      <c r="H54" s="298"/>
      <c r="I54" s="297"/>
      <c r="J54" s="12"/>
    </row>
    <row r="55" spans="2:10" x14ac:dyDescent="0.2">
      <c r="B55" s="404" t="s">
        <v>403</v>
      </c>
      <c r="C55" s="15" t="s">
        <v>66</v>
      </c>
      <c r="D55" s="283" t="s">
        <v>153</v>
      </c>
      <c r="E55" s="494"/>
      <c r="F55" s="444"/>
      <c r="G55" s="28"/>
      <c r="H55" s="4"/>
      <c r="I55" s="297"/>
      <c r="J55" s="12"/>
    </row>
    <row r="56" spans="2:10" x14ac:dyDescent="0.2">
      <c r="B56" s="404" t="s">
        <v>403</v>
      </c>
      <c r="C56" s="15" t="s">
        <v>67</v>
      </c>
      <c r="D56" s="71" t="s">
        <v>153</v>
      </c>
      <c r="E56" s="494"/>
      <c r="F56" s="444"/>
      <c r="G56" s="28"/>
      <c r="H56" s="304"/>
      <c r="I56" s="410"/>
      <c r="J56" s="299"/>
    </row>
    <row r="57" spans="2:10" x14ac:dyDescent="0.2">
      <c r="B57" s="524" t="s">
        <v>70</v>
      </c>
      <c r="C57" s="15" t="s">
        <v>127</v>
      </c>
      <c r="D57" s="71" t="s">
        <v>153</v>
      </c>
      <c r="E57" s="494"/>
      <c r="F57" s="444"/>
      <c r="G57" s="28"/>
      <c r="H57" s="298"/>
      <c r="I57" s="297"/>
      <c r="J57" s="299"/>
    </row>
    <row r="58" spans="2:10" x14ac:dyDescent="0.2">
      <c r="B58" s="524" t="s">
        <v>68</v>
      </c>
      <c r="C58" s="15" t="s">
        <v>118</v>
      </c>
      <c r="D58" s="71" t="s">
        <v>153</v>
      </c>
      <c r="E58" s="494"/>
      <c r="F58" s="444"/>
      <c r="G58" s="28"/>
      <c r="H58" s="298"/>
      <c r="I58" s="297"/>
      <c r="J58" s="12"/>
    </row>
    <row r="59" spans="2:10" ht="13.5" thickBot="1" x14ac:dyDescent="0.25">
      <c r="B59" s="524" t="s">
        <v>68</v>
      </c>
      <c r="C59" s="15" t="s">
        <v>119</v>
      </c>
      <c r="D59" s="71" t="s">
        <v>153</v>
      </c>
      <c r="E59" s="494"/>
      <c r="F59" s="444"/>
      <c r="G59" s="28"/>
      <c r="H59" s="298"/>
      <c r="I59" s="297"/>
      <c r="J59" s="12"/>
    </row>
    <row r="60" spans="2:10" x14ac:dyDescent="0.2">
      <c r="B60" s="487"/>
      <c r="C60" s="527" t="s">
        <v>713</v>
      </c>
      <c r="D60" s="71" t="s">
        <v>153</v>
      </c>
      <c r="E60" s="528"/>
      <c r="F60" s="444"/>
    </row>
    <row r="61" spans="2:10" ht="13.5" thickBot="1" x14ac:dyDescent="0.25">
      <c r="B61" s="404"/>
      <c r="C61" s="529" t="s">
        <v>697</v>
      </c>
      <c r="D61" s="284" t="s">
        <v>153</v>
      </c>
      <c r="E61" s="494"/>
      <c r="F61" s="444"/>
    </row>
    <row r="62" spans="2:10" ht="13.5" thickBot="1" x14ac:dyDescent="0.25">
      <c r="B62" s="405"/>
      <c r="C62" s="530" t="s">
        <v>698</v>
      </c>
      <c r="D62" s="284" t="s">
        <v>153</v>
      </c>
      <c r="E62" s="495"/>
      <c r="F62" s="553"/>
    </row>
  </sheetData>
  <mergeCells count="3">
    <mergeCell ref="C2:D7"/>
    <mergeCell ref="B2:B7"/>
    <mergeCell ref="E2:F7"/>
  </mergeCells>
  <printOptions horizontalCentered="1"/>
  <pageMargins left="0.7" right="0.7" top="0.75" bottom="0.75" header="0.3" footer="0.3"/>
  <pageSetup paperSize="9" scale="68" firstPageNumber="0" fitToHeight="4" orientation="portrait" horizontalDpi="300" verticalDpi="3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5"/>
  <sheetViews>
    <sheetView showGridLines="0" zoomScaleNormal="100" zoomScaleSheetLayoutView="100" workbookViewId="0">
      <selection activeCell="D17" sqref="D17:D19"/>
    </sheetView>
  </sheetViews>
  <sheetFormatPr defaultColWidth="14.7109375" defaultRowHeight="12.75" x14ac:dyDescent="0.2"/>
  <cols>
    <col min="1" max="1" width="2.42578125" style="365" customWidth="1"/>
    <col min="2" max="2" width="18.85546875" style="365" customWidth="1"/>
    <col min="3" max="3" width="60.85546875" style="365" customWidth="1"/>
    <col min="4" max="4" width="17.5703125" style="365" bestFit="1" customWidth="1"/>
    <col min="5" max="5" width="14.42578125" style="365" bestFit="1" customWidth="1"/>
    <col min="6" max="6" width="55.28515625" style="365" bestFit="1" customWidth="1"/>
    <col min="7" max="7" width="5.42578125" style="365" bestFit="1" customWidth="1"/>
    <col min="8" max="16384" width="14.7109375" style="365"/>
  </cols>
  <sheetData>
    <row r="1" spans="1:8" ht="13.5" thickBot="1" x14ac:dyDescent="0.25"/>
    <row r="2" spans="1:8" ht="12.75" customHeight="1" x14ac:dyDescent="0.2">
      <c r="B2" s="699"/>
      <c r="C2" s="733" t="s">
        <v>719</v>
      </c>
      <c r="D2" s="733"/>
      <c r="E2" s="3"/>
      <c r="F2" s="6"/>
    </row>
    <row r="3" spans="1:8" ht="12.75" customHeight="1" x14ac:dyDescent="0.2">
      <c r="B3" s="700"/>
      <c r="C3" s="734"/>
      <c r="D3" s="734"/>
      <c r="E3" s="3"/>
      <c r="F3" s="6"/>
    </row>
    <row r="4" spans="1:8" ht="12.75" customHeight="1" x14ac:dyDescent="0.2">
      <c r="B4" s="700"/>
      <c r="C4" s="734"/>
      <c r="D4" s="734"/>
      <c r="E4" s="3"/>
      <c r="F4" s="6"/>
    </row>
    <row r="5" spans="1:8" ht="12.75" customHeight="1" x14ac:dyDescent="0.2">
      <c r="B5" s="700"/>
      <c r="C5" s="734"/>
      <c r="D5" s="734"/>
      <c r="E5" s="3"/>
      <c r="F5" s="6"/>
    </row>
    <row r="6" spans="1:8" ht="12.75" customHeight="1" x14ac:dyDescent="0.2">
      <c r="B6" s="700"/>
      <c r="C6" s="734"/>
      <c r="D6" s="734"/>
      <c r="E6" s="3"/>
      <c r="F6" s="6"/>
    </row>
    <row r="7" spans="1:8" ht="13.5" customHeight="1" thickBot="1" x14ac:dyDescent="0.25">
      <c r="B7" s="701"/>
      <c r="C7" s="735"/>
      <c r="D7" s="735"/>
      <c r="E7" s="3"/>
      <c r="F7" s="6"/>
    </row>
    <row r="8" spans="1:8" ht="15.75" customHeight="1" x14ac:dyDescent="0.2">
      <c r="B8" s="724" t="s">
        <v>647</v>
      </c>
      <c r="C8" s="725"/>
      <c r="D8" s="726"/>
      <c r="E8" s="507"/>
      <c r="F8" s="507"/>
      <c r="G8" s="507"/>
      <c r="H8" s="507"/>
    </row>
    <row r="9" spans="1:8" ht="15.75" customHeight="1" x14ac:dyDescent="0.2">
      <c r="B9" s="727"/>
      <c r="C9" s="728"/>
      <c r="D9" s="729"/>
    </row>
    <row r="10" spans="1:8" ht="15.6" customHeight="1" thickBot="1" x14ac:dyDescent="0.25">
      <c r="B10" s="730"/>
      <c r="C10" s="731"/>
      <c r="D10" s="732"/>
    </row>
    <row r="11" spans="1:8" ht="14.25" x14ac:dyDescent="0.2">
      <c r="B11" s="671"/>
      <c r="C11" s="605" t="s">
        <v>649</v>
      </c>
      <c r="D11" s="672" t="s">
        <v>648</v>
      </c>
    </row>
    <row r="12" spans="1:8" x14ac:dyDescent="0.2">
      <c r="A12" s="367"/>
      <c r="B12" s="398" t="s">
        <v>91</v>
      </c>
      <c r="C12" s="368" t="s">
        <v>640</v>
      </c>
      <c r="D12" s="417"/>
    </row>
    <row r="13" spans="1:8" x14ac:dyDescent="0.2">
      <c r="A13" s="367"/>
      <c r="B13" s="398" t="s">
        <v>92</v>
      </c>
      <c r="C13" s="368" t="s">
        <v>630</v>
      </c>
      <c r="D13" s="418"/>
    </row>
    <row r="14" spans="1:8" x14ac:dyDescent="0.2">
      <c r="A14" s="367"/>
      <c r="B14" s="398" t="s">
        <v>93</v>
      </c>
      <c r="C14" s="368" t="s">
        <v>631</v>
      </c>
      <c r="D14" s="418"/>
    </row>
    <row r="15" spans="1:8" x14ac:dyDescent="0.2">
      <c r="A15" s="367"/>
      <c r="B15" s="398" t="s">
        <v>77</v>
      </c>
      <c r="C15" s="368" t="s">
        <v>632</v>
      </c>
      <c r="D15" s="418"/>
    </row>
    <row r="16" spans="1:8" x14ac:dyDescent="0.2">
      <c r="A16" s="367"/>
      <c r="B16" s="398" t="s">
        <v>633</v>
      </c>
      <c r="C16" s="368" t="s">
        <v>704</v>
      </c>
      <c r="D16" s="514">
        <f>('COLETA URBANA '!G86+'COLETA URBANA '!G150)*0.1</f>
        <v>0</v>
      </c>
      <c r="E16" s="482"/>
    </row>
    <row r="17" spans="1:5" x14ac:dyDescent="0.2">
      <c r="A17" s="367"/>
      <c r="B17" s="398" t="s">
        <v>634</v>
      </c>
      <c r="C17" s="368" t="s">
        <v>635</v>
      </c>
      <c r="D17" s="418"/>
    </row>
    <row r="18" spans="1:5" ht="13.9" customHeight="1" x14ac:dyDescent="0.2">
      <c r="A18" s="367"/>
      <c r="B18" s="398" t="s">
        <v>636</v>
      </c>
      <c r="C18" s="368" t="s">
        <v>637</v>
      </c>
      <c r="D18" s="418"/>
    </row>
    <row r="19" spans="1:5" x14ac:dyDescent="0.2">
      <c r="A19" s="367"/>
      <c r="B19" s="398" t="s">
        <v>638</v>
      </c>
      <c r="C19" s="368" t="s">
        <v>639</v>
      </c>
      <c r="D19" s="418"/>
    </row>
    <row r="20" spans="1:5" ht="15" thickBot="1" x14ac:dyDescent="0.25">
      <c r="B20" s="673"/>
      <c r="C20" s="674" t="s">
        <v>612</v>
      </c>
      <c r="D20" s="675">
        <f>SUM(D12:D19)</f>
        <v>0</v>
      </c>
    </row>
    <row r="21" spans="1:5" ht="16.5" thickBot="1" x14ac:dyDescent="0.3">
      <c r="B21" s="366"/>
      <c r="C21" s="366"/>
      <c r="D21" s="370"/>
      <c r="E21" s="371"/>
    </row>
    <row r="22" spans="1:5" ht="15" customHeight="1" x14ac:dyDescent="0.25">
      <c r="B22" s="366"/>
      <c r="C22" s="676" t="s">
        <v>0</v>
      </c>
      <c r="D22" s="677" t="s">
        <v>1</v>
      </c>
      <c r="E22" s="371"/>
    </row>
    <row r="23" spans="1:5" ht="15" customHeight="1" x14ac:dyDescent="0.25">
      <c r="B23" s="366"/>
      <c r="C23" s="398" t="s">
        <v>717</v>
      </c>
      <c r="D23" s="418">
        <f>D20</f>
        <v>0</v>
      </c>
      <c r="E23" s="371"/>
    </row>
    <row r="24" spans="1:5" ht="15.75" thickBot="1" x14ac:dyDescent="0.25">
      <c r="B24" s="366"/>
      <c r="C24" s="678" t="s">
        <v>612</v>
      </c>
      <c r="D24" s="575">
        <f>SUM(D23:D23)</f>
        <v>0</v>
      </c>
      <c r="E24" s="372"/>
    </row>
    <row r="25" spans="1:5" x14ac:dyDescent="0.2">
      <c r="D25" s="369"/>
      <c r="E25" s="373"/>
    </row>
  </sheetData>
  <mergeCells count="4">
    <mergeCell ref="B2:B7"/>
    <mergeCell ref="B8:D10"/>
    <mergeCell ref="D2:D7"/>
    <mergeCell ref="C2:C7"/>
  </mergeCells>
  <pageMargins left="0.82677165354330717" right="0.23622047244094491" top="0.74803149606299213" bottom="0.78740157480314965" header="0.51181102362204722" footer="0.51181102362204722"/>
  <pageSetup paperSize="9" firstPageNumber="0" orientation="portrait" horizontalDpi="300" verticalDpi="3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4:O365"/>
  <sheetViews>
    <sheetView showGridLines="0" tabSelected="1" view="pageBreakPreview" topLeftCell="B326" zoomScaleNormal="100" zoomScaleSheetLayoutView="100" workbookViewId="0">
      <selection activeCell="F349" sqref="F349"/>
    </sheetView>
  </sheetViews>
  <sheetFormatPr defaultColWidth="11.42578125" defaultRowHeight="12.75" x14ac:dyDescent="0.2"/>
  <cols>
    <col min="1" max="1" width="6.42578125" style="25" hidden="1" customWidth="1"/>
    <col min="2" max="2" width="9.5703125" style="6" customWidth="1"/>
    <col min="3" max="3" width="40.42578125" style="26" customWidth="1"/>
    <col min="4" max="4" width="12.42578125" style="26" customWidth="1"/>
    <col min="5" max="5" width="14.42578125" style="26" customWidth="1"/>
    <col min="6" max="6" width="24.28515625" style="26" customWidth="1"/>
    <col min="7" max="7" width="18" style="26" bestFit="1" customWidth="1"/>
    <col min="8" max="8" width="16.42578125" style="26" customWidth="1"/>
    <col min="9" max="9" width="20.140625" style="26" customWidth="1"/>
    <col min="10" max="10" width="12.7109375" style="6" bestFit="1" customWidth="1"/>
    <col min="11" max="11" width="12.85546875" style="6" bestFit="1" customWidth="1"/>
    <col min="12" max="12" width="14" style="6" bestFit="1" customWidth="1"/>
    <col min="13" max="13" width="12.140625" style="6" bestFit="1" customWidth="1"/>
    <col min="14" max="16384" width="11.42578125" style="6"/>
  </cols>
  <sheetData>
    <row r="4" spans="1:15" ht="13.5" thickBot="1" x14ac:dyDescent="0.25"/>
    <row r="5" spans="1:15" ht="19.5" thickBot="1" x14ac:dyDescent="0.35">
      <c r="B5" s="736" t="s">
        <v>617</v>
      </c>
      <c r="C5" s="737"/>
      <c r="D5" s="737"/>
      <c r="E5" s="737"/>
      <c r="F5" s="737"/>
      <c r="G5" s="737"/>
      <c r="H5" s="738"/>
      <c r="I5" s="51"/>
      <c r="J5" s="104"/>
      <c r="K5" s="26"/>
      <c r="L5" s="26"/>
      <c r="M5" s="26"/>
      <c r="N5" s="26"/>
      <c r="O5" s="26"/>
    </row>
    <row r="6" spans="1:15" x14ac:dyDescent="0.2">
      <c r="B6" s="2"/>
      <c r="J6" s="26"/>
      <c r="K6" s="26"/>
      <c r="L6" s="26"/>
      <c r="M6" s="26"/>
      <c r="N6" s="26"/>
      <c r="O6" s="26"/>
    </row>
    <row r="7" spans="1:15" ht="14.25" x14ac:dyDescent="0.2">
      <c r="B7" s="454" t="s">
        <v>2</v>
      </c>
      <c r="C7" s="583" t="s">
        <v>18</v>
      </c>
      <c r="D7" s="584"/>
      <c r="E7" s="584"/>
      <c r="F7" s="584"/>
      <c r="G7" s="584"/>
      <c r="H7" s="585"/>
    </row>
    <row r="8" spans="1:15" ht="14.25" x14ac:dyDescent="0.2">
      <c r="B8" s="586" t="s">
        <v>7</v>
      </c>
      <c r="C8" s="251" t="s">
        <v>8</v>
      </c>
      <c r="D8" s="251" t="s">
        <v>9</v>
      </c>
      <c r="E8" s="251" t="s">
        <v>10</v>
      </c>
      <c r="F8" s="251" t="s">
        <v>11</v>
      </c>
      <c r="G8" s="251" t="s">
        <v>12</v>
      </c>
      <c r="H8" s="587"/>
      <c r="I8" s="28"/>
    </row>
    <row r="9" spans="1:15" ht="14.25" x14ac:dyDescent="0.2">
      <c r="B9" s="588" t="s">
        <v>91</v>
      </c>
      <c r="C9" s="589" t="s">
        <v>19</v>
      </c>
      <c r="D9" s="590"/>
      <c r="E9" s="590"/>
      <c r="F9" s="590"/>
      <c r="G9" s="590"/>
      <c r="H9" s="591"/>
      <c r="I9" s="27"/>
    </row>
    <row r="10" spans="1:15" x14ac:dyDescent="0.2">
      <c r="B10" s="8"/>
      <c r="C10" s="25"/>
      <c r="D10" s="25"/>
      <c r="E10" s="25"/>
      <c r="F10" s="25"/>
      <c r="G10" s="25"/>
      <c r="H10" s="62"/>
      <c r="I10" s="27"/>
    </row>
    <row r="11" spans="1:15" x14ac:dyDescent="0.2">
      <c r="A11" s="25" t="s">
        <v>99</v>
      </c>
      <c r="B11" s="468" t="str">
        <f>IF(C11="","",$B$9&amp;"."&amp;COUNT($F$11:F11))</f>
        <v>1.1.1</v>
      </c>
      <c r="C11" s="469" t="s">
        <v>20</v>
      </c>
      <c r="D11" s="28" t="s">
        <v>21</v>
      </c>
      <c r="E11" s="28">
        <f>SUMIFS('DADOS DE ENTRADA'!C:C,'DADOS DE ENTRADA'!A:A,'COLETA URBANA '!A11,'DADOS DE ENTRADA'!B:B,'COLETA URBANA '!$C$9)</f>
        <v>220</v>
      </c>
      <c r="F11" s="679">
        <f>'PREÇOS UNITÁRIOS'!E23/'COLETA URBANA '!E11</f>
        <v>0</v>
      </c>
      <c r="G11" s="693">
        <f>'PREÇOS UNITÁRIOS'!E23</f>
        <v>0</v>
      </c>
      <c r="H11" s="62"/>
      <c r="I11" s="27"/>
    </row>
    <row r="12" spans="1:15" x14ac:dyDescent="0.2">
      <c r="A12" s="25" t="s">
        <v>91</v>
      </c>
      <c r="B12" s="468" t="str">
        <f>IF(C12="","",$B$9&amp;"."&amp;COUNT($F$11:F12))</f>
        <v>1.1.2</v>
      </c>
      <c r="C12" s="469" t="s">
        <v>22</v>
      </c>
      <c r="D12" s="28" t="s">
        <v>1</v>
      </c>
      <c r="E12" s="89">
        <f>SUMIFS('DADOS DE ENTRADA'!C:C,'DADOS DE ENTRADA'!A:A,'COLETA URBANA '!A12,'DADOS DE ENTRADA'!B:B,'COLETA URBANA '!$C$9)</f>
        <v>0.4</v>
      </c>
      <c r="F12" s="679">
        <f>'PREÇOS UNITÁRIOS'!E22</f>
        <v>0</v>
      </c>
      <c r="G12" s="103">
        <f>E12*F12</f>
        <v>0</v>
      </c>
      <c r="H12" s="62"/>
      <c r="I12" s="103"/>
      <c r="J12" s="17"/>
    </row>
    <row r="13" spans="1:15" x14ac:dyDescent="0.2">
      <c r="B13" s="468"/>
      <c r="C13" s="469"/>
      <c r="D13" s="28"/>
      <c r="E13" s="89"/>
      <c r="F13" s="679"/>
      <c r="G13" s="150">
        <f>SUM(G11:G12)</f>
        <v>0</v>
      </c>
      <c r="H13" s="62"/>
      <c r="I13" s="103"/>
      <c r="J13" s="17"/>
    </row>
    <row r="14" spans="1:15" s="7" customFormat="1" x14ac:dyDescent="0.2">
      <c r="A14" s="25" t="s">
        <v>112</v>
      </c>
      <c r="B14" s="468" t="str">
        <f>IF(C14="","",$B$9&amp;"."&amp;COUNT($F$11:F14))</f>
        <v>1.1.3</v>
      </c>
      <c r="C14" s="469" t="s">
        <v>267</v>
      </c>
      <c r="D14" s="28" t="s">
        <v>21</v>
      </c>
      <c r="E14" s="14">
        <f>SUMIFS('DADOS DE ENTRADA'!D:D,'DADOS DE ENTRADA'!A:A,'COLETA URBANA '!A14,'DADOS DE ENTRADA'!B:B,'COLETA URBANA '!C9)</f>
        <v>0</v>
      </c>
      <c r="F14" s="680">
        <f>(G13/E11)*1.5</f>
        <v>0</v>
      </c>
      <c r="G14" s="110">
        <f>F14*E14</f>
        <v>0</v>
      </c>
      <c r="H14" s="109"/>
      <c r="I14" s="4"/>
    </row>
    <row r="15" spans="1:15" s="7" customFormat="1" x14ac:dyDescent="0.2">
      <c r="A15" s="25" t="s">
        <v>98</v>
      </c>
      <c r="B15" s="468" t="str">
        <f>IF(C15="","",$B$9&amp;"."&amp;COUNT($F$11:F15))</f>
        <v>1.1.4</v>
      </c>
      <c r="C15" s="469" t="s">
        <v>268</v>
      </c>
      <c r="D15" s="28" t="s">
        <v>21</v>
      </c>
      <c r="E15" s="14">
        <f>SUMIFS('DADOS DE ENTRADA'!D:D,'DADOS DE ENTRADA'!A:A,'COLETA URBANA '!A15,'DADOS DE ENTRADA'!B:B,'COLETA URBANA '!C9)</f>
        <v>0</v>
      </c>
      <c r="F15" s="680">
        <f>(G13/E11)*2</f>
        <v>0</v>
      </c>
      <c r="G15" s="110">
        <f>F15*E15</f>
        <v>0</v>
      </c>
      <c r="H15" s="109"/>
      <c r="I15" s="4"/>
      <c r="J15" s="111"/>
    </row>
    <row r="16" spans="1:15" s="7" customFormat="1" x14ac:dyDescent="0.2">
      <c r="A16" s="192"/>
      <c r="B16" s="470" t="str">
        <f>IF(C16="","",$B$9&amp;"."&amp;COUNT($F$11:F16))</f>
        <v/>
      </c>
      <c r="C16" s="592"/>
      <c r="D16" s="592"/>
      <c r="E16" s="592"/>
      <c r="F16" s="681" t="s">
        <v>381</v>
      </c>
      <c r="G16" s="157">
        <f>G13+G14+G15</f>
        <v>0</v>
      </c>
      <c r="H16" s="593"/>
      <c r="I16" s="4"/>
    </row>
    <row r="17" spans="1:10" x14ac:dyDescent="0.2">
      <c r="A17" s="25" t="s">
        <v>284</v>
      </c>
      <c r="B17" s="468" t="str">
        <f>IF(C17="","",$B$9&amp;"."&amp;COUNT($F$11:F17))</f>
        <v>1.1.5</v>
      </c>
      <c r="C17" s="469" t="s">
        <v>23</v>
      </c>
      <c r="D17" s="28" t="s">
        <v>1</v>
      </c>
      <c r="E17" s="90">
        <f>SUMIFS('DADOS DE ENTRADA'!C:C,'DADOS DE ENTRADA'!A:A,'COLETA URBANA '!A17,'DADOS DE ENTRADA'!B:B,'COLETA URBANA '!$C$9)</f>
        <v>0.71799999999999997</v>
      </c>
      <c r="F17" s="679">
        <f>G16</f>
        <v>0</v>
      </c>
      <c r="G17" s="103">
        <f>(E17)*F17</f>
        <v>0</v>
      </c>
      <c r="H17" s="62"/>
      <c r="I17" s="27"/>
    </row>
    <row r="18" spans="1:10" x14ac:dyDescent="0.2">
      <c r="A18" s="192"/>
      <c r="B18" s="470" t="str">
        <f>IF(C18="","",$B$9&amp;"."&amp;COUNT($F$11:F18))</f>
        <v/>
      </c>
      <c r="C18" s="592"/>
      <c r="D18" s="592"/>
      <c r="E18" s="592"/>
      <c r="F18" s="681" t="s">
        <v>381</v>
      </c>
      <c r="G18" s="157">
        <f>G17+G16</f>
        <v>0</v>
      </c>
      <c r="H18" s="593"/>
      <c r="I18" s="27"/>
    </row>
    <row r="19" spans="1:10" x14ac:dyDescent="0.2">
      <c r="A19" s="25" t="s">
        <v>96</v>
      </c>
      <c r="B19" s="468" t="str">
        <f>IF(C19="","",$B$9&amp;"."&amp;COUNT($F$11:F19))</f>
        <v>1.1.6</v>
      </c>
      <c r="C19" s="469" t="s">
        <v>24</v>
      </c>
      <c r="D19" s="28" t="s">
        <v>25</v>
      </c>
      <c r="E19" s="91">
        <v>14</v>
      </c>
      <c r="F19" s="679">
        <f>G18</f>
        <v>0</v>
      </c>
      <c r="G19" s="103">
        <f>E19*F19</f>
        <v>0</v>
      </c>
      <c r="H19" s="62"/>
      <c r="I19" s="27"/>
    </row>
    <row r="20" spans="1:10" x14ac:dyDescent="0.2">
      <c r="A20" s="25" t="s">
        <v>96</v>
      </c>
      <c r="B20" s="468" t="str">
        <f>IF(C20="","",$B$9&amp;"."&amp;COUNT($F$11:F20))</f>
        <v>1.1.7</v>
      </c>
      <c r="C20" s="471" t="s">
        <v>141</v>
      </c>
      <c r="D20" s="14" t="s">
        <v>25</v>
      </c>
      <c r="E20" s="91">
        <f>SUMIFS('DADOS DE ENTRADA'!F:F,'DADOS DE ENTRADA'!A:A,'COLETA URBANA '!A19,'DADOS DE ENTRADA'!B:B,'COLETA URBANA '!$C$9)</f>
        <v>1</v>
      </c>
      <c r="F20" s="679">
        <f>G18</f>
        <v>0</v>
      </c>
      <c r="G20" s="103">
        <f>E20*F20</f>
        <v>0</v>
      </c>
      <c r="H20" s="472"/>
      <c r="I20" s="25"/>
    </row>
    <row r="21" spans="1:10" x14ac:dyDescent="0.2">
      <c r="A21" s="25" t="s">
        <v>106</v>
      </c>
      <c r="B21" s="468" t="str">
        <f>IF(C21="","",$B$9&amp;"."&amp;COUNT($F$11:F21))</f>
        <v>1.1.8</v>
      </c>
      <c r="C21" s="469" t="s">
        <v>27</v>
      </c>
      <c r="D21" s="28" t="s">
        <v>4</v>
      </c>
      <c r="E21" s="91">
        <f>SUMIFS('DADOS DE ENTRADA'!C:C,'DADOS DE ENTRADA'!A:A,'COLETA URBANA '!A21,'DADOS DE ENTRADA'!B:B,'COLETA URBANA '!$C$9)</f>
        <v>52</v>
      </c>
      <c r="F21" s="679">
        <f>'PREÇOS UNITÁRIOS'!E28</f>
        <v>0</v>
      </c>
      <c r="G21" s="103">
        <f>E21*F21</f>
        <v>0</v>
      </c>
      <c r="H21" s="472"/>
      <c r="I21" s="25"/>
    </row>
    <row r="22" spans="1:10" x14ac:dyDescent="0.2">
      <c r="A22" s="25" t="s">
        <v>96</v>
      </c>
      <c r="B22" s="468" t="str">
        <f>IF(C22="","",$B$9&amp;"."&amp;COUNT($F$11:F22))</f>
        <v>1.1.9</v>
      </c>
      <c r="C22" s="469" t="s">
        <v>28</v>
      </c>
      <c r="D22" s="28" t="s">
        <v>25</v>
      </c>
      <c r="E22" s="91">
        <f>E19+E20</f>
        <v>15</v>
      </c>
      <c r="F22" s="679">
        <f>G21</f>
        <v>0</v>
      </c>
      <c r="G22" s="103">
        <f>(F22)*E22</f>
        <v>0</v>
      </c>
      <c r="H22" s="472"/>
      <c r="I22" s="25"/>
    </row>
    <row r="23" spans="1:10" x14ac:dyDescent="0.2">
      <c r="A23" s="25" t="s">
        <v>107</v>
      </c>
      <c r="B23" s="468" t="str">
        <f>IF(C23="","",$B$9&amp;"."&amp;COUNT($F$11:F23))</f>
        <v>1.1.10</v>
      </c>
      <c r="C23" s="469" t="s">
        <v>29</v>
      </c>
      <c r="D23" s="28" t="s">
        <v>4</v>
      </c>
      <c r="E23" s="91">
        <f>SUMIFS('DADOS DE ENTRADA'!C:C,'DADOS DE ENTRADA'!A:A,'COLETA URBANA '!A23,'DADOS DE ENTRADA'!B:B,'COLETA URBANA '!$C$9)</f>
        <v>26</v>
      </c>
      <c r="F23" s="679">
        <f>'PREÇOS UNITÁRIOS'!E29/E23</f>
        <v>0</v>
      </c>
      <c r="G23" s="693">
        <f>'PREÇOS UNITÁRIOS'!E29</f>
        <v>0</v>
      </c>
      <c r="H23" s="473"/>
      <c r="I23" s="52"/>
      <c r="J23" s="34"/>
    </row>
    <row r="24" spans="1:10" x14ac:dyDescent="0.2">
      <c r="A24" s="25" t="s">
        <v>96</v>
      </c>
      <c r="B24" s="468" t="str">
        <f>IF(C24="","",$B$9&amp;"."&amp;COUNT($F$11:F24))</f>
        <v>1.1.11</v>
      </c>
      <c r="C24" s="469" t="s">
        <v>28</v>
      </c>
      <c r="D24" s="28" t="s">
        <v>25</v>
      </c>
      <c r="E24" s="91">
        <f>E19+E20</f>
        <v>15</v>
      </c>
      <c r="F24" s="679">
        <f>'PREÇOS UNITÁRIOS'!E29</f>
        <v>0</v>
      </c>
      <c r="G24" s="103">
        <f>F24*E24</f>
        <v>0</v>
      </c>
      <c r="H24" s="472"/>
      <c r="I24" s="25"/>
    </row>
    <row r="25" spans="1:10" x14ac:dyDescent="0.2">
      <c r="B25" s="468" t="str">
        <f>IF(C25="","",$B$9&amp;"."&amp;COUNT($F$11:F25))</f>
        <v>1.1.12</v>
      </c>
      <c r="C25" s="469" t="s">
        <v>672</v>
      </c>
      <c r="D25" s="28" t="s">
        <v>25</v>
      </c>
      <c r="E25" s="91">
        <f>E24</f>
        <v>15</v>
      </c>
      <c r="F25" s="679">
        <f>'PREÇOS UNITÁRIOS'!E30</f>
        <v>0</v>
      </c>
      <c r="G25" s="103">
        <f>F25*E25</f>
        <v>0</v>
      </c>
      <c r="H25" s="472"/>
      <c r="I25" s="25"/>
    </row>
    <row r="26" spans="1:10" x14ac:dyDescent="0.2">
      <c r="A26" s="192"/>
      <c r="B26" s="170"/>
      <c r="C26" s="594"/>
      <c r="D26" s="594"/>
      <c r="E26" s="594"/>
      <c r="F26" s="163" t="s">
        <v>298</v>
      </c>
      <c r="G26" s="164">
        <f>G19+G20+G22+G24+G25</f>
        <v>0</v>
      </c>
      <c r="H26" s="595"/>
      <c r="I26" s="67"/>
    </row>
    <row r="27" spans="1:10" s="26" customFormat="1" x14ac:dyDescent="0.2">
      <c r="A27" s="25"/>
      <c r="B27" s="95"/>
      <c r="C27" s="25"/>
      <c r="D27" s="28"/>
      <c r="E27" s="28"/>
      <c r="F27" s="92"/>
      <c r="G27" s="67"/>
      <c r="H27" s="59"/>
      <c r="I27" s="27"/>
    </row>
    <row r="28" spans="1:10" ht="14.25" x14ac:dyDescent="0.2">
      <c r="B28" s="596" t="s">
        <v>92</v>
      </c>
      <c r="C28" s="597" t="s">
        <v>30</v>
      </c>
      <c r="D28" s="598"/>
      <c r="E28" s="598"/>
      <c r="F28" s="598"/>
      <c r="G28" s="598"/>
      <c r="H28" s="599"/>
      <c r="I28" s="27"/>
    </row>
    <row r="29" spans="1:10" x14ac:dyDescent="0.2">
      <c r="B29" s="154"/>
      <c r="C29" s="171"/>
      <c r="D29" s="142"/>
      <c r="E29" s="142"/>
      <c r="F29" s="172"/>
      <c r="G29" s="173"/>
      <c r="H29" s="22"/>
      <c r="I29" s="27"/>
    </row>
    <row r="30" spans="1:10" x14ac:dyDescent="0.2">
      <c r="A30" s="25" t="s">
        <v>99</v>
      </c>
      <c r="B30" s="8" t="str">
        <f>IF(C30="","",$B$28&amp;"."&amp;COUNT($F$30:F30))</f>
        <v>1.2.1</v>
      </c>
      <c r="C30" s="25" t="s">
        <v>20</v>
      </c>
      <c r="D30" s="28" t="s">
        <v>21</v>
      </c>
      <c r="E30" s="28">
        <f>SUMIFS('DADOS DE ENTRADA'!C:C,'DADOS DE ENTRADA'!A:A,'COLETA URBANA '!A30,'DADOS DE ENTRADA'!B:B,'COLETA URBANA '!$C$28)</f>
        <v>220</v>
      </c>
      <c r="F30" s="679">
        <f>'PREÇOS UNITÁRIOS'!E24/'COLETA URBANA '!E30</f>
        <v>0</v>
      </c>
      <c r="G30" s="693">
        <f>'PREÇOS UNITÁRIOS'!E24</f>
        <v>0</v>
      </c>
      <c r="H30" s="62"/>
      <c r="I30" s="27"/>
    </row>
    <row r="31" spans="1:10" x14ac:dyDescent="0.2">
      <c r="A31" s="25" t="s">
        <v>91</v>
      </c>
      <c r="B31" s="8" t="str">
        <f>IF(C31="","",$B$28&amp;"."&amp;COUNT($F$30:F31))</f>
        <v>1.2.2</v>
      </c>
      <c r="C31" s="25" t="s">
        <v>22</v>
      </c>
      <c r="D31" s="28" t="s">
        <v>1</v>
      </c>
      <c r="E31" s="89">
        <f>SUMIFS('DADOS DE ENTRADA'!C:C,'DADOS DE ENTRADA'!A:A,'COLETA URBANA '!A31,'DADOS DE ENTRADA'!B:B,'COLETA URBANA '!$C$28)</f>
        <v>0.4</v>
      </c>
      <c r="F31" s="679">
        <f>'PREÇOS UNITÁRIOS'!E22</f>
        <v>0</v>
      </c>
      <c r="G31" s="103">
        <f>E31*F31</f>
        <v>0</v>
      </c>
      <c r="H31" s="62"/>
      <c r="I31" s="54"/>
      <c r="J31" s="33"/>
    </row>
    <row r="32" spans="1:10" x14ac:dyDescent="0.2">
      <c r="B32" s="8"/>
      <c r="C32" s="25"/>
      <c r="D32" s="28"/>
      <c r="E32" s="89"/>
      <c r="F32" s="679"/>
      <c r="G32" s="150">
        <f>SUM(G30:G31)</f>
        <v>0</v>
      </c>
      <c r="H32" s="62"/>
      <c r="I32" s="54"/>
      <c r="J32" s="33"/>
    </row>
    <row r="33" spans="1:9" s="26" customFormat="1" x14ac:dyDescent="0.2">
      <c r="A33" s="25" t="s">
        <v>112</v>
      </c>
      <c r="B33" s="8" t="str">
        <f>IF(C33="","",$B$28&amp;"."&amp;COUNT($F$30:F33))</f>
        <v>1.2.3</v>
      </c>
      <c r="C33" s="25" t="s">
        <v>267</v>
      </c>
      <c r="D33" s="28" t="s">
        <v>21</v>
      </c>
      <c r="E33" s="28">
        <f>SUMIFS('DADOS DE ENTRADA'!D:D,'DADOS DE ENTRADA'!A:A,'COLETA URBANA '!A33,'DADOS DE ENTRADA'!B:B,'COLETA URBANA '!C28)</f>
        <v>0</v>
      </c>
      <c r="F33" s="679">
        <f>(G32/E30)*1.5</f>
        <v>0</v>
      </c>
      <c r="G33" s="103">
        <f>(E33)*F33</f>
        <v>0</v>
      </c>
      <c r="H33" s="112"/>
      <c r="I33" s="27"/>
    </row>
    <row r="34" spans="1:9" s="26" customFormat="1" x14ac:dyDescent="0.2">
      <c r="A34" s="25" t="s">
        <v>98</v>
      </c>
      <c r="B34" s="8" t="str">
        <f>IF(C34="","",$B$28&amp;"."&amp;COUNT($F$30:F34))</f>
        <v>1.2.4</v>
      </c>
      <c r="C34" s="25" t="s">
        <v>268</v>
      </c>
      <c r="D34" s="28" t="s">
        <v>21</v>
      </c>
      <c r="E34" s="28">
        <f>SUMIFS('DADOS DE ENTRADA'!D:D,'DADOS DE ENTRADA'!A:A,'COLETA URBANA '!A34,'DADOS DE ENTRADA'!B:B,'COLETA URBANA '!C28)</f>
        <v>0</v>
      </c>
      <c r="F34" s="679">
        <f>(G32/E30)*2</f>
        <v>0</v>
      </c>
      <c r="G34" s="695">
        <f>(E34)*F34</f>
        <v>0</v>
      </c>
      <c r="H34" s="112"/>
      <c r="I34" s="27"/>
    </row>
    <row r="35" spans="1:9" s="26" customFormat="1" x14ac:dyDescent="0.2">
      <c r="A35" s="192"/>
      <c r="B35" s="169" t="str">
        <f>IF(C35="","",$B$28&amp;"."&amp;COUNT($F$30:F35))</f>
        <v/>
      </c>
      <c r="C35" s="592"/>
      <c r="D35" s="592"/>
      <c r="E35" s="592"/>
      <c r="F35" s="681" t="s">
        <v>381</v>
      </c>
      <c r="G35" s="157">
        <f>G32+G33+G34</f>
        <v>0</v>
      </c>
      <c r="H35" s="593"/>
      <c r="I35" s="27"/>
    </row>
    <row r="36" spans="1:9" x14ac:dyDescent="0.2">
      <c r="A36" s="25" t="s">
        <v>284</v>
      </c>
      <c r="B36" s="8" t="str">
        <f>IF(C36="","",$B$28&amp;"."&amp;COUNT($F$30:F36))</f>
        <v>1.2.5</v>
      </c>
      <c r="C36" s="25" t="s">
        <v>23</v>
      </c>
      <c r="D36" s="28" t="s">
        <v>1</v>
      </c>
      <c r="E36" s="90">
        <f>SUMIFS('DADOS DE ENTRADA'!C:C,'DADOS DE ENTRADA'!A:A,'COLETA URBANA '!A36,'DADOS DE ENTRADA'!B:B,'COLETA URBANA '!$C$28)</f>
        <v>0.71799999999999997</v>
      </c>
      <c r="F36" s="679">
        <f>G35</f>
        <v>0</v>
      </c>
      <c r="G36" s="103">
        <f>(E36)*F36</f>
        <v>0</v>
      </c>
      <c r="H36" s="62"/>
      <c r="I36" s="27"/>
    </row>
    <row r="37" spans="1:9" x14ac:dyDescent="0.2">
      <c r="A37" s="192"/>
      <c r="B37" s="169" t="str">
        <f>IF(C37="","",$B$28&amp;"."&amp;COUNT($F$30:F37))</f>
        <v/>
      </c>
      <c r="C37" s="592"/>
      <c r="D37" s="592"/>
      <c r="E37" s="592"/>
      <c r="F37" s="681" t="s">
        <v>382</v>
      </c>
      <c r="G37" s="157">
        <f>G35+G36</f>
        <v>0</v>
      </c>
      <c r="H37" s="593"/>
      <c r="I37" s="27"/>
    </row>
    <row r="38" spans="1:9" x14ac:dyDescent="0.2">
      <c r="A38" s="25" t="s">
        <v>96</v>
      </c>
      <c r="B38" s="8" t="str">
        <f>IF(C38="","",$B$28&amp;"."&amp;COUNT($F$30:F38))</f>
        <v>1.2.6</v>
      </c>
      <c r="C38" s="25" t="s">
        <v>31</v>
      </c>
      <c r="D38" s="28" t="s">
        <v>25</v>
      </c>
      <c r="E38" s="91">
        <v>42</v>
      </c>
      <c r="F38" s="679">
        <f>G37</f>
        <v>0</v>
      </c>
      <c r="G38" s="103">
        <f>E38*F38</f>
        <v>0</v>
      </c>
      <c r="H38" s="62"/>
      <c r="I38" s="27"/>
    </row>
    <row r="39" spans="1:9" x14ac:dyDescent="0.2">
      <c r="A39" s="25" t="s">
        <v>96</v>
      </c>
      <c r="B39" s="8" t="str">
        <f>IF(C39="","",$B$28&amp;"."&amp;COUNT($F$30:F39))</f>
        <v>1.2.7</v>
      </c>
      <c r="C39" s="12" t="s">
        <v>26</v>
      </c>
      <c r="D39" s="14" t="s">
        <v>25</v>
      </c>
      <c r="E39" s="91">
        <f>SUMIFS('DADOS DE ENTRADA'!F:F,'DADOS DE ENTRADA'!A:A,'COLETA URBANA '!A39,'DADOS DE ENTRADA'!B:B,'COLETA URBANA '!$C$28)</f>
        <v>6</v>
      </c>
      <c r="F39" s="679">
        <f>G37</f>
        <v>0</v>
      </c>
      <c r="G39" s="103">
        <f>E39*F39</f>
        <v>0</v>
      </c>
      <c r="H39" s="59"/>
      <c r="I39" s="25"/>
    </row>
    <row r="40" spans="1:9" x14ac:dyDescent="0.2">
      <c r="A40" s="25" t="s">
        <v>106</v>
      </c>
      <c r="B40" s="8" t="str">
        <f>IF(C40="","",$B$28&amp;"."&amp;COUNT($F$30:F40))</f>
        <v>1.2.8</v>
      </c>
      <c r="C40" s="25" t="s">
        <v>27</v>
      </c>
      <c r="D40" s="28" t="s">
        <v>4</v>
      </c>
      <c r="E40" s="91">
        <f>SUMIFS('DADOS DE ENTRADA'!C:C,'DADOS DE ENTRADA'!A:A,'COLETA URBANA '!A40,'DADOS DE ENTRADA'!B:B,'COLETA URBANA '!$C$28)</f>
        <v>52</v>
      </c>
      <c r="F40" s="679">
        <f>'PREÇOS UNITÁRIOS'!E28</f>
        <v>0</v>
      </c>
      <c r="G40" s="103">
        <f>E40*F40</f>
        <v>0</v>
      </c>
      <c r="H40" s="59"/>
      <c r="I40" s="25"/>
    </row>
    <row r="41" spans="1:9" x14ac:dyDescent="0.2">
      <c r="A41" s="25" t="s">
        <v>96</v>
      </c>
      <c r="B41" s="8" t="str">
        <f>IF(C41="","",$B$28&amp;"."&amp;COUNT($F$30:F41))</f>
        <v>1.2.9</v>
      </c>
      <c r="C41" s="25" t="s">
        <v>32</v>
      </c>
      <c r="D41" s="28" t="s">
        <v>25</v>
      </c>
      <c r="E41" s="91">
        <f>E38+E39</f>
        <v>48</v>
      </c>
      <c r="F41" s="679">
        <f>G40</f>
        <v>0</v>
      </c>
      <c r="G41" s="103">
        <f>(F41)*E41</f>
        <v>0</v>
      </c>
      <c r="H41" s="59"/>
      <c r="I41" s="25"/>
    </row>
    <row r="42" spans="1:9" x14ac:dyDescent="0.2">
      <c r="A42" s="25" t="s">
        <v>107</v>
      </c>
      <c r="B42" s="8" t="str">
        <f>IF(C42="","",$B$28&amp;"."&amp;COUNT($F$30:F42))</f>
        <v>1.2.10</v>
      </c>
      <c r="C42" s="25" t="s">
        <v>29</v>
      </c>
      <c r="D42" s="28" t="s">
        <v>4</v>
      </c>
      <c r="E42" s="91">
        <f>SUMIFS('DADOS DE ENTRADA'!C:C,'DADOS DE ENTRADA'!A:A,'COLETA URBANA '!A42,'DADOS DE ENTRADA'!B:B,'COLETA URBANA '!$C$28)</f>
        <v>26</v>
      </c>
      <c r="F42" s="679">
        <f>'PREÇOS UNITÁRIOS'!E29/E42</f>
        <v>0</v>
      </c>
      <c r="G42" s="693">
        <f>'PREÇOS UNITÁRIOS'!E29</f>
        <v>0</v>
      </c>
      <c r="H42" s="59"/>
      <c r="I42" s="55"/>
    </row>
    <row r="43" spans="1:9" x14ac:dyDescent="0.2">
      <c r="A43" s="25" t="s">
        <v>96</v>
      </c>
      <c r="B43" s="8" t="str">
        <f>IF(C43="","",$B$28&amp;"."&amp;COUNT($F$30:F43))</f>
        <v>1.2.11</v>
      </c>
      <c r="C43" s="25" t="s">
        <v>32</v>
      </c>
      <c r="D43" s="28" t="s">
        <v>25</v>
      </c>
      <c r="E43" s="91">
        <f>E41</f>
        <v>48</v>
      </c>
      <c r="F43" s="679">
        <f>'PREÇOS UNITÁRIOS'!E29</f>
        <v>0</v>
      </c>
      <c r="G43" s="103">
        <f>F43*E43</f>
        <v>0</v>
      </c>
      <c r="H43" s="59"/>
      <c r="I43" s="25"/>
    </row>
    <row r="44" spans="1:9" x14ac:dyDescent="0.2">
      <c r="B44" s="8" t="str">
        <f>IF(C44="","",$B$28&amp;"."&amp;COUNT($F$30:F44))</f>
        <v>1.2.12</v>
      </c>
      <c r="C44" s="25" t="s">
        <v>672</v>
      </c>
      <c r="D44" s="28" t="s">
        <v>25</v>
      </c>
      <c r="E44" s="91">
        <f>E43</f>
        <v>48</v>
      </c>
      <c r="F44" s="679">
        <f>'PREÇOS UNITÁRIOS'!E30</f>
        <v>0</v>
      </c>
      <c r="G44" s="103">
        <f>F44*E44</f>
        <v>0</v>
      </c>
      <c r="H44" s="59"/>
      <c r="I44" s="25"/>
    </row>
    <row r="45" spans="1:9" x14ac:dyDescent="0.2">
      <c r="A45" s="192"/>
      <c r="B45" s="170" t="str">
        <f>IF(C45="","",$B$28&amp;"."&amp;COUNT($F$30:F45))</f>
        <v/>
      </c>
      <c r="C45" s="594"/>
      <c r="D45" s="594"/>
      <c r="E45" s="594"/>
      <c r="F45" s="163" t="s">
        <v>299</v>
      </c>
      <c r="G45" s="164">
        <f>G38+G39+G41+G43+G44</f>
        <v>0</v>
      </c>
      <c r="H45" s="595"/>
      <c r="I45" s="27"/>
    </row>
    <row r="46" spans="1:9" s="7" customFormat="1" x14ac:dyDescent="0.2">
      <c r="A46" s="25"/>
      <c r="B46" s="13"/>
      <c r="C46" s="12"/>
      <c r="D46" s="14"/>
      <c r="E46" s="14"/>
      <c r="F46" s="102"/>
      <c r="G46" s="21"/>
      <c r="H46" s="9"/>
      <c r="I46" s="4"/>
    </row>
    <row r="47" spans="1:9" ht="14.25" x14ac:dyDescent="0.2">
      <c r="A47" s="669"/>
      <c r="B47" s="596" t="s">
        <v>93</v>
      </c>
      <c r="C47" s="597" t="s">
        <v>33</v>
      </c>
      <c r="D47" s="598"/>
      <c r="E47" s="598"/>
      <c r="F47" s="598"/>
      <c r="G47" s="598"/>
      <c r="H47" s="599"/>
      <c r="I47" s="27"/>
    </row>
    <row r="48" spans="1:9" x14ac:dyDescent="0.2">
      <c r="B48" s="154"/>
      <c r="C48" s="171"/>
      <c r="D48" s="171"/>
      <c r="E48" s="171"/>
      <c r="F48" s="171"/>
      <c r="G48" s="171"/>
      <c r="H48" s="22"/>
      <c r="I48" s="27"/>
    </row>
    <row r="49" spans="1:14" x14ac:dyDescent="0.2">
      <c r="A49" s="25" t="s">
        <v>99</v>
      </c>
      <c r="B49" s="8" t="str">
        <f>IF(C49="","",$B$47&amp;"."&amp;COUNT($F$49:F49))</f>
        <v>1.3.1</v>
      </c>
      <c r="C49" s="25" t="s">
        <v>20</v>
      </c>
      <c r="D49" s="28" t="s">
        <v>21</v>
      </c>
      <c r="E49" s="28">
        <f>SUMIFS('DADOS DE ENTRADA'!C:C,'DADOS DE ENTRADA'!A:A,'COLETA URBANA '!A49,'DADOS DE ENTRADA'!B:B,'COLETA URBANA '!$C$47)</f>
        <v>220</v>
      </c>
      <c r="F49" s="680">
        <f>'PREÇOS UNITÁRIOS'!E23/'COLETA URBANA '!E49</f>
        <v>0</v>
      </c>
      <c r="G49" s="694">
        <f>'PREÇOS UNITÁRIOS'!E23</f>
        <v>0</v>
      </c>
      <c r="H49" s="62"/>
      <c r="I49" s="27"/>
      <c r="K49" s="7"/>
      <c r="L49" s="7"/>
      <c r="M49" s="7"/>
    </row>
    <row r="50" spans="1:14" s="10" customFormat="1" x14ac:dyDescent="0.2">
      <c r="A50" s="25" t="s">
        <v>286</v>
      </c>
      <c r="B50" s="8" t="str">
        <f>IF(C50="","",$B$47&amp;"."&amp;COUNT($F$49:F50))</f>
        <v>1.3.2</v>
      </c>
      <c r="C50" s="25" t="s">
        <v>34</v>
      </c>
      <c r="D50" s="28" t="s">
        <v>1</v>
      </c>
      <c r="E50" s="89">
        <f>SUMIFS('DADOS DE ENTRADA'!C:C,'DADOS DE ENTRADA'!A:A,'COLETA URBANA '!A50,'DADOS DE ENTRADA'!B:B,'COLETA URBANA '!$C$47)</f>
        <v>0.2</v>
      </c>
      <c r="F50" s="680">
        <f>G49</f>
        <v>0</v>
      </c>
      <c r="G50" s="110">
        <f>E50*F50</f>
        <v>0</v>
      </c>
      <c r="H50" s="62"/>
      <c r="I50" s="27"/>
      <c r="J50" s="32"/>
      <c r="K50" s="14"/>
      <c r="L50" s="4"/>
      <c r="M50" s="4"/>
      <c r="N50" s="27"/>
    </row>
    <row r="51" spans="1:14" x14ac:dyDescent="0.2">
      <c r="A51" s="25" t="s">
        <v>91</v>
      </c>
      <c r="B51" s="8" t="str">
        <f>IF(C51="","",$B$47&amp;"."&amp;COUNT($F$49:F51))</f>
        <v>1.3.3</v>
      </c>
      <c r="C51" s="25" t="s">
        <v>22</v>
      </c>
      <c r="D51" s="28" t="s">
        <v>1</v>
      </c>
      <c r="E51" s="89">
        <f>SUMIFS('DADOS DE ENTRADA'!C:C,'DADOS DE ENTRADA'!A:A,'COLETA URBANA '!A51,'DADOS DE ENTRADA'!B:B,'COLETA URBANA '!$C$47)</f>
        <v>0.4</v>
      </c>
      <c r="F51" s="680">
        <f>'PREÇOS UNITÁRIOS'!E22</f>
        <v>0</v>
      </c>
      <c r="G51" s="110">
        <f>E51*F51</f>
        <v>0</v>
      </c>
      <c r="H51" s="62"/>
      <c r="I51" s="54"/>
      <c r="K51" s="7"/>
      <c r="L51" s="7"/>
      <c r="M51" s="7"/>
    </row>
    <row r="52" spans="1:14" x14ac:dyDescent="0.2">
      <c r="B52" s="8"/>
      <c r="C52" s="25"/>
      <c r="D52" s="28"/>
      <c r="E52" s="89"/>
      <c r="F52" s="680"/>
      <c r="G52" s="262">
        <f>SUM(G49:G51)</f>
        <v>0</v>
      </c>
      <c r="H52" s="62"/>
      <c r="I52" s="54"/>
      <c r="K52" s="7"/>
      <c r="L52" s="7"/>
      <c r="M52" s="7"/>
    </row>
    <row r="53" spans="1:14" s="7" customFormat="1" x14ac:dyDescent="0.2">
      <c r="A53" s="25" t="s">
        <v>112</v>
      </c>
      <c r="B53" s="8" t="str">
        <f>IF(C53="","",$B$47&amp;"."&amp;COUNT($F$49:F53))</f>
        <v>1.3.4</v>
      </c>
      <c r="C53" s="12" t="s">
        <v>267</v>
      </c>
      <c r="D53" s="14" t="s">
        <v>21</v>
      </c>
      <c r="E53" s="14">
        <f>SUMIFS('DADOS DE ENTRADA'!D:D,'DADOS DE ENTRADA'!A:A,'COLETA URBANA '!A53,'DADOS DE ENTRADA'!B:B,'COLETA URBANA '!C47)</f>
        <v>0</v>
      </c>
      <c r="F53" s="680">
        <f>(G52/E49)*1.5</f>
        <v>0</v>
      </c>
      <c r="G53" s="110">
        <f>E53*F53</f>
        <v>0</v>
      </c>
      <c r="H53" s="11"/>
      <c r="I53" s="114"/>
    </row>
    <row r="54" spans="1:14" s="7" customFormat="1" x14ac:dyDescent="0.2">
      <c r="A54" s="25" t="s">
        <v>98</v>
      </c>
      <c r="B54" s="8" t="str">
        <f>IF(C54="","",$B$47&amp;"."&amp;COUNT($F$49:F54))</f>
        <v>1.3.5</v>
      </c>
      <c r="C54" s="12" t="s">
        <v>268</v>
      </c>
      <c r="D54" s="14" t="s">
        <v>21</v>
      </c>
      <c r="E54" s="14">
        <f>SUMIFS('DADOS DE ENTRADA'!D:D,'DADOS DE ENTRADA'!A:A,'COLETA URBANA '!A54,'DADOS DE ENTRADA'!B:B,'COLETA URBANA '!C47)</f>
        <v>0</v>
      </c>
      <c r="F54" s="680">
        <f>(G52/E49)*2</f>
        <v>0</v>
      </c>
      <c r="G54" s="110">
        <f>E54*F54</f>
        <v>0</v>
      </c>
      <c r="H54" s="11"/>
      <c r="I54" s="114"/>
    </row>
    <row r="55" spans="1:14" x14ac:dyDescent="0.2">
      <c r="A55" s="192"/>
      <c r="B55" s="169" t="str">
        <f>IF(C55="","",$B$47&amp;"."&amp;COUNT($F$49:F55))</f>
        <v/>
      </c>
      <c r="C55" s="592"/>
      <c r="D55" s="592"/>
      <c r="E55" s="592"/>
      <c r="F55" s="681" t="s">
        <v>381</v>
      </c>
      <c r="G55" s="157">
        <f>G52+G53+G54</f>
        <v>0</v>
      </c>
      <c r="H55" s="593"/>
      <c r="I55" s="27"/>
      <c r="K55" s="89"/>
    </row>
    <row r="56" spans="1:14" x14ac:dyDescent="0.2">
      <c r="A56" s="25" t="s">
        <v>284</v>
      </c>
      <c r="B56" s="8" t="str">
        <f>IF(C56="","",$B$47&amp;"."&amp;COUNT($F$49:F56))</f>
        <v>1.3.6</v>
      </c>
      <c r="C56" s="25" t="s">
        <v>23</v>
      </c>
      <c r="D56" s="28" t="s">
        <v>1</v>
      </c>
      <c r="E56" s="90">
        <f>SUMIFS('DADOS DE ENTRADA'!C:C,'DADOS DE ENTRADA'!A:A,'COLETA URBANA '!A56,'DADOS DE ENTRADA'!B:B,'COLETA URBANA '!$C$47)</f>
        <v>0.71799999999999997</v>
      </c>
      <c r="F56" s="680">
        <f>G55</f>
        <v>0</v>
      </c>
      <c r="G56" s="110">
        <f>(E56)*F56</f>
        <v>0</v>
      </c>
      <c r="H56" s="62"/>
      <c r="I56" s="27"/>
    </row>
    <row r="57" spans="1:14" x14ac:dyDescent="0.2">
      <c r="A57" s="192"/>
      <c r="B57" s="169" t="str">
        <f>IF(C57="","",$B$47&amp;"."&amp;COUNT($F$49:F57))</f>
        <v/>
      </c>
      <c r="C57" s="592"/>
      <c r="D57" s="592"/>
      <c r="E57" s="592"/>
      <c r="F57" s="681" t="s">
        <v>382</v>
      </c>
      <c r="G57" s="157">
        <f>G55+G56</f>
        <v>0</v>
      </c>
      <c r="H57" s="593"/>
      <c r="I57" s="27"/>
    </row>
    <row r="58" spans="1:14" x14ac:dyDescent="0.2">
      <c r="A58" s="25" t="s">
        <v>96</v>
      </c>
      <c r="B58" s="8" t="str">
        <f>IF(C58="","",$B$47&amp;"."&amp;COUNT($F$49:F58))</f>
        <v>1.3.7</v>
      </c>
      <c r="C58" s="25" t="s">
        <v>24</v>
      </c>
      <c r="D58" s="28" t="s">
        <v>25</v>
      </c>
      <c r="E58" s="91">
        <v>2</v>
      </c>
      <c r="F58" s="680">
        <f>G57</f>
        <v>0</v>
      </c>
      <c r="G58" s="110">
        <f>E58*F58</f>
        <v>0</v>
      </c>
      <c r="H58" s="62"/>
      <c r="I58" s="27"/>
    </row>
    <row r="59" spans="1:14" x14ac:dyDescent="0.2">
      <c r="A59" s="25" t="s">
        <v>96</v>
      </c>
      <c r="B59" s="8" t="str">
        <f>IF(C59="","",$B$47&amp;"."&amp;COUNT($F$49:F59))</f>
        <v>1.3.8</v>
      </c>
      <c r="C59" s="25" t="s">
        <v>26</v>
      </c>
      <c r="D59" s="28" t="s">
        <v>25</v>
      </c>
      <c r="E59" s="91">
        <f>SUMIFS('DADOS DE ENTRADA'!G:G,'DADOS DE ENTRADA'!A:A,'COLETA URBANA '!A58,'DADOS DE ENTRADA'!B:B,'COLETA URBANA '!$C$47)</f>
        <v>1</v>
      </c>
      <c r="F59" s="680">
        <f>G57</f>
        <v>0</v>
      </c>
      <c r="G59" s="110">
        <f>E59*F59</f>
        <v>0</v>
      </c>
      <c r="H59" s="59"/>
      <c r="I59" s="25"/>
    </row>
    <row r="60" spans="1:14" x14ac:dyDescent="0.2">
      <c r="A60" s="25" t="s">
        <v>106</v>
      </c>
      <c r="B60" s="8" t="str">
        <f>IF(C60="","",$B$47&amp;"."&amp;COUNT($F$49:F60))</f>
        <v>1.3.9</v>
      </c>
      <c r="C60" s="25" t="s">
        <v>27</v>
      </c>
      <c r="D60" s="28" t="s">
        <v>4</v>
      </c>
      <c r="E60" s="91">
        <f>SUMIFS('DADOS DE ENTRADA'!C:C,'DADOS DE ENTRADA'!A:A,'COLETA URBANA '!A60,'DADOS DE ENTRADA'!B:B,'COLETA URBANA '!$C$47)</f>
        <v>52</v>
      </c>
      <c r="F60" s="680">
        <f>'PREÇOS UNITÁRIOS'!E28</f>
        <v>0</v>
      </c>
      <c r="G60" s="110">
        <f>E60*F60</f>
        <v>0</v>
      </c>
      <c r="H60" s="59"/>
      <c r="I60" s="25"/>
    </row>
    <row r="61" spans="1:14" x14ac:dyDescent="0.2">
      <c r="A61" s="25" t="s">
        <v>96</v>
      </c>
      <c r="B61" s="8" t="str">
        <f>IF(C61="","",$B$47&amp;"."&amp;COUNT($F$49:F61))</f>
        <v>1.3.10</v>
      </c>
      <c r="C61" s="25" t="s">
        <v>28</v>
      </c>
      <c r="D61" s="28" t="s">
        <v>25</v>
      </c>
      <c r="E61" s="91">
        <f>E58+E59</f>
        <v>3</v>
      </c>
      <c r="F61" s="680">
        <f>G60</f>
        <v>0</v>
      </c>
      <c r="G61" s="110">
        <f>(G60)*E61</f>
        <v>0</v>
      </c>
      <c r="H61" s="59"/>
      <c r="I61" s="25"/>
    </row>
    <row r="62" spans="1:14" x14ac:dyDescent="0.2">
      <c r="A62" s="25" t="s">
        <v>107</v>
      </c>
      <c r="B62" s="8" t="str">
        <f>IF(C62="","",$B$47&amp;"."&amp;COUNT($F$49:F62))</f>
        <v>1.3.11</v>
      </c>
      <c r="C62" s="25" t="s">
        <v>29</v>
      </c>
      <c r="D62" s="28" t="s">
        <v>4</v>
      </c>
      <c r="E62" s="91">
        <f>SUMIFS('DADOS DE ENTRADA'!C:C,'DADOS DE ENTRADA'!A:A,'COLETA URBANA '!A62,'DADOS DE ENTRADA'!B:B,'COLETA URBANA '!$C$47)</f>
        <v>26</v>
      </c>
      <c r="F62" s="680">
        <f>'PREÇOS UNITÁRIOS'!E29/E62</f>
        <v>0</v>
      </c>
      <c r="G62" s="694">
        <f>'PREÇOS UNITÁRIOS'!E29</f>
        <v>0</v>
      </c>
      <c r="H62" s="59"/>
      <c r="I62" s="55"/>
    </row>
    <row r="63" spans="1:14" x14ac:dyDescent="0.2">
      <c r="A63" s="25" t="s">
        <v>96</v>
      </c>
      <c r="B63" s="8" t="str">
        <f>IF(C63="","",$B$47&amp;"."&amp;COUNT($F$49:F63))</f>
        <v>1.3.12</v>
      </c>
      <c r="C63" s="25" t="s">
        <v>28</v>
      </c>
      <c r="D63" s="28" t="s">
        <v>25</v>
      </c>
      <c r="E63" s="91">
        <f>E61</f>
        <v>3</v>
      </c>
      <c r="F63" s="680">
        <f>'PREÇOS UNITÁRIOS'!E29</f>
        <v>0</v>
      </c>
      <c r="G63" s="110">
        <f>F63*E63</f>
        <v>0</v>
      </c>
      <c r="H63" s="59"/>
      <c r="I63" s="25"/>
    </row>
    <row r="64" spans="1:14" x14ac:dyDescent="0.2">
      <c r="B64" s="8" t="str">
        <f>IF(C64="","",$B$47&amp;"."&amp;COUNT($F$49:F64))</f>
        <v>1.3.13</v>
      </c>
      <c r="C64" s="25" t="s">
        <v>672</v>
      </c>
      <c r="D64" s="28" t="s">
        <v>25</v>
      </c>
      <c r="E64" s="91">
        <f>E63</f>
        <v>3</v>
      </c>
      <c r="F64" s="679">
        <f>'PREÇOS UNITÁRIOS'!E30</f>
        <v>0</v>
      </c>
      <c r="G64" s="103">
        <f>F64*E64</f>
        <v>0</v>
      </c>
      <c r="H64" s="59"/>
      <c r="I64" s="25"/>
    </row>
    <row r="65" spans="1:10" x14ac:dyDescent="0.2">
      <c r="A65" s="192"/>
      <c r="B65" s="170"/>
      <c r="C65" s="594"/>
      <c r="D65" s="594"/>
      <c r="E65" s="594"/>
      <c r="F65" s="163" t="s">
        <v>300</v>
      </c>
      <c r="G65" s="164">
        <f>G58+G59+G61+G63+G64</f>
        <v>0</v>
      </c>
      <c r="H65" s="595"/>
      <c r="I65" s="27"/>
    </row>
    <row r="66" spans="1:10" x14ac:dyDescent="0.2">
      <c r="B66" s="5"/>
      <c r="C66" s="25"/>
      <c r="D66" s="28"/>
      <c r="E66" s="28"/>
      <c r="F66" s="27"/>
      <c r="G66" s="27"/>
      <c r="H66" s="27"/>
      <c r="I66" s="27"/>
    </row>
    <row r="67" spans="1:10" ht="14.25" x14ac:dyDescent="0.2">
      <c r="B67" s="596" t="s">
        <v>77</v>
      </c>
      <c r="C67" s="597" t="s">
        <v>35</v>
      </c>
      <c r="D67" s="598"/>
      <c r="E67" s="598"/>
      <c r="F67" s="598"/>
      <c r="G67" s="598"/>
      <c r="H67" s="599"/>
      <c r="I67" s="27"/>
    </row>
    <row r="68" spans="1:10" x14ac:dyDescent="0.2">
      <c r="B68" s="154"/>
      <c r="C68" s="171"/>
      <c r="D68" s="142"/>
      <c r="E68" s="142"/>
      <c r="F68" s="173"/>
      <c r="G68" s="173"/>
      <c r="H68" s="22"/>
      <c r="I68" s="27"/>
    </row>
    <row r="69" spans="1:10" x14ac:dyDescent="0.2">
      <c r="A69" s="25" t="s">
        <v>99</v>
      </c>
      <c r="B69" s="8" t="str">
        <f>IF(C69="","",$B$67&amp;"."&amp;COUNT($F$69:F69))</f>
        <v>1.4.1</v>
      </c>
      <c r="C69" s="25" t="s">
        <v>20</v>
      </c>
      <c r="D69" s="28" t="s">
        <v>21</v>
      </c>
      <c r="E69" s="14">
        <f>SUMIFS('DADOS DE ENTRADA'!C:C,'DADOS DE ENTRADA'!A:A,'COLETA URBANA '!A69,'DADOS DE ENTRADA'!B:B,'COLETA URBANA '!$C$67)</f>
        <v>220</v>
      </c>
      <c r="F69" s="680">
        <f>'PREÇOS UNITÁRIOS'!E24/'COLETA URBANA '!E30</f>
        <v>0</v>
      </c>
      <c r="G69" s="694">
        <f>'PREÇOS UNITÁRIOS'!E24</f>
        <v>0</v>
      </c>
      <c r="H69" s="62"/>
      <c r="I69" s="27"/>
    </row>
    <row r="70" spans="1:10" s="10" customFormat="1" x14ac:dyDescent="0.2">
      <c r="A70" s="25" t="s">
        <v>286</v>
      </c>
      <c r="B70" s="8" t="str">
        <f>IF(C70="","",$B$67&amp;"."&amp;COUNT($F$69:F70))</f>
        <v>1.4.2</v>
      </c>
      <c r="C70" s="25" t="s">
        <v>34</v>
      </c>
      <c r="D70" s="28" t="s">
        <v>1</v>
      </c>
      <c r="E70" s="108">
        <f>SUMIFS('DADOS DE ENTRADA'!C:C,'DADOS DE ENTRADA'!A:A,'COLETA URBANA '!A70,'DADOS DE ENTRADA'!B:B,'COLETA URBANA '!$C$67)</f>
        <v>0.2</v>
      </c>
      <c r="F70" s="680">
        <f>G69</f>
        <v>0</v>
      </c>
      <c r="G70" s="110">
        <f>E70*F70</f>
        <v>0</v>
      </c>
      <c r="H70" s="62"/>
      <c r="I70" s="27"/>
    </row>
    <row r="71" spans="1:10" x14ac:dyDescent="0.2">
      <c r="A71" s="25" t="s">
        <v>91</v>
      </c>
      <c r="B71" s="8" t="str">
        <f>IF(C71="","",$B$67&amp;"."&amp;COUNT($F$69:F71))</f>
        <v>1.4.3</v>
      </c>
      <c r="C71" s="25" t="s">
        <v>22</v>
      </c>
      <c r="D71" s="28" t="s">
        <v>1</v>
      </c>
      <c r="E71" s="108">
        <f>SUMIFS('DADOS DE ENTRADA'!C:C,'DADOS DE ENTRADA'!A:A,'COLETA URBANA '!A71,'DADOS DE ENTRADA'!B:B,'COLETA URBANA '!$C$67)</f>
        <v>0.4</v>
      </c>
      <c r="F71" s="680">
        <f>'PREÇOS UNITÁRIOS'!E22</f>
        <v>0</v>
      </c>
      <c r="G71" s="110">
        <f>E71*F71</f>
        <v>0</v>
      </c>
      <c r="H71" s="62"/>
      <c r="I71" s="27"/>
    </row>
    <row r="72" spans="1:10" x14ac:dyDescent="0.2">
      <c r="B72" s="8"/>
      <c r="C72" s="25"/>
      <c r="D72" s="28"/>
      <c r="E72" s="108"/>
      <c r="F72" s="680"/>
      <c r="G72" s="262">
        <f>SUM(G69:G71)</f>
        <v>0</v>
      </c>
      <c r="H72" s="62"/>
      <c r="I72" s="27"/>
    </row>
    <row r="73" spans="1:10" s="7" customFormat="1" x14ac:dyDescent="0.2">
      <c r="A73" s="25" t="s">
        <v>112</v>
      </c>
      <c r="B73" s="8" t="str">
        <f>IF(C73="","",$B$67&amp;"."&amp;COUNT($F$69:F73))</f>
        <v>1.4.4</v>
      </c>
      <c r="C73" s="12" t="s">
        <v>267</v>
      </c>
      <c r="D73" s="14" t="s">
        <v>21</v>
      </c>
      <c r="E73" s="14">
        <f>SUMIFS('DADOS DE ENTRADA'!D:D,'DADOS DE ENTRADA'!A:A,'COLETA URBANA '!A73,'DADOS DE ENTRADA'!B:B,'COLETA URBANA '!C67)</f>
        <v>0</v>
      </c>
      <c r="F73" s="680">
        <f>(G72/E69)*1.5</f>
        <v>0</v>
      </c>
      <c r="G73" s="110">
        <f>E73*F73</f>
        <v>0</v>
      </c>
      <c r="H73" s="11"/>
      <c r="I73" s="4"/>
      <c r="J73" s="111"/>
    </row>
    <row r="74" spans="1:10" s="7" customFormat="1" x14ac:dyDescent="0.2">
      <c r="A74" s="25" t="s">
        <v>98</v>
      </c>
      <c r="B74" s="8" t="str">
        <f>IF(C74="","",$B$67&amp;"."&amp;COUNT($F$69:F74))</f>
        <v>1.4.5</v>
      </c>
      <c r="C74" s="12" t="s">
        <v>268</v>
      </c>
      <c r="D74" s="14" t="s">
        <v>21</v>
      </c>
      <c r="E74" s="14">
        <f>SUMIFS('DADOS DE ENTRADA'!D:D,'DADOS DE ENTRADA'!A:A,'COLETA URBANA '!A74,'DADOS DE ENTRADA'!B:B,'COLETA URBANA '!C67)</f>
        <v>0</v>
      </c>
      <c r="F74" s="680">
        <f>(G72/E69)*2</f>
        <v>0</v>
      </c>
      <c r="G74" s="110">
        <f>E74*F74</f>
        <v>0</v>
      </c>
      <c r="H74" s="11"/>
      <c r="I74" s="114"/>
    </row>
    <row r="75" spans="1:10" x14ac:dyDescent="0.2">
      <c r="A75" s="192"/>
      <c r="B75" s="169" t="str">
        <f>IF(C75="","",$B$67&amp;"."&amp;COUNT($F$69:F75))</f>
        <v/>
      </c>
      <c r="C75" s="592"/>
      <c r="D75" s="592"/>
      <c r="E75" s="592"/>
      <c r="F75" s="681" t="s">
        <v>381</v>
      </c>
      <c r="G75" s="157">
        <f>G72+G73+G74</f>
        <v>0</v>
      </c>
      <c r="H75" s="593"/>
      <c r="I75" s="27"/>
    </row>
    <row r="76" spans="1:10" x14ac:dyDescent="0.2">
      <c r="A76" s="25" t="s">
        <v>284</v>
      </c>
      <c r="B76" s="8" t="str">
        <f>IF(C76="","",$B$67&amp;"."&amp;COUNT($F$69:F76))</f>
        <v>1.4.6</v>
      </c>
      <c r="C76" s="25" t="s">
        <v>23</v>
      </c>
      <c r="D76" s="28" t="s">
        <v>1</v>
      </c>
      <c r="E76" s="90">
        <f>SUMIFS('DADOS DE ENTRADA'!C:C,'DADOS DE ENTRADA'!A:A,'COLETA URBANA '!A76,'DADOS DE ENTRADA'!B:B,'COLETA URBANA '!$C$67)</f>
        <v>0.71799999999999997</v>
      </c>
      <c r="F76" s="680">
        <f>G75</f>
        <v>0</v>
      </c>
      <c r="G76" s="110">
        <f>(E76)*F76</f>
        <v>0</v>
      </c>
      <c r="H76" s="62"/>
      <c r="I76" s="27"/>
    </row>
    <row r="77" spans="1:10" x14ac:dyDescent="0.2">
      <c r="A77" s="192"/>
      <c r="B77" s="169" t="str">
        <f>IF(C77="","",$B$67&amp;"."&amp;COUNT($F$69:F77))</f>
        <v/>
      </c>
      <c r="C77" s="592"/>
      <c r="D77" s="592"/>
      <c r="E77" s="592"/>
      <c r="F77" s="681" t="s">
        <v>381</v>
      </c>
      <c r="G77" s="157">
        <f>G75+G76</f>
        <v>0</v>
      </c>
      <c r="H77" s="593"/>
      <c r="I77" s="27"/>
    </row>
    <row r="78" spans="1:10" x14ac:dyDescent="0.2">
      <c r="A78" s="25" t="s">
        <v>96</v>
      </c>
      <c r="B78" s="8" t="str">
        <f>IF(C78="","",$B$67&amp;"."&amp;COUNT($F$69:F78))</f>
        <v>1.4.7</v>
      </c>
      <c r="C78" s="25" t="s">
        <v>31</v>
      </c>
      <c r="D78" s="28" t="s">
        <v>25</v>
      </c>
      <c r="E78" s="91">
        <f>SUMIFS('DADOS DE ENTRADA'!E:E,'DADOS DE ENTRADA'!A:A,'COLETA URBANA '!A78,'DADOS DE ENTRADA'!B:B,'COLETA URBANA '!$C$67)</f>
        <v>4</v>
      </c>
      <c r="F78" s="680">
        <f>G77</f>
        <v>0</v>
      </c>
      <c r="G78" s="110">
        <f>E78*F78</f>
        <v>0</v>
      </c>
      <c r="H78" s="62"/>
      <c r="I78" s="27"/>
    </row>
    <row r="79" spans="1:10" x14ac:dyDescent="0.2">
      <c r="A79" s="25" t="s">
        <v>96</v>
      </c>
      <c r="B79" s="8" t="str">
        <f>IF(C79="","",$B$67&amp;"."&amp;COUNT($F$69:F79))</f>
        <v>1.4.8</v>
      </c>
      <c r="C79" s="25" t="s">
        <v>26</v>
      </c>
      <c r="D79" s="28" t="s">
        <v>25</v>
      </c>
      <c r="E79" s="91">
        <f>SUMIFS('DADOS DE ENTRADA'!G:G,'DADOS DE ENTRADA'!A:A,'COLETA URBANA '!A79,'DADOS DE ENTRADA'!B:B,'COLETA URBANA '!$C$67)</f>
        <v>2</v>
      </c>
      <c r="F79" s="680">
        <f>F78</f>
        <v>0</v>
      </c>
      <c r="G79" s="110">
        <f>E79*F79</f>
        <v>0</v>
      </c>
      <c r="H79" s="59"/>
      <c r="I79" s="25"/>
    </row>
    <row r="80" spans="1:10" x14ac:dyDescent="0.2">
      <c r="A80" s="25" t="s">
        <v>106</v>
      </c>
      <c r="B80" s="8" t="str">
        <f>IF(C80="","",$B$67&amp;"."&amp;COUNT($F$69:F80))</f>
        <v>1.4.9</v>
      </c>
      <c r="C80" s="25" t="s">
        <v>296</v>
      </c>
      <c r="D80" s="28" t="s">
        <v>4</v>
      </c>
      <c r="E80" s="91">
        <f>SUMIFS('DADOS DE ENTRADA'!C:C,'DADOS DE ENTRADA'!A:A,'COLETA URBANA '!A80,'DADOS DE ENTRADA'!B:B,'COLETA URBANA '!$C$67)</f>
        <v>52</v>
      </c>
      <c r="F80" s="680">
        <f>F40</f>
        <v>0</v>
      </c>
      <c r="G80" s="110">
        <f>E80*F80</f>
        <v>0</v>
      </c>
      <c r="H80" s="59"/>
      <c r="I80" s="25"/>
    </row>
    <row r="81" spans="1:9" x14ac:dyDescent="0.2">
      <c r="A81" s="25" t="s">
        <v>96</v>
      </c>
      <c r="B81" s="8" t="str">
        <f>IF(C81="","",$B$67&amp;"."&amp;COUNT($F$69:F81))</f>
        <v>1.4.10</v>
      </c>
      <c r="C81" s="25" t="s">
        <v>32</v>
      </c>
      <c r="D81" s="28" t="s">
        <v>25</v>
      </c>
      <c r="E81" s="91">
        <f>E78+E79</f>
        <v>6</v>
      </c>
      <c r="F81" s="680">
        <f>G80</f>
        <v>0</v>
      </c>
      <c r="G81" s="110">
        <f>(F81)*E81</f>
        <v>0</v>
      </c>
      <c r="H81" s="59"/>
      <c r="I81" s="25"/>
    </row>
    <row r="82" spans="1:9" x14ac:dyDescent="0.2">
      <c r="A82" s="25" t="s">
        <v>107</v>
      </c>
      <c r="B82" s="8" t="str">
        <f>IF(C82="","",$B$67&amp;"."&amp;COUNT($F$69:F82))</f>
        <v>1.4.11</v>
      </c>
      <c r="C82" s="25" t="s">
        <v>297</v>
      </c>
      <c r="D82" s="28" t="s">
        <v>4</v>
      </c>
      <c r="E82" s="91">
        <f>SUMIFS('DADOS DE ENTRADA'!C:C,'DADOS DE ENTRADA'!A:A,'COLETA URBANA '!A82,'DADOS DE ENTRADA'!B:B,'COLETA URBANA '!$C$67)</f>
        <v>26</v>
      </c>
      <c r="F82" s="680">
        <f>'PREÇOS UNITÁRIOS'!E29/E82</f>
        <v>0</v>
      </c>
      <c r="G82" s="694">
        <f>'PREÇOS UNITÁRIOS'!E29</f>
        <v>0</v>
      </c>
      <c r="H82" s="59"/>
      <c r="I82" s="55"/>
    </row>
    <row r="83" spans="1:9" x14ac:dyDescent="0.2">
      <c r="A83" s="25" t="s">
        <v>96</v>
      </c>
      <c r="B83" s="8" t="str">
        <f>IF(C83="","",$B$67&amp;"."&amp;COUNT($F$69:F83))</f>
        <v>1.4.12</v>
      </c>
      <c r="C83" s="25" t="s">
        <v>32</v>
      </c>
      <c r="D83" s="28" t="s">
        <v>25</v>
      </c>
      <c r="E83" s="91">
        <f>E81</f>
        <v>6</v>
      </c>
      <c r="F83" s="680">
        <f>'PREÇOS UNITÁRIOS'!E29</f>
        <v>0</v>
      </c>
      <c r="G83" s="110">
        <f>F83*E83</f>
        <v>0</v>
      </c>
      <c r="H83" s="59"/>
      <c r="I83" s="25"/>
    </row>
    <row r="84" spans="1:9" x14ac:dyDescent="0.2">
      <c r="B84" s="8" t="str">
        <f>IF(C84="","",$B$67&amp;"."&amp;COUNT($F$69:F84))</f>
        <v>1.4.13</v>
      </c>
      <c r="C84" s="25" t="s">
        <v>672</v>
      </c>
      <c r="D84" s="28" t="s">
        <v>25</v>
      </c>
      <c r="E84" s="91">
        <f>E83</f>
        <v>6</v>
      </c>
      <c r="F84" s="679">
        <f>'PREÇOS UNITÁRIOS'!E30</f>
        <v>0</v>
      </c>
      <c r="G84" s="103">
        <f>F84*E84</f>
        <v>0</v>
      </c>
      <c r="H84" s="59"/>
      <c r="I84" s="25"/>
    </row>
    <row r="85" spans="1:9" x14ac:dyDescent="0.2">
      <c r="A85" s="192"/>
      <c r="B85" s="170"/>
      <c r="C85" s="594"/>
      <c r="D85" s="594"/>
      <c r="E85" s="594"/>
      <c r="F85" s="163" t="s">
        <v>301</v>
      </c>
      <c r="G85" s="164">
        <f>G78+G79+G81+G83+G84</f>
        <v>0</v>
      </c>
      <c r="H85" s="595"/>
      <c r="I85" s="25"/>
    </row>
    <row r="86" spans="1:9" ht="14.25" x14ac:dyDescent="0.2">
      <c r="B86" s="600"/>
      <c r="C86" s="601"/>
      <c r="D86" s="601"/>
      <c r="E86" s="601" t="s">
        <v>36</v>
      </c>
      <c r="F86" s="601"/>
      <c r="G86" s="602">
        <f>G85+G65+G45+G26</f>
        <v>0</v>
      </c>
      <c r="H86" s="603"/>
      <c r="I86" s="27"/>
    </row>
    <row r="87" spans="1:9" s="19" customFormat="1" x14ac:dyDescent="0.2">
      <c r="A87" s="93"/>
      <c r="B87" s="453"/>
      <c r="C87" s="453"/>
      <c r="D87" s="453"/>
      <c r="E87" s="453"/>
      <c r="F87" s="453"/>
      <c r="G87" s="453"/>
      <c r="H87" s="453"/>
      <c r="I87" s="67"/>
    </row>
    <row r="88" spans="1:9" x14ac:dyDescent="0.2">
      <c r="B88" s="451"/>
      <c r="C88" s="131"/>
      <c r="D88" s="132"/>
      <c r="E88" s="132"/>
      <c r="F88" s="452"/>
      <c r="G88" s="452"/>
      <c r="H88" s="452"/>
      <c r="I88" s="27"/>
    </row>
    <row r="89" spans="1:9" ht="14.25" x14ac:dyDescent="0.2">
      <c r="B89" s="604" t="s">
        <v>5</v>
      </c>
      <c r="C89" s="605" t="s">
        <v>75</v>
      </c>
      <c r="D89" s="606"/>
      <c r="E89" s="606"/>
      <c r="F89" s="606"/>
      <c r="G89" s="606"/>
      <c r="H89" s="607"/>
      <c r="I89" s="27"/>
    </row>
    <row r="90" spans="1:9" ht="14.25" x14ac:dyDescent="0.2">
      <c r="B90" s="608"/>
      <c r="C90" s="609"/>
      <c r="D90" s="610"/>
      <c r="E90" s="610"/>
      <c r="F90" s="610"/>
      <c r="G90" s="610"/>
      <c r="H90" s="611"/>
      <c r="I90" s="27"/>
    </row>
    <row r="91" spans="1:9" ht="14.25" x14ac:dyDescent="0.2">
      <c r="B91" s="586" t="s">
        <v>7</v>
      </c>
      <c r="C91" s="251" t="s">
        <v>8</v>
      </c>
      <c r="D91" s="251" t="s">
        <v>9</v>
      </c>
      <c r="E91" s="251" t="s">
        <v>10</v>
      </c>
      <c r="F91" s="251" t="s">
        <v>11</v>
      </c>
      <c r="G91" s="251" t="s">
        <v>12</v>
      </c>
      <c r="H91" s="587"/>
      <c r="I91" s="28"/>
    </row>
    <row r="92" spans="1:9" ht="14.25" x14ac:dyDescent="0.2">
      <c r="B92" s="596" t="s">
        <v>94</v>
      </c>
      <c r="C92" s="597" t="s">
        <v>293</v>
      </c>
      <c r="D92" s="598"/>
      <c r="E92" s="598"/>
      <c r="F92" s="598"/>
      <c r="G92" s="598"/>
      <c r="H92" s="599"/>
      <c r="I92" s="27"/>
    </row>
    <row r="93" spans="1:9" x14ac:dyDescent="0.2">
      <c r="B93" s="154"/>
      <c r="C93" s="171"/>
      <c r="D93" s="142"/>
      <c r="E93" s="142"/>
      <c r="F93" s="173"/>
      <c r="G93" s="173"/>
      <c r="H93" s="22"/>
      <c r="I93" s="27"/>
    </row>
    <row r="94" spans="1:9" s="7" customFormat="1" x14ac:dyDescent="0.2">
      <c r="A94" s="25" t="s">
        <v>95</v>
      </c>
      <c r="B94" s="174" t="str">
        <f>IF(C94="","",$B$92&amp;"."&amp;COUNT($F$94:F94))</f>
        <v>2.1.0</v>
      </c>
      <c r="C94" s="12" t="s">
        <v>90</v>
      </c>
      <c r="D94" s="14" t="s">
        <v>25</v>
      </c>
      <c r="E94" s="14">
        <f>SUMIFS('DADOS DE ENTRADA'!C:C,'DADOS DE ENTRADA'!A:A,'COLETA URBANA '!A94,'DADOS DE ENTRADA'!B:B,'COLETA URBANA '!C92)</f>
        <v>1</v>
      </c>
      <c r="F94" s="4"/>
      <c r="G94" s="4"/>
      <c r="H94" s="11"/>
      <c r="I94" s="4"/>
    </row>
    <row r="95" spans="1:9" s="7" customFormat="1" x14ac:dyDescent="0.2">
      <c r="A95" s="25" t="s">
        <v>99</v>
      </c>
      <c r="B95" s="8" t="str">
        <f>IF(C95="","",$B$92&amp;"."&amp;COUNT($F$94:F95))</f>
        <v>2.1.1</v>
      </c>
      <c r="C95" s="12" t="s">
        <v>20</v>
      </c>
      <c r="D95" s="14" t="s">
        <v>21</v>
      </c>
      <c r="E95" s="14">
        <f>SUMIFS('DADOS DE ENTRADA'!C:C,'DADOS DE ENTRADA'!A:A,'COLETA URBANA '!A95,'DADOS DE ENTRADA'!B:B,'COLETA URBANA '!$C$92)</f>
        <v>220</v>
      </c>
      <c r="F95" s="679">
        <f>'PREÇOS UNITÁRIOS'!E25/'COLETA URBANA '!E95</f>
        <v>0</v>
      </c>
      <c r="G95" s="103">
        <f t="shared" ref="G95:G100" si="0">E95*F95</f>
        <v>0</v>
      </c>
      <c r="H95" s="11"/>
      <c r="I95" s="4"/>
    </row>
    <row r="96" spans="1:9" s="7" customFormat="1" x14ac:dyDescent="0.2">
      <c r="A96" s="25" t="s">
        <v>286</v>
      </c>
      <c r="B96" s="8" t="str">
        <f>IF(C96="","",$B$92&amp;"."&amp;COUNT($F$94:F96))</f>
        <v>2.1.2</v>
      </c>
      <c r="C96" s="12" t="s">
        <v>34</v>
      </c>
      <c r="D96" s="14" t="s">
        <v>1</v>
      </c>
      <c r="E96" s="108">
        <f>SUMIFS('DADOS DE ENTRADA'!C:C,'DADOS DE ENTRADA'!A:A,'COLETA URBANA '!A96,'DADOS DE ENTRADA'!B:B,'COLETA URBANA '!$C$92)</f>
        <v>0</v>
      </c>
      <c r="F96" s="679">
        <f>G95</f>
        <v>0</v>
      </c>
      <c r="G96" s="103">
        <f t="shared" si="0"/>
        <v>0</v>
      </c>
      <c r="H96" s="11"/>
      <c r="I96" s="4"/>
    </row>
    <row r="97" spans="1:10" s="7" customFormat="1" x14ac:dyDescent="0.2">
      <c r="A97" s="25" t="s">
        <v>91</v>
      </c>
      <c r="B97" s="8" t="str">
        <f>IF(C97="","",$B$92&amp;"."&amp;COUNT($F$94:F97))</f>
        <v>2.1.3</v>
      </c>
      <c r="C97" s="12" t="s">
        <v>22</v>
      </c>
      <c r="D97" s="14" t="s">
        <v>1</v>
      </c>
      <c r="E97" s="108">
        <f>SUMIFS('DADOS DE ENTRADA'!C:C,'DADOS DE ENTRADA'!A:A,'COLETA URBANA '!A97,'DADOS DE ENTRADA'!B:B,'COLETA URBANA '!$C$92)</f>
        <v>0.4</v>
      </c>
      <c r="F97" s="679">
        <f>'PREÇOS UNITÁRIOS'!E22</f>
        <v>0</v>
      </c>
      <c r="G97" s="103">
        <f t="shared" si="0"/>
        <v>0</v>
      </c>
      <c r="H97" s="11"/>
      <c r="I97" s="4"/>
      <c r="J97" s="111"/>
    </row>
    <row r="98" spans="1:10" s="7" customFormat="1" x14ac:dyDescent="0.2">
      <c r="A98" s="25"/>
      <c r="B98" s="8"/>
      <c r="C98" s="12"/>
      <c r="D98" s="14"/>
      <c r="E98" s="108"/>
      <c r="F98" s="679"/>
      <c r="G98" s="150">
        <f>SUM(G95:G97)</f>
        <v>0</v>
      </c>
      <c r="H98" s="11"/>
      <c r="I98" s="4"/>
      <c r="J98" s="111"/>
    </row>
    <row r="99" spans="1:10" s="7" customFormat="1" x14ac:dyDescent="0.2">
      <c r="A99" s="25" t="s">
        <v>112</v>
      </c>
      <c r="B99" s="8" t="str">
        <f>IF(C99="","",$B$92&amp;"."&amp;COUNT($F$94:F99))</f>
        <v>2.1.4</v>
      </c>
      <c r="C99" s="12" t="s">
        <v>267</v>
      </c>
      <c r="D99" s="14" t="s">
        <v>37</v>
      </c>
      <c r="E99" s="14">
        <f>SUMIFS('DADOS DE ENTRADA'!D:D,'DADOS DE ENTRADA'!A:A,'COLETA URBANA '!A99,'DADOS DE ENTRADA'!B:B,'COLETA URBANA '!C92)</f>
        <v>0</v>
      </c>
      <c r="F99" s="679">
        <f>(G98/E95)*1.5</f>
        <v>0</v>
      </c>
      <c r="G99" s="103">
        <f t="shared" si="0"/>
        <v>0</v>
      </c>
      <c r="H99" s="9"/>
      <c r="I99" s="12"/>
    </row>
    <row r="100" spans="1:10" s="7" customFormat="1" x14ac:dyDescent="0.2">
      <c r="A100" s="168" t="s">
        <v>98</v>
      </c>
      <c r="B100" s="8" t="str">
        <f>IF(C100="","",$B$92&amp;"."&amp;COUNT($F$94:F100))</f>
        <v>2.1.5</v>
      </c>
      <c r="C100" s="12" t="s">
        <v>268</v>
      </c>
      <c r="D100" s="14" t="s">
        <v>37</v>
      </c>
      <c r="E100" s="14">
        <f>SUMIFS('DADOS DE ENTRADA'!D:D,'DADOS DE ENTRADA'!A:A,'COLETA URBANA '!A100,'DADOS DE ENTRADA'!B:B,'COLETA URBANA '!C92)</f>
        <v>0</v>
      </c>
      <c r="F100" s="679">
        <f>(G98/E95)*2</f>
        <v>0</v>
      </c>
      <c r="G100" s="103">
        <f t="shared" si="0"/>
        <v>0</v>
      </c>
      <c r="H100" s="9"/>
      <c r="I100" s="12"/>
    </row>
    <row r="101" spans="1:10" s="7" customFormat="1" x14ac:dyDescent="0.2">
      <c r="A101" s="192"/>
      <c r="B101" s="169" t="str">
        <f>IF(C101="","",$B$92&amp;"."&amp;COUNT($F$94:F101))</f>
        <v/>
      </c>
      <c r="C101" s="592"/>
      <c r="D101" s="592"/>
      <c r="E101" s="592"/>
      <c r="F101" s="681" t="s">
        <v>381</v>
      </c>
      <c r="G101" s="157">
        <f>G98+G99+G100</f>
        <v>0</v>
      </c>
      <c r="H101" s="593"/>
      <c r="I101" s="12"/>
    </row>
    <row r="102" spans="1:10" s="7" customFormat="1" x14ac:dyDescent="0.2">
      <c r="A102" s="25" t="s">
        <v>284</v>
      </c>
      <c r="B102" s="8" t="str">
        <f>IF(C102="","",$B$92&amp;"."&amp;COUNT($F$94:F102))</f>
        <v>2.1.6</v>
      </c>
      <c r="C102" s="12" t="s">
        <v>23</v>
      </c>
      <c r="D102" s="14" t="s">
        <v>1</v>
      </c>
      <c r="E102" s="127">
        <f>SUMIFS('DADOS DE ENTRADA'!C:C,'DADOS DE ENTRADA'!A:A,'COLETA URBANA '!A102,'DADOS DE ENTRADA'!B:B,'COLETA URBANA '!$C$92)</f>
        <v>0.71799999999999997</v>
      </c>
      <c r="F102" s="680">
        <f>G101</f>
        <v>0</v>
      </c>
      <c r="G102" s="110">
        <f>(E102)*F102</f>
        <v>0</v>
      </c>
      <c r="H102" s="11"/>
      <c r="I102" s="4"/>
    </row>
    <row r="103" spans="1:10" x14ac:dyDescent="0.2">
      <c r="A103" s="192"/>
      <c r="B103" s="169" t="str">
        <f>IF(C103="","",$B$92&amp;"."&amp;COUNT($F$94:F103))</f>
        <v/>
      </c>
      <c r="C103" s="592"/>
      <c r="D103" s="592"/>
      <c r="E103" s="592"/>
      <c r="F103" s="681" t="s">
        <v>381</v>
      </c>
      <c r="G103" s="157">
        <f>G102+G101</f>
        <v>0</v>
      </c>
      <c r="H103" s="593"/>
      <c r="I103" s="27"/>
    </row>
    <row r="104" spans="1:10" s="26" customFormat="1" x14ac:dyDescent="0.2">
      <c r="A104" s="192" t="s">
        <v>95</v>
      </c>
      <c r="B104" s="8" t="str">
        <f>IF(C104="","",$B$92&amp;"."&amp;COUNT($F$94:F104))</f>
        <v>2.1.7</v>
      </c>
      <c r="C104" s="12" t="s">
        <v>434</v>
      </c>
      <c r="D104" s="14" t="s">
        <v>25</v>
      </c>
      <c r="E104" s="14">
        <f>E94</f>
        <v>1</v>
      </c>
      <c r="F104" s="682">
        <f>G103</f>
        <v>0</v>
      </c>
      <c r="G104" s="103">
        <f>F104*E104</f>
        <v>0</v>
      </c>
      <c r="H104" s="612"/>
      <c r="I104" s="27"/>
    </row>
    <row r="105" spans="1:10" s="26" customFormat="1" x14ac:dyDescent="0.2">
      <c r="A105" s="25" t="s">
        <v>106</v>
      </c>
      <c r="B105" s="8" t="str">
        <f>IF(C105="","",$B$92&amp;"."&amp;COUNT($F$94:F105))</f>
        <v>2.1.8</v>
      </c>
      <c r="C105" s="25" t="s">
        <v>27</v>
      </c>
      <c r="D105" s="28" t="s">
        <v>4</v>
      </c>
      <c r="E105" s="91">
        <f>SUMIFS('DADOS DE ENTRADA'!C:C,'DADOS DE ENTRADA'!A:A,'COLETA URBANA '!A105,'DADOS DE ENTRADA'!B:B,'COLETA URBANA '!$C$92)</f>
        <v>52</v>
      </c>
      <c r="F105" s="679">
        <f>'PREÇOS UNITÁRIOS'!E28</f>
        <v>0</v>
      </c>
      <c r="G105" s="103">
        <f>E105*F105</f>
        <v>0</v>
      </c>
      <c r="H105" s="59"/>
      <c r="I105" s="27"/>
    </row>
    <row r="106" spans="1:10" s="26" customFormat="1" x14ac:dyDescent="0.2">
      <c r="A106" s="192" t="s">
        <v>95</v>
      </c>
      <c r="B106" s="8" t="str">
        <f>IF(C106="","",$B$92&amp;"."&amp;COUNT($F$94:F106))</f>
        <v>2.1.9</v>
      </c>
      <c r="C106" s="12" t="s">
        <v>434</v>
      </c>
      <c r="D106" s="14" t="s">
        <v>25</v>
      </c>
      <c r="E106" s="14">
        <f>E94</f>
        <v>1</v>
      </c>
      <c r="F106" s="679">
        <f>G105</f>
        <v>0</v>
      </c>
      <c r="G106" s="103">
        <f>F106*E106</f>
        <v>0</v>
      </c>
      <c r="H106" s="612"/>
      <c r="I106" s="27"/>
    </row>
    <row r="107" spans="1:10" x14ac:dyDescent="0.2">
      <c r="A107" s="25" t="s">
        <v>107</v>
      </c>
      <c r="B107" s="8" t="str">
        <f>IF(C107="","",$B$92&amp;"."&amp;COUNT($F$94:F107))</f>
        <v>2.1.10</v>
      </c>
      <c r="C107" s="25" t="s">
        <v>29</v>
      </c>
      <c r="D107" s="28" t="s">
        <v>4</v>
      </c>
      <c r="E107" s="91">
        <f>SUMIFS('DADOS DE ENTRADA'!C:C,'DADOS DE ENTRADA'!A:A,'COLETA URBANA '!A107,'DADOS DE ENTRADA'!B:B,'COLETA URBANA '!$C$92)</f>
        <v>26</v>
      </c>
      <c r="F107" s="679">
        <f>'PREÇOS UNITÁRIOS'!E29/'COLETA URBANA '!E107</f>
        <v>0</v>
      </c>
      <c r="G107" s="693">
        <f>'PREÇOS UNITÁRIOS'!E29</f>
        <v>0</v>
      </c>
      <c r="H107" s="59"/>
      <c r="I107" s="27"/>
    </row>
    <row r="108" spans="1:10" x14ac:dyDescent="0.2">
      <c r="B108" s="8" t="str">
        <f>IF(C108="","",$B$92&amp;"."&amp;COUNT($F$94:F108))</f>
        <v>2.1.11</v>
      </c>
      <c r="C108" s="25" t="s">
        <v>433</v>
      </c>
      <c r="D108" s="28" t="s">
        <v>25</v>
      </c>
      <c r="E108" s="91">
        <f>E94</f>
        <v>1</v>
      </c>
      <c r="F108" s="679">
        <f>G107</f>
        <v>0</v>
      </c>
      <c r="G108" s="103">
        <f>E108*F108</f>
        <v>0</v>
      </c>
      <c r="H108" s="59"/>
      <c r="I108" s="27"/>
    </row>
    <row r="109" spans="1:10" x14ac:dyDescent="0.2">
      <c r="B109" s="8" t="str">
        <f>IF(C109="","",$B$92&amp;"."&amp;COUNT($F$94:F109))</f>
        <v>2.1.12</v>
      </c>
      <c r="C109" s="25" t="s">
        <v>672</v>
      </c>
      <c r="D109" s="28" t="s">
        <v>25</v>
      </c>
      <c r="E109" s="91">
        <f>E108</f>
        <v>1</v>
      </c>
      <c r="F109" s="679">
        <f>'PREÇOS UNITÁRIOS'!E30</f>
        <v>0</v>
      </c>
      <c r="G109" s="103">
        <f>F109*E109</f>
        <v>0</v>
      </c>
      <c r="H109" s="59"/>
      <c r="I109" s="27"/>
    </row>
    <row r="110" spans="1:10" x14ac:dyDescent="0.2">
      <c r="A110" s="192"/>
      <c r="B110" s="170" t="str">
        <f>IF(C110="","",$B$92&amp;"."&amp;COUNT($F$95:F129))</f>
        <v/>
      </c>
      <c r="C110" s="613"/>
      <c r="D110" s="613"/>
      <c r="E110" s="613"/>
      <c r="F110" s="163" t="s">
        <v>302</v>
      </c>
      <c r="G110" s="164">
        <f>G104+G106+G108+G109</f>
        <v>0</v>
      </c>
      <c r="H110" s="614"/>
      <c r="I110" s="27"/>
    </row>
    <row r="111" spans="1:10" ht="14.25" x14ac:dyDescent="0.2">
      <c r="B111" s="596" t="s">
        <v>96</v>
      </c>
      <c r="C111" s="597" t="s">
        <v>716</v>
      </c>
      <c r="D111" s="598"/>
      <c r="E111" s="598"/>
      <c r="F111" s="598"/>
      <c r="G111" s="598"/>
      <c r="H111" s="62"/>
      <c r="I111" s="27"/>
    </row>
    <row r="112" spans="1:10" x14ac:dyDescent="0.2">
      <c r="B112" s="154"/>
      <c r="C112" s="171"/>
      <c r="D112" s="142"/>
      <c r="E112" s="142"/>
      <c r="F112" s="173"/>
      <c r="G112" s="173"/>
      <c r="H112" s="62"/>
      <c r="I112" s="27"/>
    </row>
    <row r="113" spans="1:9" x14ac:dyDescent="0.2">
      <c r="B113" s="174" t="str">
        <f>IF(C113="","",$B$131&amp;"."&amp;COUNT($F113:F$133))</f>
        <v>2.4.12</v>
      </c>
      <c r="C113" s="683" t="s">
        <v>726</v>
      </c>
      <c r="D113" s="684" t="s">
        <v>25</v>
      </c>
      <c r="E113" s="684">
        <f>'DADOS DE ENTRADA'!C32</f>
        <v>1</v>
      </c>
      <c r="F113" s="679"/>
      <c r="G113" s="679"/>
      <c r="H113" s="62"/>
      <c r="I113" s="27"/>
    </row>
    <row r="114" spans="1:9" x14ac:dyDescent="0.2">
      <c r="A114" s="25" t="s">
        <v>95</v>
      </c>
      <c r="B114" s="8" t="str">
        <f>IF(C114="","",$B$131&amp;"."&amp;COUNT($F114:F$133))</f>
        <v>2.4.12</v>
      </c>
      <c r="C114" s="683" t="s">
        <v>20</v>
      </c>
      <c r="D114" s="684" t="s">
        <v>21</v>
      </c>
      <c r="E114" s="684">
        <f>'DADOS DE ENTRADA'!C62</f>
        <v>220</v>
      </c>
      <c r="F114" s="679">
        <f>'PREÇOS UNITÁRIOS'!E26/'COLETA URBANA '!E114</f>
        <v>0</v>
      </c>
      <c r="G114" s="679">
        <f>E114*F114</f>
        <v>0</v>
      </c>
      <c r="H114" s="62"/>
      <c r="I114" s="27"/>
    </row>
    <row r="115" spans="1:9" x14ac:dyDescent="0.2">
      <c r="A115" s="25" t="s">
        <v>99</v>
      </c>
      <c r="B115" s="8" t="str">
        <f>IF(C115="","",$B$131&amp;"."&amp;COUNT($F115:F$133))</f>
        <v>2.4.11</v>
      </c>
      <c r="C115" s="683" t="s">
        <v>34</v>
      </c>
      <c r="D115" s="684" t="s">
        <v>1</v>
      </c>
      <c r="E115" s="685">
        <f>SUMIFS('DADOS DE ENTRADA'!C:C,'DADOS DE ENTRADA'!A:A,'COLETA URBANA '!A77,'DADOS DE ENTRADA'!B:B,'COLETA URBANA '!$C$111)</f>
        <v>0</v>
      </c>
      <c r="F115" s="679">
        <f>G114</f>
        <v>0</v>
      </c>
      <c r="G115" s="679">
        <f>E115*F115</f>
        <v>0</v>
      </c>
      <c r="H115" s="62"/>
      <c r="I115" s="27"/>
    </row>
    <row r="116" spans="1:9" x14ac:dyDescent="0.2">
      <c r="A116" s="25" t="s">
        <v>286</v>
      </c>
      <c r="B116" s="8" t="str">
        <f>IF(C116="","",$B$131&amp;"."&amp;COUNT($F116:F$133))</f>
        <v>2.4.10</v>
      </c>
      <c r="C116" s="683" t="s">
        <v>22</v>
      </c>
      <c r="D116" s="684" t="s">
        <v>1</v>
      </c>
      <c r="E116" s="685">
        <v>0</v>
      </c>
      <c r="F116" s="679">
        <f>'PREÇOS UNITÁRIOS'!E26</f>
        <v>0</v>
      </c>
      <c r="G116" s="679">
        <f>E116*F116</f>
        <v>0</v>
      </c>
      <c r="H116" s="62"/>
      <c r="I116" s="27"/>
    </row>
    <row r="117" spans="1:9" x14ac:dyDescent="0.2">
      <c r="A117" s="25" t="s">
        <v>91</v>
      </c>
      <c r="B117" s="8"/>
      <c r="C117" s="683"/>
      <c r="D117" s="684"/>
      <c r="E117" s="685"/>
      <c r="F117" s="679"/>
      <c r="G117" s="686">
        <f>SUM(G114:G116)</f>
        <v>0</v>
      </c>
      <c r="H117" s="62"/>
      <c r="I117" s="27"/>
    </row>
    <row r="118" spans="1:9" x14ac:dyDescent="0.2">
      <c r="B118" s="8" t="str">
        <f>IF(C118="","",$B$131&amp;"."&amp;COUNT($F118:F$133))</f>
        <v>2.4.9</v>
      </c>
      <c r="C118" s="687" t="s">
        <v>267</v>
      </c>
      <c r="D118" s="688" t="s">
        <v>37</v>
      </c>
      <c r="E118" s="688">
        <f>SUMIFS('DADOS DE ENTRADA'!D:D,'DADOS DE ENTRADA'!A:A,'COLETA URBANA '!A80,'DADOS DE ENTRADA'!B:B,'COLETA URBANA '!C111)*E113</f>
        <v>0</v>
      </c>
      <c r="F118" s="679">
        <f>(G117/E114)*1.5</f>
        <v>0</v>
      </c>
      <c r="G118" s="679">
        <f>E118*F118</f>
        <v>0</v>
      </c>
      <c r="H118" s="62"/>
      <c r="I118" s="27"/>
    </row>
    <row r="119" spans="1:9" s="7" customFormat="1" x14ac:dyDescent="0.2">
      <c r="A119" s="25" t="s">
        <v>112</v>
      </c>
      <c r="B119" s="8" t="str">
        <f>IF(C119="","",$B$131&amp;"."&amp;COUNT($F119:F$133))</f>
        <v>2.4.8</v>
      </c>
      <c r="C119" s="687" t="s">
        <v>268</v>
      </c>
      <c r="D119" s="688" t="s">
        <v>37</v>
      </c>
      <c r="E119" s="688">
        <f>SUMIFS('DADOS DE ENTRADA'!D:D,'DADOS DE ENTRADA'!A:A,'COLETA URBANA '!A81,'DADOS DE ENTRADA'!B:B,'COLETA URBANA '!C111)*E113</f>
        <v>0</v>
      </c>
      <c r="F119" s="679">
        <f>(G117/E114)*2</f>
        <v>0</v>
      </c>
      <c r="G119" s="679">
        <f>E119*F119</f>
        <v>0</v>
      </c>
      <c r="H119" s="62"/>
      <c r="I119" s="4"/>
    </row>
    <row r="120" spans="1:9" s="7" customFormat="1" x14ac:dyDescent="0.2">
      <c r="A120" s="168" t="s">
        <v>98</v>
      </c>
      <c r="B120" s="169" t="str">
        <f>IF(C120="","",$B$131&amp;"."&amp;COUNT($F120:F$133))</f>
        <v/>
      </c>
      <c r="C120" s="689"/>
      <c r="D120" s="689"/>
      <c r="E120" s="689"/>
      <c r="F120" s="681" t="s">
        <v>381</v>
      </c>
      <c r="G120" s="690">
        <f>G117+G118+G119</f>
        <v>0</v>
      </c>
      <c r="H120" s="62"/>
      <c r="I120" s="4"/>
    </row>
    <row r="121" spans="1:9" s="7" customFormat="1" x14ac:dyDescent="0.2">
      <c r="A121" s="192"/>
      <c r="B121" s="8" t="str">
        <f>IF(C121="","",$B$131&amp;"."&amp;COUNT($F121:F$133))</f>
        <v>2.4.7</v>
      </c>
      <c r="C121" s="687" t="s">
        <v>23</v>
      </c>
      <c r="D121" s="688" t="s">
        <v>1</v>
      </c>
      <c r="E121" s="688">
        <v>0.71799999999999997</v>
      </c>
      <c r="F121" s="679">
        <f>G120</f>
        <v>0</v>
      </c>
      <c r="G121" s="679">
        <f>(E121)*F121</f>
        <v>0</v>
      </c>
      <c r="H121" s="62"/>
      <c r="I121" s="4"/>
    </row>
    <row r="122" spans="1:9" s="7" customFormat="1" x14ac:dyDescent="0.2">
      <c r="A122" s="25" t="s">
        <v>284</v>
      </c>
      <c r="B122" s="169" t="str">
        <f>IF(C122="","",$B$131&amp;"."&amp;COUNT($F122:F$133))</f>
        <v/>
      </c>
      <c r="C122" s="689"/>
      <c r="D122" s="689"/>
      <c r="E122" s="689"/>
      <c r="F122" s="681" t="s">
        <v>381</v>
      </c>
      <c r="G122" s="690">
        <f>G120+G121</f>
        <v>0</v>
      </c>
      <c r="H122" s="62"/>
      <c r="I122" s="4"/>
    </row>
    <row r="123" spans="1:9" x14ac:dyDescent="0.2">
      <c r="A123" s="192"/>
      <c r="B123" s="8" t="str">
        <f>IF(C123="","",$B$131&amp;"."&amp;COUNT($F123:F$133))</f>
        <v>2.4.6</v>
      </c>
      <c r="C123" s="687" t="s">
        <v>725</v>
      </c>
      <c r="D123" s="688" t="s">
        <v>25</v>
      </c>
      <c r="E123" s="691">
        <f>E113</f>
        <v>1</v>
      </c>
      <c r="F123" s="679">
        <f>G122</f>
        <v>0</v>
      </c>
      <c r="G123" s="679">
        <f>F123*E123</f>
        <v>0</v>
      </c>
      <c r="H123" s="62"/>
      <c r="I123" s="27"/>
    </row>
    <row r="124" spans="1:9" s="26" customFormat="1" x14ac:dyDescent="0.2">
      <c r="A124" s="192"/>
      <c r="B124" s="8" t="str">
        <f>IF(C124="","",$B$131&amp;"."&amp;COUNT($F124:F$133))</f>
        <v>2.4.5</v>
      </c>
      <c r="C124" s="683" t="s">
        <v>27</v>
      </c>
      <c r="D124" s="684" t="s">
        <v>4</v>
      </c>
      <c r="E124" s="688">
        <f>SUMIFS('DADOS DE ENTRADA'!C:C,'DADOS DE ENTRADA'!A:A,'COLETA URBANA '!A86,'DADOS DE ENTRADA'!B:B,'COLETA URBANA '!$C$131)</f>
        <v>0</v>
      </c>
      <c r="F124" s="679">
        <f>'PREÇOS UNITÁRIOS'!E28</f>
        <v>0</v>
      </c>
      <c r="G124" s="679">
        <f>E124*F124</f>
        <v>0</v>
      </c>
      <c r="H124" s="62"/>
      <c r="I124" s="27"/>
    </row>
    <row r="125" spans="1:9" s="26" customFormat="1" x14ac:dyDescent="0.2">
      <c r="A125" s="25" t="s">
        <v>106</v>
      </c>
      <c r="B125" s="8" t="str">
        <f>IF(C125="","",$B$131&amp;"."&amp;COUNT($F125:F$133))</f>
        <v>2.4.4</v>
      </c>
      <c r="C125" s="687" t="s">
        <v>725</v>
      </c>
      <c r="D125" s="688" t="s">
        <v>25</v>
      </c>
      <c r="E125" s="691">
        <f>E123</f>
        <v>1</v>
      </c>
      <c r="F125" s="679">
        <f>G124</f>
        <v>0</v>
      </c>
      <c r="G125" s="679">
        <f>F125*E125</f>
        <v>0</v>
      </c>
      <c r="H125" s="62"/>
      <c r="I125" s="27"/>
    </row>
    <row r="126" spans="1:9" s="26" customFormat="1" x14ac:dyDescent="0.2">
      <c r="A126" s="192"/>
      <c r="B126" s="8" t="str">
        <f>IF(C126="","",$B$131&amp;"."&amp;COUNT($F126:F$133))</f>
        <v>2.4.3</v>
      </c>
      <c r="C126" s="683" t="s">
        <v>29</v>
      </c>
      <c r="D126" s="684" t="s">
        <v>4</v>
      </c>
      <c r="E126" s="688">
        <v>1</v>
      </c>
      <c r="F126" s="679">
        <f>'PREÇOS UNITÁRIOS'!E29</f>
        <v>0</v>
      </c>
      <c r="G126" s="679">
        <f>E126*F126</f>
        <v>0</v>
      </c>
      <c r="H126" s="62"/>
      <c r="I126" s="27"/>
    </row>
    <row r="127" spans="1:9" s="26" customFormat="1" x14ac:dyDescent="0.2">
      <c r="A127" s="25" t="s">
        <v>107</v>
      </c>
      <c r="B127" s="8" t="str">
        <f>IF(C127="","",$B$131&amp;"."&amp;COUNT($F127:F$133))</f>
        <v>2.4.2</v>
      </c>
      <c r="C127" s="687" t="s">
        <v>725</v>
      </c>
      <c r="D127" s="688" t="s">
        <v>25</v>
      </c>
      <c r="E127" s="692">
        <f>E113</f>
        <v>1</v>
      </c>
      <c r="F127" s="679">
        <f>G126</f>
        <v>0</v>
      </c>
      <c r="G127" s="679">
        <f>E127*F127</f>
        <v>0</v>
      </c>
      <c r="H127" s="62"/>
      <c r="I127" s="27"/>
    </row>
    <row r="128" spans="1:9" x14ac:dyDescent="0.2">
      <c r="A128" s="6"/>
      <c r="B128" s="8" t="str">
        <f>IF(C128="","",$B$131&amp;"."&amp;COUNT($F128:F$133))</f>
        <v>2.4.1</v>
      </c>
      <c r="C128" s="683" t="s">
        <v>672</v>
      </c>
      <c r="D128" s="684" t="s">
        <v>25</v>
      </c>
      <c r="E128" s="688">
        <f>E127</f>
        <v>1</v>
      </c>
      <c r="F128" s="679">
        <f>'PREÇOS UNITÁRIOS'!E30</f>
        <v>0</v>
      </c>
      <c r="G128" s="679">
        <f>F128*E128</f>
        <v>0</v>
      </c>
      <c r="H128" s="62"/>
      <c r="I128" s="27"/>
    </row>
    <row r="129" spans="1:9" x14ac:dyDescent="0.2">
      <c r="A129" s="6"/>
      <c r="B129" s="616"/>
      <c r="C129" s="594"/>
      <c r="D129" s="594"/>
      <c r="E129" s="594"/>
      <c r="F129" s="163" t="s">
        <v>303</v>
      </c>
      <c r="G129" s="164">
        <f>G123+G125+G127+G128</f>
        <v>0</v>
      </c>
      <c r="H129" s="62"/>
      <c r="I129" s="27"/>
    </row>
    <row r="130" spans="1:9" x14ac:dyDescent="0.2">
      <c r="B130" s="8"/>
      <c r="C130" s="25"/>
      <c r="D130" s="28"/>
      <c r="E130" s="28"/>
      <c r="F130" s="27"/>
      <c r="G130" s="27"/>
      <c r="H130" s="62"/>
    </row>
    <row r="131" spans="1:9" ht="14.25" x14ac:dyDescent="0.2">
      <c r="B131" s="596" t="s">
        <v>721</v>
      </c>
      <c r="C131" s="597" t="s">
        <v>274</v>
      </c>
      <c r="D131" s="598"/>
      <c r="E131" s="598"/>
      <c r="F131" s="598"/>
      <c r="G131" s="598"/>
      <c r="H131" s="599"/>
      <c r="I131" s="6"/>
    </row>
    <row r="132" spans="1:9" x14ac:dyDescent="0.2">
      <c r="B132" s="154"/>
      <c r="C132" s="171"/>
      <c r="D132" s="142"/>
      <c r="E132" s="142"/>
      <c r="F132" s="173"/>
      <c r="G132" s="173"/>
      <c r="H132" s="22"/>
      <c r="I132" s="6"/>
    </row>
    <row r="133" spans="1:9" x14ac:dyDescent="0.2">
      <c r="B133" s="174" t="str">
        <f>IF(C133="","",$B$131&amp;"."&amp;COUNT($F$133:F133))</f>
        <v>2.4.0</v>
      </c>
      <c r="C133" s="25" t="s">
        <v>274</v>
      </c>
      <c r="D133" s="28" t="s">
        <v>25</v>
      </c>
      <c r="E133" s="28">
        <f>SUMIFS('DADOS DE ENTRADA'!C:C,'DADOS DE ENTRADA'!A:A,'COLETA URBANA '!A114,'DADOS DE ENTRADA'!B:B,'COLETA URBANA '!C131)</f>
        <v>3</v>
      </c>
      <c r="F133" s="679"/>
      <c r="G133" s="679"/>
      <c r="H133" s="62"/>
      <c r="I133" s="6"/>
    </row>
    <row r="134" spans="1:9" x14ac:dyDescent="0.2">
      <c r="B134" s="8" t="str">
        <f>IF(C134="","",$B$131&amp;"."&amp;COUNT($F$133:F134))</f>
        <v>2.4.1</v>
      </c>
      <c r="C134" s="25" t="s">
        <v>20</v>
      </c>
      <c r="D134" s="28" t="s">
        <v>21</v>
      </c>
      <c r="E134" s="28">
        <f>SUMIFS('DADOS DE ENTRADA'!C:C,'DADOS DE ENTRADA'!A:A,'COLETA URBANA '!A115,'DADOS DE ENTRADA'!B:B,'COLETA URBANA '!$C$131)</f>
        <v>220</v>
      </c>
      <c r="F134" s="679">
        <f>'PREÇOS UNITÁRIOS'!E27/'COLETA URBANA '!E134</f>
        <v>0</v>
      </c>
      <c r="G134" s="679">
        <f t="shared" ref="G134:G139" si="1">E134*F134</f>
        <v>0</v>
      </c>
      <c r="H134" s="62"/>
      <c r="I134" s="6"/>
    </row>
    <row r="135" spans="1:9" x14ac:dyDescent="0.2">
      <c r="B135" s="8" t="str">
        <f>IF(C135="","",$B$131&amp;"."&amp;COUNT($F$133:F135))</f>
        <v>2.4.2</v>
      </c>
      <c r="C135" s="25" t="s">
        <v>34</v>
      </c>
      <c r="D135" s="28" t="s">
        <v>1</v>
      </c>
      <c r="E135" s="99">
        <f>SUMIFS('DADOS DE ENTRADA'!C:C,'DADOS DE ENTRADA'!A:A,'COLETA URBANA '!A116,'DADOS DE ENTRADA'!B:B,'COLETA URBANA '!$C$131)</f>
        <v>0.2</v>
      </c>
      <c r="F135" s="679">
        <f>G134</f>
        <v>0</v>
      </c>
      <c r="G135" s="679">
        <f t="shared" si="1"/>
        <v>0</v>
      </c>
      <c r="H135" s="62"/>
      <c r="I135" s="6"/>
    </row>
    <row r="136" spans="1:9" x14ac:dyDescent="0.2">
      <c r="B136" s="8" t="str">
        <f>IF(C136="","",$B$131&amp;"."&amp;COUNT($F$133:F136))</f>
        <v>2.4.3</v>
      </c>
      <c r="C136" s="25" t="s">
        <v>22</v>
      </c>
      <c r="D136" s="28" t="s">
        <v>1</v>
      </c>
      <c r="E136" s="99">
        <f>SUMIFS('DADOS DE ENTRADA'!C:C,'DADOS DE ENTRADA'!A:A,'COLETA URBANA '!A117,'DADOS DE ENTRADA'!B:B,'COLETA URBANA '!$C$131)</f>
        <v>0.4</v>
      </c>
      <c r="F136" s="679">
        <f>'PREÇOS UNITÁRIOS'!E22</f>
        <v>0</v>
      </c>
      <c r="G136" s="679">
        <f t="shared" si="1"/>
        <v>0</v>
      </c>
      <c r="H136" s="62"/>
      <c r="I136" s="6"/>
    </row>
    <row r="137" spans="1:9" x14ac:dyDescent="0.2">
      <c r="B137" s="8"/>
      <c r="C137" s="25"/>
      <c r="D137" s="28"/>
      <c r="E137" s="99"/>
      <c r="F137" s="679"/>
      <c r="G137" s="686">
        <f>SUM(G134:G136)</f>
        <v>0</v>
      </c>
      <c r="H137" s="62"/>
      <c r="I137" s="6"/>
    </row>
    <row r="138" spans="1:9" x14ac:dyDescent="0.2">
      <c r="B138" s="8" t="str">
        <f>IF(C138="","",$B$131&amp;"."&amp;COUNT($F$133:F138))</f>
        <v>2.4.4</v>
      </c>
      <c r="C138" s="12" t="s">
        <v>267</v>
      </c>
      <c r="D138" s="14" t="s">
        <v>37</v>
      </c>
      <c r="E138" s="14">
        <f>SUMIFS('DADOS DE ENTRADA'!D:D,'DADOS DE ENTRADA'!A:A,'COLETA URBANA '!A119,'DADOS DE ENTRADA'!B:B,'COLETA URBANA '!C131)*E133</f>
        <v>0</v>
      </c>
      <c r="F138" s="679">
        <f>(G137/E134)*1.5</f>
        <v>0</v>
      </c>
      <c r="G138" s="679">
        <f t="shared" si="1"/>
        <v>0</v>
      </c>
      <c r="H138" s="9"/>
      <c r="I138" s="6"/>
    </row>
    <row r="139" spans="1:9" x14ac:dyDescent="0.2">
      <c r="B139" s="8" t="str">
        <f>IF(C139="","",$B$131&amp;"."&amp;COUNT($F$133:F139))</f>
        <v>2.4.5</v>
      </c>
      <c r="C139" s="12" t="s">
        <v>268</v>
      </c>
      <c r="D139" s="14" t="s">
        <v>37</v>
      </c>
      <c r="E139" s="14">
        <f>SUMIFS('DADOS DE ENTRADA'!D:D,'DADOS DE ENTRADA'!A:A,'COLETA URBANA '!A120,'DADOS DE ENTRADA'!B:B,'COLETA URBANA '!C131)*E133</f>
        <v>0</v>
      </c>
      <c r="F139" s="679">
        <f>(G137/E134)*2</f>
        <v>0</v>
      </c>
      <c r="G139" s="679">
        <f t="shared" si="1"/>
        <v>0</v>
      </c>
      <c r="H139" s="9"/>
      <c r="I139" s="6"/>
    </row>
    <row r="140" spans="1:9" x14ac:dyDescent="0.2">
      <c r="B140" s="169" t="str">
        <f>IF(C140="","",$B$131&amp;"."&amp;COUNT($F$133:F140))</f>
        <v/>
      </c>
      <c r="C140" s="592"/>
      <c r="D140" s="592"/>
      <c r="E140" s="592"/>
      <c r="F140" s="681" t="s">
        <v>381</v>
      </c>
      <c r="G140" s="690">
        <f>G137+G138+G139</f>
        <v>0</v>
      </c>
      <c r="H140" s="593"/>
      <c r="I140" s="27"/>
    </row>
    <row r="141" spans="1:9" x14ac:dyDescent="0.2">
      <c r="B141" s="8" t="str">
        <f>IF(C141="","",$B$131&amp;"."&amp;COUNT($F$133:F141))</f>
        <v>2.4.6</v>
      </c>
      <c r="C141" s="12" t="s">
        <v>23</v>
      </c>
      <c r="D141" s="14" t="s">
        <v>1</v>
      </c>
      <c r="E141" s="127">
        <f>SUMIFS('DADOS DE ENTRADA'!C:C,'DADOS DE ENTRADA'!A:A,'COLETA URBANA '!A122,'DADOS DE ENTRADA'!B:B,'COLETA URBANA '!$C$131)</f>
        <v>0.71799999999999997</v>
      </c>
      <c r="F141" s="679">
        <f>G140</f>
        <v>0</v>
      </c>
      <c r="G141" s="679">
        <f>(E141)*F141</f>
        <v>0</v>
      </c>
      <c r="H141" s="11"/>
      <c r="I141" s="27"/>
    </row>
    <row r="142" spans="1:9" x14ac:dyDescent="0.2">
      <c r="B142" s="169" t="str">
        <f>IF(C142="","",$B$131&amp;"."&amp;COUNT($F$133:F142))</f>
        <v/>
      </c>
      <c r="C142" s="592"/>
      <c r="D142" s="592"/>
      <c r="E142" s="592"/>
      <c r="F142" s="681" t="s">
        <v>381</v>
      </c>
      <c r="G142" s="690">
        <f>G140+G141</f>
        <v>0</v>
      </c>
      <c r="H142" s="593"/>
      <c r="I142" s="27"/>
    </row>
    <row r="143" spans="1:9" x14ac:dyDescent="0.2">
      <c r="B143" s="8" t="str">
        <f>IF(C143="","",$B$131&amp;"."&amp;COUNT($F$133:F143))</f>
        <v>2.4.7</v>
      </c>
      <c r="C143" s="12" t="s">
        <v>435</v>
      </c>
      <c r="D143" s="14" t="s">
        <v>25</v>
      </c>
      <c r="E143" s="615">
        <f>E133</f>
        <v>3</v>
      </c>
      <c r="F143" s="679">
        <f>G142</f>
        <v>0</v>
      </c>
      <c r="G143" s="679">
        <f>F143*E143</f>
        <v>0</v>
      </c>
      <c r="H143" s="612"/>
      <c r="I143" s="6"/>
    </row>
    <row r="144" spans="1:9" x14ac:dyDescent="0.2">
      <c r="B144" s="8" t="str">
        <f>IF(C144="","",$B$131&amp;"."&amp;COUNT($F$133:F144))</f>
        <v>2.4.8</v>
      </c>
      <c r="C144" s="25" t="s">
        <v>27</v>
      </c>
      <c r="D144" s="28" t="s">
        <v>4</v>
      </c>
      <c r="E144" s="91">
        <f>SUMIFS('DADOS DE ENTRADA'!C:C,'DADOS DE ENTRADA'!A:A,'COLETA URBANA '!A125,'DADOS DE ENTRADA'!B:B,'COLETA URBANA '!$C$131)</f>
        <v>0</v>
      </c>
      <c r="F144" s="679">
        <f>'PREÇOS UNITÁRIOS'!E28</f>
        <v>0</v>
      </c>
      <c r="G144" s="679">
        <f>E144*F144</f>
        <v>0</v>
      </c>
      <c r="H144" s="612"/>
      <c r="I144" s="6"/>
    </row>
    <row r="145" spans="1:15" x14ac:dyDescent="0.2">
      <c r="B145" s="8" t="str">
        <f>IF(C145="","",$B$131&amp;"."&amp;COUNT($F$133:F145))</f>
        <v>2.4.9</v>
      </c>
      <c r="C145" s="12" t="s">
        <v>435</v>
      </c>
      <c r="D145" s="14" t="s">
        <v>25</v>
      </c>
      <c r="E145" s="615">
        <f>E143</f>
        <v>3</v>
      </c>
      <c r="F145" s="679">
        <f>G144</f>
        <v>0</v>
      </c>
      <c r="G145" s="679">
        <f>F145*E145</f>
        <v>0</v>
      </c>
      <c r="H145" s="612"/>
      <c r="I145" s="6"/>
    </row>
    <row r="146" spans="1:15" x14ac:dyDescent="0.2">
      <c r="B146" s="8" t="str">
        <f>IF(C146="","",$B$131&amp;"."&amp;COUNT($F$133:F146))</f>
        <v>2.4.10</v>
      </c>
      <c r="C146" s="25" t="s">
        <v>29</v>
      </c>
      <c r="D146" s="28" t="s">
        <v>4</v>
      </c>
      <c r="E146" s="91">
        <f>SUMIFS('DADOS DE ENTRADA'!C:C,'DADOS DE ENTRADA'!A:A,'COLETA URBANA '!A127,'DADOS DE ENTRADA'!B:B,'COLETA URBANA '!$C$131)</f>
        <v>26</v>
      </c>
      <c r="F146" s="679">
        <f>'PREÇOS UNITÁRIOS'!E29/'COLETA URBANA '!E146</f>
        <v>0</v>
      </c>
      <c r="G146" s="679">
        <f>'PREÇOS UNITÁRIOS'!E29</f>
        <v>0</v>
      </c>
      <c r="H146" s="59"/>
      <c r="I146" s="6"/>
    </row>
    <row r="147" spans="1:15" x14ac:dyDescent="0.2">
      <c r="B147" s="8" t="str">
        <f>IF(C147="","",$B$131&amp;"."&amp;COUNT($F$133:F147))</f>
        <v>2.4.11</v>
      </c>
      <c r="C147" s="12" t="s">
        <v>435</v>
      </c>
      <c r="D147" s="14" t="s">
        <v>25</v>
      </c>
      <c r="E147" s="1">
        <f>E133</f>
        <v>3</v>
      </c>
      <c r="F147" s="679">
        <f>G146</f>
        <v>0</v>
      </c>
      <c r="G147" s="679">
        <f>E147*F147</f>
        <v>0</v>
      </c>
      <c r="H147" s="59"/>
      <c r="I147" s="6"/>
    </row>
    <row r="148" spans="1:15" x14ac:dyDescent="0.2">
      <c r="B148" s="8" t="str">
        <f>IF(C148="","",$B$131&amp;"."&amp;COUNT($F$133:F148))</f>
        <v>2.4.12</v>
      </c>
      <c r="C148" s="25" t="s">
        <v>672</v>
      </c>
      <c r="D148" s="28" t="s">
        <v>25</v>
      </c>
      <c r="E148" s="91">
        <f>E147</f>
        <v>3</v>
      </c>
      <c r="F148" s="679">
        <f>'PREÇOS UNITÁRIOS'!E30</f>
        <v>0</v>
      </c>
      <c r="G148" s="679">
        <f>F148*E148</f>
        <v>0</v>
      </c>
      <c r="H148" s="59"/>
      <c r="I148" s="6"/>
    </row>
    <row r="149" spans="1:15" x14ac:dyDescent="0.2">
      <c r="B149" s="616"/>
      <c r="C149" s="594"/>
      <c r="D149" s="594"/>
      <c r="E149" s="594"/>
      <c r="F149" s="163" t="s">
        <v>303</v>
      </c>
      <c r="G149" s="164">
        <f>G143+G145+G147+G148</f>
        <v>0</v>
      </c>
      <c r="H149" s="595"/>
      <c r="I149" s="6"/>
    </row>
    <row r="150" spans="1:15" ht="14.25" x14ac:dyDescent="0.2">
      <c r="B150" s="617"/>
      <c r="C150" s="618"/>
      <c r="D150" s="618"/>
      <c r="E150" s="618" t="s">
        <v>39</v>
      </c>
      <c r="F150" s="618"/>
      <c r="G150" s="619">
        <f>G149+G110+G129</f>
        <v>0</v>
      </c>
      <c r="H150" s="620"/>
      <c r="I150" s="6"/>
    </row>
    <row r="151" spans="1:15" ht="14.25" x14ac:dyDescent="0.2">
      <c r="B151" s="621"/>
      <c r="C151" s="621"/>
      <c r="D151" s="621"/>
      <c r="E151" s="621"/>
      <c r="F151" s="621"/>
      <c r="G151" s="622"/>
      <c r="H151" s="621"/>
      <c r="I151" s="27"/>
    </row>
    <row r="152" spans="1:15" x14ac:dyDescent="0.2">
      <c r="B152" s="451"/>
      <c r="C152" s="131"/>
      <c r="D152" s="132"/>
      <c r="E152" s="132"/>
      <c r="F152" s="452"/>
      <c r="G152" s="452"/>
      <c r="H152" s="452"/>
    </row>
    <row r="153" spans="1:15" s="26" customFormat="1" ht="14.25" x14ac:dyDescent="0.2">
      <c r="A153" s="25"/>
      <c r="B153" s="604" t="s">
        <v>17</v>
      </c>
      <c r="C153" s="605" t="s">
        <v>41</v>
      </c>
      <c r="D153" s="606"/>
      <c r="E153" s="606"/>
      <c r="F153" s="606"/>
      <c r="G153" s="606"/>
      <c r="H153" s="607"/>
    </row>
    <row r="154" spans="1:15" s="26" customFormat="1" ht="14.25" x14ac:dyDescent="0.2">
      <c r="A154" s="25"/>
      <c r="B154" s="608"/>
      <c r="C154" s="609"/>
      <c r="D154" s="610"/>
      <c r="E154" s="610"/>
      <c r="F154" s="610"/>
      <c r="G154" s="610"/>
      <c r="H154" s="611"/>
      <c r="I154" s="355"/>
    </row>
    <row r="155" spans="1:15" ht="14.25" x14ac:dyDescent="0.2">
      <c r="B155" s="454" t="s">
        <v>7</v>
      </c>
      <c r="C155" s="584" t="s">
        <v>8</v>
      </c>
      <c r="D155" s="584" t="s">
        <v>9</v>
      </c>
      <c r="E155" s="584" t="s">
        <v>10</v>
      </c>
      <c r="F155" s="584" t="s">
        <v>11</v>
      </c>
      <c r="G155" s="584" t="s">
        <v>12</v>
      </c>
      <c r="H155" s="585"/>
      <c r="I155" s="53"/>
    </row>
    <row r="156" spans="1:15" s="26" customFormat="1" ht="28.5" x14ac:dyDescent="0.2">
      <c r="A156" s="25"/>
      <c r="B156" s="588" t="s">
        <v>112</v>
      </c>
      <c r="C156" s="589" t="s">
        <v>42</v>
      </c>
      <c r="D156" s="590"/>
      <c r="E156" s="590"/>
      <c r="F156" s="590"/>
      <c r="G156" s="590"/>
      <c r="H156" s="591"/>
      <c r="J156" s="6"/>
      <c r="K156" s="6"/>
      <c r="L156" s="6"/>
      <c r="M156" s="6"/>
      <c r="N156" s="6"/>
      <c r="O156" s="6"/>
    </row>
    <row r="157" spans="1:15" s="26" customFormat="1" x14ac:dyDescent="0.2">
      <c r="A157" s="25"/>
      <c r="B157" s="8"/>
      <c r="C157" s="25"/>
      <c r="D157" s="25"/>
      <c r="E157" s="25"/>
      <c r="F157" s="25"/>
      <c r="G157" s="25"/>
      <c r="H157" s="59"/>
    </row>
    <row r="158" spans="1:15" s="26" customFormat="1" ht="14.25" x14ac:dyDescent="0.2">
      <c r="A158" s="25"/>
      <c r="B158" s="596" t="s">
        <v>111</v>
      </c>
      <c r="C158" s="597" t="s">
        <v>100</v>
      </c>
      <c r="D158" s="598"/>
      <c r="E158" s="598"/>
      <c r="F158" s="598"/>
      <c r="G158" s="598"/>
      <c r="H158" s="599"/>
      <c r="J158" s="6"/>
      <c r="K158" s="6"/>
      <c r="L158" s="6"/>
      <c r="M158" s="6"/>
      <c r="N158" s="6"/>
      <c r="O158" s="6"/>
    </row>
    <row r="159" spans="1:15" s="26" customFormat="1" x14ac:dyDescent="0.2">
      <c r="A159" s="25"/>
      <c r="B159" s="576" t="s">
        <v>305</v>
      </c>
      <c r="C159" s="577" t="s">
        <v>43</v>
      </c>
      <c r="D159" s="137" t="s">
        <v>4</v>
      </c>
      <c r="E159" s="578">
        <f t="array" ref="E159:E165">TRANSPOSE('DADOS DE ENTRADA'!C155:I155)</f>
        <v>19</v>
      </c>
      <c r="F159" s="579">
        <f>'PREÇOS UNITÁRIOS'!E9</f>
        <v>0</v>
      </c>
      <c r="G159" s="579">
        <f>F159*E159</f>
        <v>0</v>
      </c>
      <c r="H159" s="22"/>
      <c r="J159" s="6"/>
      <c r="K159" s="6"/>
      <c r="L159" s="6"/>
      <c r="M159" s="6"/>
      <c r="N159" s="6"/>
      <c r="O159" s="6"/>
    </row>
    <row r="160" spans="1:15" s="26" customFormat="1" ht="18.75" customHeight="1" x14ac:dyDescent="0.2">
      <c r="A160" s="25" t="s">
        <v>286</v>
      </c>
      <c r="B160" s="580" t="s">
        <v>404</v>
      </c>
      <c r="C160" s="581" t="s">
        <v>44</v>
      </c>
      <c r="D160" s="72" t="s">
        <v>4</v>
      </c>
      <c r="E160" s="408">
        <v>19</v>
      </c>
      <c r="F160" s="582">
        <f>'PREÇOS UNITÁRIOS'!E10</f>
        <v>0</v>
      </c>
      <c r="G160" s="582">
        <f t="shared" ref="G160:G165" si="2">F160*E160</f>
        <v>0</v>
      </c>
      <c r="H160" s="62"/>
      <c r="J160" s="6"/>
      <c r="K160" s="6"/>
      <c r="L160" s="6"/>
      <c r="M160" s="6"/>
      <c r="N160" s="6"/>
      <c r="O160" s="6"/>
    </row>
    <row r="161" spans="1:15" s="26" customFormat="1" ht="17.25" customHeight="1" x14ac:dyDescent="0.2">
      <c r="A161" s="25" t="s">
        <v>286</v>
      </c>
      <c r="B161" s="580" t="s">
        <v>405</v>
      </c>
      <c r="C161" s="581" t="s">
        <v>45</v>
      </c>
      <c r="D161" s="72" t="s">
        <v>4</v>
      </c>
      <c r="E161" s="408">
        <v>9.5</v>
      </c>
      <c r="F161" s="582">
        <f>'PREÇOS UNITÁRIOS'!E11</f>
        <v>0</v>
      </c>
      <c r="G161" s="582">
        <f t="shared" si="2"/>
        <v>0</v>
      </c>
      <c r="H161" s="62"/>
      <c r="J161" s="6"/>
      <c r="K161" s="6"/>
      <c r="L161" s="6"/>
      <c r="M161" s="6"/>
      <c r="N161" s="6"/>
      <c r="O161" s="6"/>
    </row>
    <row r="162" spans="1:15" s="26" customFormat="1" x14ac:dyDescent="0.2">
      <c r="A162" s="25" t="s">
        <v>286</v>
      </c>
      <c r="B162" s="580" t="s">
        <v>406</v>
      </c>
      <c r="C162" s="581" t="s">
        <v>48</v>
      </c>
      <c r="D162" s="72" t="s">
        <v>4</v>
      </c>
      <c r="E162" s="408">
        <v>9.5</v>
      </c>
      <c r="F162" s="582">
        <f>'PREÇOS UNITÁRIOS'!E12</f>
        <v>0</v>
      </c>
      <c r="G162" s="582">
        <f t="shared" si="2"/>
        <v>0</v>
      </c>
      <c r="H162" s="62"/>
      <c r="J162" s="6"/>
      <c r="K162" s="6"/>
      <c r="L162" s="6"/>
      <c r="M162" s="6"/>
      <c r="N162" s="6"/>
      <c r="O162" s="6"/>
    </row>
    <row r="163" spans="1:15" s="26" customFormat="1" x14ac:dyDescent="0.2">
      <c r="A163" s="25" t="s">
        <v>286</v>
      </c>
      <c r="B163" s="580" t="s">
        <v>407</v>
      </c>
      <c r="C163" s="581" t="s">
        <v>641</v>
      </c>
      <c r="D163" s="72" t="s">
        <v>4</v>
      </c>
      <c r="E163" s="408">
        <v>3.23</v>
      </c>
      <c r="F163" s="582">
        <f>'PREÇOS UNITÁRIOS'!E16</f>
        <v>0</v>
      </c>
      <c r="G163" s="582">
        <f t="shared" si="2"/>
        <v>0</v>
      </c>
      <c r="H163" s="62"/>
      <c r="J163" s="6"/>
      <c r="K163" s="6"/>
      <c r="L163" s="6"/>
      <c r="M163" s="6"/>
      <c r="N163" s="6"/>
      <c r="O163" s="6"/>
    </row>
    <row r="164" spans="1:15" s="26" customFormat="1" x14ac:dyDescent="0.2">
      <c r="A164" s="25"/>
      <c r="B164" s="580" t="s">
        <v>408</v>
      </c>
      <c r="C164" s="581" t="s">
        <v>122</v>
      </c>
      <c r="D164" s="72" t="s">
        <v>4</v>
      </c>
      <c r="E164" s="408">
        <v>8</v>
      </c>
      <c r="F164" s="582">
        <f>'PREÇOS UNITÁRIOS'!E18</f>
        <v>0</v>
      </c>
      <c r="G164" s="582">
        <f t="shared" si="2"/>
        <v>0</v>
      </c>
      <c r="H164" s="62"/>
      <c r="J164" s="6"/>
      <c r="K164" s="6"/>
      <c r="L164" s="6"/>
      <c r="M164" s="6"/>
      <c r="N164" s="6"/>
      <c r="O164" s="6"/>
    </row>
    <row r="165" spans="1:15" s="26" customFormat="1" x14ac:dyDescent="0.2">
      <c r="A165" s="25"/>
      <c r="B165" s="580" t="s">
        <v>409</v>
      </c>
      <c r="C165" s="581" t="s">
        <v>123</v>
      </c>
      <c r="D165" s="72" t="s">
        <v>4</v>
      </c>
      <c r="E165" s="408">
        <v>4.8</v>
      </c>
      <c r="F165" s="582">
        <f>'PREÇOS UNITÁRIOS'!E19</f>
        <v>0</v>
      </c>
      <c r="G165" s="582">
        <f t="shared" si="2"/>
        <v>0</v>
      </c>
      <c r="H165" s="62"/>
      <c r="J165" s="6"/>
      <c r="K165" s="6"/>
      <c r="L165" s="6"/>
      <c r="M165" s="6"/>
      <c r="N165" s="6"/>
      <c r="O165" s="6"/>
    </row>
    <row r="166" spans="1:15" s="26" customFormat="1" x14ac:dyDescent="0.2">
      <c r="A166" s="25"/>
      <c r="B166" s="616"/>
      <c r="C166" s="594"/>
      <c r="D166" s="594"/>
      <c r="E166" s="594"/>
      <c r="F166" s="163" t="s">
        <v>38</v>
      </c>
      <c r="G166" s="164">
        <f>SUM(G159:G165)</f>
        <v>0</v>
      </c>
      <c r="H166" s="595"/>
      <c r="J166" s="6"/>
      <c r="K166" s="6"/>
      <c r="L166" s="6"/>
      <c r="M166" s="6"/>
      <c r="N166" s="6"/>
      <c r="O166" s="6"/>
    </row>
    <row r="167" spans="1:15" s="26" customFormat="1" x14ac:dyDescent="0.2">
      <c r="A167" s="25"/>
      <c r="B167" s="13"/>
      <c r="C167" s="25"/>
      <c r="D167" s="25"/>
      <c r="E167" s="25"/>
      <c r="F167" s="25"/>
      <c r="G167" s="25"/>
      <c r="H167" s="59"/>
      <c r="J167" s="6"/>
      <c r="K167" s="6"/>
      <c r="L167" s="6"/>
      <c r="M167" s="6"/>
      <c r="N167" s="6"/>
      <c r="O167" s="6"/>
    </row>
    <row r="168" spans="1:15" s="26" customFormat="1" ht="14.25" x14ac:dyDescent="0.2">
      <c r="A168" s="25" t="s">
        <v>286</v>
      </c>
      <c r="B168" s="596" t="s">
        <v>78</v>
      </c>
      <c r="C168" s="597" t="s">
        <v>101</v>
      </c>
      <c r="D168" s="598"/>
      <c r="E168" s="598"/>
      <c r="F168" s="598"/>
      <c r="G168" s="598"/>
      <c r="H168" s="599"/>
      <c r="J168" s="6"/>
      <c r="K168" s="6"/>
      <c r="L168" s="6"/>
      <c r="M168" s="6"/>
      <c r="N168" s="6"/>
      <c r="O168" s="6"/>
    </row>
    <row r="169" spans="1:15" s="26" customFormat="1" x14ac:dyDescent="0.2">
      <c r="A169" s="25" t="s">
        <v>286</v>
      </c>
      <c r="B169" s="135" t="s">
        <v>306</v>
      </c>
      <c r="C169" s="171" t="s">
        <v>43</v>
      </c>
      <c r="D169" s="142" t="s">
        <v>4</v>
      </c>
      <c r="E169" s="181">
        <v>3</v>
      </c>
      <c r="F169" s="147">
        <f>'PREÇOS UNITÁRIOS'!E9</f>
        <v>0</v>
      </c>
      <c r="G169" s="172">
        <f>E169*F169</f>
        <v>0</v>
      </c>
      <c r="H169" s="22"/>
      <c r="J169" s="6"/>
      <c r="K169" s="6"/>
      <c r="L169" s="6"/>
      <c r="M169" s="6"/>
      <c r="N169" s="6"/>
      <c r="O169" s="6"/>
    </row>
    <row r="170" spans="1:15" s="26" customFormat="1" x14ac:dyDescent="0.2">
      <c r="A170" s="25" t="s">
        <v>286</v>
      </c>
      <c r="B170" s="13" t="s">
        <v>410</v>
      </c>
      <c r="C170" s="25" t="s">
        <v>44</v>
      </c>
      <c r="D170" s="28" t="s">
        <v>4</v>
      </c>
      <c r="E170" s="115">
        <v>3</v>
      </c>
      <c r="F170" s="103">
        <f>'PREÇOS UNITÁRIOS'!E10</f>
        <v>0</v>
      </c>
      <c r="G170" s="103">
        <f>E170*F170</f>
        <v>0</v>
      </c>
      <c r="H170" s="62"/>
      <c r="J170" s="6"/>
      <c r="K170" s="6"/>
      <c r="L170" s="6"/>
      <c r="M170" s="6"/>
      <c r="N170" s="6"/>
      <c r="O170" s="6"/>
    </row>
    <row r="171" spans="1:15" s="26" customFormat="1" x14ac:dyDescent="0.2">
      <c r="A171" s="25"/>
      <c r="B171" s="13" t="s">
        <v>411</v>
      </c>
      <c r="C171" s="25" t="s">
        <v>45</v>
      </c>
      <c r="D171" s="28" t="s">
        <v>4</v>
      </c>
      <c r="E171" s="115">
        <v>3</v>
      </c>
      <c r="F171" s="145">
        <f>'PREÇOS UNITÁRIOS'!E11</f>
        <v>0</v>
      </c>
      <c r="G171" s="103">
        <f t="shared" ref="G171:G176" si="3">E171*F171</f>
        <v>0</v>
      </c>
      <c r="H171" s="62"/>
      <c r="I171" s="355"/>
      <c r="J171" s="6"/>
      <c r="K171" s="6"/>
      <c r="L171" s="6"/>
      <c r="M171" s="6"/>
      <c r="N171" s="6"/>
      <c r="O171" s="6"/>
    </row>
    <row r="172" spans="1:15" s="26" customFormat="1" x14ac:dyDescent="0.2">
      <c r="A172" s="25"/>
      <c r="B172" s="13" t="s">
        <v>412</v>
      </c>
      <c r="C172" s="25" t="s">
        <v>48</v>
      </c>
      <c r="D172" s="28" t="s">
        <v>4</v>
      </c>
      <c r="E172" s="115">
        <v>3</v>
      </c>
      <c r="F172" s="145">
        <f>'PREÇOS UNITÁRIOS'!E12</f>
        <v>0</v>
      </c>
      <c r="G172" s="103">
        <f t="shared" si="3"/>
        <v>0</v>
      </c>
      <c r="H172" s="62"/>
    </row>
    <row r="173" spans="1:15" s="26" customFormat="1" x14ac:dyDescent="0.2">
      <c r="A173" s="25"/>
      <c r="B173" s="13" t="s">
        <v>413</v>
      </c>
      <c r="C173" s="25" t="s">
        <v>46</v>
      </c>
      <c r="D173" s="28" t="s">
        <v>4</v>
      </c>
      <c r="E173" s="115">
        <v>3</v>
      </c>
      <c r="F173" s="145">
        <f>'PREÇOS UNITÁRIOS'!E13</f>
        <v>0</v>
      </c>
      <c r="G173" s="103">
        <f t="shared" si="3"/>
        <v>0</v>
      </c>
      <c r="H173" s="62"/>
      <c r="J173" s="6"/>
      <c r="K173" s="6"/>
      <c r="L173" s="6"/>
      <c r="M173" s="6"/>
      <c r="N173" s="6"/>
      <c r="O173" s="6"/>
    </row>
    <row r="174" spans="1:15" s="26" customFormat="1" x14ac:dyDescent="0.2">
      <c r="A174" s="25" t="s">
        <v>286</v>
      </c>
      <c r="B174" s="13" t="s">
        <v>414</v>
      </c>
      <c r="C174" s="25" t="s">
        <v>87</v>
      </c>
      <c r="D174" s="28" t="s">
        <v>4</v>
      </c>
      <c r="E174" s="115">
        <v>3</v>
      </c>
      <c r="F174" s="145">
        <f>'PREÇOS UNITÁRIOS'!E14</f>
        <v>0</v>
      </c>
      <c r="G174" s="103">
        <f t="shared" si="3"/>
        <v>0</v>
      </c>
      <c r="H174" s="62"/>
      <c r="J174" s="6"/>
      <c r="K174" s="6"/>
      <c r="L174" s="6"/>
      <c r="M174" s="6"/>
      <c r="N174" s="6"/>
      <c r="O174" s="6"/>
    </row>
    <row r="175" spans="1:15" s="26" customFormat="1" x14ac:dyDescent="0.2">
      <c r="A175" s="25" t="s">
        <v>286</v>
      </c>
      <c r="B175" s="13" t="s">
        <v>415</v>
      </c>
      <c r="C175" s="25" t="s">
        <v>131</v>
      </c>
      <c r="D175" s="28" t="s">
        <v>4</v>
      </c>
      <c r="E175" s="115">
        <v>3</v>
      </c>
      <c r="F175" s="103">
        <f>'PREÇOS UNITÁRIOS'!E15</f>
        <v>0</v>
      </c>
      <c r="G175" s="103">
        <f t="shared" si="3"/>
        <v>0</v>
      </c>
      <c r="H175" s="62"/>
      <c r="J175" s="6"/>
      <c r="L175" s="6"/>
      <c r="M175" s="6"/>
      <c r="N175" s="6"/>
      <c r="O175" s="6"/>
    </row>
    <row r="176" spans="1:15" x14ac:dyDescent="0.2">
      <c r="A176" s="25" t="s">
        <v>286</v>
      </c>
      <c r="B176" s="13" t="s">
        <v>416</v>
      </c>
      <c r="C176" s="25" t="s">
        <v>122</v>
      </c>
      <c r="D176" s="28" t="s">
        <v>4</v>
      </c>
      <c r="E176" s="115">
        <v>3</v>
      </c>
      <c r="F176" s="145">
        <f>'PREÇOS UNITÁRIOS'!E18</f>
        <v>0</v>
      </c>
      <c r="G176" s="103">
        <f t="shared" si="3"/>
        <v>0</v>
      </c>
      <c r="H176" s="62"/>
    </row>
    <row r="177" spans="1:13" x14ac:dyDescent="0.2">
      <c r="A177" s="25" t="s">
        <v>286</v>
      </c>
      <c r="B177" s="13" t="s">
        <v>417</v>
      </c>
      <c r="C177" s="25" t="s">
        <v>123</v>
      </c>
      <c r="D177" s="28" t="s">
        <v>4</v>
      </c>
      <c r="E177" s="115">
        <v>3</v>
      </c>
      <c r="F177" s="55">
        <f>'PREÇOS UNITÁRIOS'!E19</f>
        <v>0</v>
      </c>
      <c r="G177" s="103">
        <f>F177*E177</f>
        <v>0</v>
      </c>
      <c r="H177" s="62"/>
      <c r="J177" s="17"/>
      <c r="K177" s="18"/>
    </row>
    <row r="178" spans="1:13" x14ac:dyDescent="0.2">
      <c r="B178" s="616"/>
      <c r="C178" s="594"/>
      <c r="D178" s="594"/>
      <c r="E178" s="594"/>
      <c r="F178" s="163" t="s">
        <v>38</v>
      </c>
      <c r="G178" s="164">
        <f>SUM(G169:G177)</f>
        <v>0</v>
      </c>
      <c r="H178" s="595"/>
    </row>
    <row r="179" spans="1:13" x14ac:dyDescent="0.2">
      <c r="B179" s="13"/>
      <c r="C179" s="25"/>
      <c r="D179" s="25"/>
      <c r="E179" s="115"/>
      <c r="F179" s="146"/>
      <c r="G179" s="103"/>
      <c r="H179" s="62"/>
      <c r="I179" s="31"/>
      <c r="J179" s="17"/>
    </row>
    <row r="180" spans="1:13" ht="14.25" x14ac:dyDescent="0.2">
      <c r="B180" s="588" t="s">
        <v>110</v>
      </c>
      <c r="C180" s="589" t="s">
        <v>47</v>
      </c>
      <c r="D180" s="590"/>
      <c r="E180" s="590"/>
      <c r="F180" s="590"/>
      <c r="G180" s="590"/>
      <c r="H180" s="591"/>
      <c r="J180" s="17"/>
    </row>
    <row r="181" spans="1:13" x14ac:dyDescent="0.2">
      <c r="B181" s="13" t="s">
        <v>307</v>
      </c>
      <c r="C181" s="25" t="s">
        <v>43</v>
      </c>
      <c r="D181" s="28" t="s">
        <v>4</v>
      </c>
      <c r="E181" s="115">
        <f t="array" ref="E181:E188">TRANSPOSE('DADOS DE ENTRADA'!C169:J169)</f>
        <v>21</v>
      </c>
      <c r="F181" s="145">
        <f>'PREÇOS UNITÁRIOS'!E9</f>
        <v>0</v>
      </c>
      <c r="G181" s="145">
        <f>E181*F181</f>
        <v>0</v>
      </c>
      <c r="H181" s="62"/>
      <c r="I181" s="60"/>
      <c r="J181" s="26"/>
      <c r="K181" s="26"/>
      <c r="L181" s="26"/>
      <c r="M181" s="26"/>
    </row>
    <row r="182" spans="1:13" x14ac:dyDescent="0.2">
      <c r="B182" s="13" t="s">
        <v>418</v>
      </c>
      <c r="C182" s="25" t="s">
        <v>44</v>
      </c>
      <c r="D182" s="28" t="s">
        <v>4</v>
      </c>
      <c r="E182" s="115">
        <v>42</v>
      </c>
      <c r="F182" s="145">
        <f>'PREÇOS UNITÁRIOS'!E10</f>
        <v>0</v>
      </c>
      <c r="G182" s="145">
        <f t="shared" ref="G182:G188" si="4">E182*F182</f>
        <v>0</v>
      </c>
      <c r="H182" s="62"/>
      <c r="J182" s="26"/>
      <c r="K182" s="26"/>
      <c r="L182" s="26"/>
      <c r="M182" s="26"/>
    </row>
    <row r="183" spans="1:13" x14ac:dyDescent="0.2">
      <c r="B183" s="13" t="s">
        <v>419</v>
      </c>
      <c r="C183" s="25" t="s">
        <v>121</v>
      </c>
      <c r="D183" s="28" t="s">
        <v>4</v>
      </c>
      <c r="E183" s="115">
        <v>21</v>
      </c>
      <c r="F183" s="145">
        <f>'PREÇOS UNITÁRIOS'!E11</f>
        <v>0</v>
      </c>
      <c r="G183" s="145">
        <f t="shared" si="4"/>
        <v>0</v>
      </c>
      <c r="H183" s="62"/>
      <c r="I183" s="278"/>
      <c r="J183" s="26"/>
      <c r="K183" s="26"/>
      <c r="L183" s="26"/>
      <c r="M183" s="26"/>
    </row>
    <row r="184" spans="1:13" x14ac:dyDescent="0.2">
      <c r="B184" s="13" t="s">
        <v>420</v>
      </c>
      <c r="C184" s="25" t="s">
        <v>48</v>
      </c>
      <c r="D184" s="28" t="s">
        <v>4</v>
      </c>
      <c r="E184" s="115">
        <v>21</v>
      </c>
      <c r="F184" s="145">
        <f>'PREÇOS UNITÁRIOS'!E12</f>
        <v>0</v>
      </c>
      <c r="G184" s="145">
        <f t="shared" si="4"/>
        <v>0</v>
      </c>
      <c r="H184" s="62"/>
      <c r="I184" s="25"/>
      <c r="J184" s="26"/>
      <c r="K184" s="26"/>
      <c r="L184" s="26"/>
      <c r="M184" s="26"/>
    </row>
    <row r="185" spans="1:13" x14ac:dyDescent="0.2">
      <c r="B185" s="13" t="s">
        <v>421</v>
      </c>
      <c r="C185" s="25" t="s">
        <v>87</v>
      </c>
      <c r="D185" s="28" t="s">
        <v>4</v>
      </c>
      <c r="E185" s="115">
        <v>42</v>
      </c>
      <c r="F185" s="145">
        <f>'PREÇOS UNITÁRIOS'!E16</f>
        <v>0</v>
      </c>
      <c r="G185" s="145">
        <f t="shared" si="4"/>
        <v>0</v>
      </c>
      <c r="H185" s="62"/>
      <c r="I185" s="355"/>
      <c r="J185" s="32"/>
      <c r="K185" s="26"/>
      <c r="L185" s="26"/>
      <c r="M185" s="26"/>
    </row>
    <row r="186" spans="1:13" x14ac:dyDescent="0.2">
      <c r="B186" s="13" t="s">
        <v>422</v>
      </c>
      <c r="C186" s="25" t="s">
        <v>49</v>
      </c>
      <c r="D186" s="28" t="s">
        <v>4</v>
      </c>
      <c r="E186" s="115">
        <v>42</v>
      </c>
      <c r="F186" s="145">
        <f>'PREÇOS UNITÁRIOS'!E17</f>
        <v>0</v>
      </c>
      <c r="G186" s="145">
        <f t="shared" si="4"/>
        <v>0</v>
      </c>
      <c r="H186" s="62"/>
      <c r="I186" s="60"/>
      <c r="J186" s="32"/>
      <c r="K186" s="26"/>
      <c r="L186" s="26"/>
      <c r="M186" s="26"/>
    </row>
    <row r="187" spans="1:13" x14ac:dyDescent="0.2">
      <c r="B187" s="13" t="s">
        <v>423</v>
      </c>
      <c r="C187" s="25" t="s">
        <v>122</v>
      </c>
      <c r="D187" s="28" t="s">
        <v>4</v>
      </c>
      <c r="E187" s="115">
        <v>21</v>
      </c>
      <c r="F187" s="145">
        <f>'PREÇOS UNITÁRIOS'!E18</f>
        <v>0</v>
      </c>
      <c r="G187" s="145">
        <f>E187*F187</f>
        <v>0</v>
      </c>
      <c r="H187" s="62"/>
      <c r="I187" s="60"/>
      <c r="J187" s="279"/>
      <c r="K187" s="26"/>
      <c r="L187" s="26"/>
      <c r="M187" s="26"/>
    </row>
    <row r="188" spans="1:13" x14ac:dyDescent="0.2">
      <c r="B188" s="130" t="s">
        <v>424</v>
      </c>
      <c r="C188" s="131" t="s">
        <v>123</v>
      </c>
      <c r="D188" s="132" t="s">
        <v>4</v>
      </c>
      <c r="E188" s="306">
        <v>12.6</v>
      </c>
      <c r="F188" s="148">
        <f>'PREÇOS UNITÁRIOS'!E19</f>
        <v>0</v>
      </c>
      <c r="G188" s="148">
        <f t="shared" si="4"/>
        <v>0</v>
      </c>
      <c r="H188" s="64"/>
      <c r="I188" s="60"/>
      <c r="J188" s="32"/>
      <c r="K188" s="26"/>
      <c r="L188" s="26"/>
      <c r="M188" s="26"/>
    </row>
    <row r="189" spans="1:13" x14ac:dyDescent="0.2">
      <c r="B189" s="623"/>
      <c r="C189" s="624"/>
      <c r="D189" s="624"/>
      <c r="E189" s="624"/>
      <c r="F189" s="156" t="s">
        <v>38</v>
      </c>
      <c r="G189" s="157">
        <f>SUM(G181:G188)</f>
        <v>0</v>
      </c>
      <c r="H189" s="625"/>
      <c r="I189" s="60"/>
      <c r="J189" s="32"/>
      <c r="K189" s="32"/>
      <c r="L189" s="26"/>
      <c r="M189" s="26"/>
    </row>
    <row r="190" spans="1:13" ht="14.25" x14ac:dyDescent="0.2">
      <c r="B190" s="626"/>
      <c r="C190" s="619"/>
      <c r="D190" s="619"/>
      <c r="E190" s="619" t="s">
        <v>308</v>
      </c>
      <c r="F190" s="619"/>
      <c r="G190" s="619">
        <f>G189+G178+G166</f>
        <v>0</v>
      </c>
      <c r="H190" s="627"/>
      <c r="I190" s="383"/>
      <c r="J190" s="32"/>
      <c r="K190" s="26"/>
      <c r="L190" s="26"/>
      <c r="M190" s="26"/>
    </row>
    <row r="191" spans="1:13" ht="14.25" x14ac:dyDescent="0.2">
      <c r="B191" s="628"/>
      <c r="C191" s="629"/>
      <c r="D191" s="629"/>
      <c r="E191" s="629"/>
      <c r="F191" s="629"/>
      <c r="G191" s="629"/>
      <c r="H191" s="630"/>
      <c r="I191" s="60"/>
      <c r="J191" s="17"/>
    </row>
    <row r="192" spans="1:13" ht="14.25" x14ac:dyDescent="0.2">
      <c r="B192" s="626"/>
      <c r="C192" s="619"/>
      <c r="D192" s="619"/>
      <c r="E192" s="619" t="s">
        <v>644</v>
      </c>
      <c r="F192" s="619"/>
      <c r="G192" s="619">
        <f>G150+G86+G190</f>
        <v>0</v>
      </c>
      <c r="H192" s="627"/>
      <c r="I192" s="17"/>
      <c r="J192" s="17"/>
    </row>
    <row r="193" spans="1:12" x14ac:dyDescent="0.2">
      <c r="B193" s="448"/>
      <c r="C193" s="414"/>
      <c r="D193" s="414"/>
      <c r="E193" s="449"/>
      <c r="F193" s="449"/>
      <c r="G193" s="414"/>
      <c r="H193" s="450"/>
      <c r="I193" s="60"/>
      <c r="J193" s="17"/>
    </row>
    <row r="194" spans="1:12" ht="14.25" x14ac:dyDescent="0.2">
      <c r="B194" s="604" t="s">
        <v>40</v>
      </c>
      <c r="C194" s="605" t="s">
        <v>6</v>
      </c>
      <c r="D194" s="606"/>
      <c r="E194" s="606"/>
      <c r="F194" s="606"/>
      <c r="G194" s="606"/>
      <c r="H194" s="607"/>
      <c r="I194" s="60"/>
      <c r="J194" s="17"/>
    </row>
    <row r="195" spans="1:12" ht="14.25" x14ac:dyDescent="0.2">
      <c r="B195" s="608"/>
      <c r="C195" s="609"/>
      <c r="D195" s="610"/>
      <c r="E195" s="610"/>
      <c r="F195" s="610"/>
      <c r="G195" s="610"/>
      <c r="H195" s="611"/>
      <c r="I195" s="60"/>
      <c r="J195" s="17"/>
      <c r="L195" s="263"/>
    </row>
    <row r="196" spans="1:12" ht="14.25" x14ac:dyDescent="0.2">
      <c r="B196" s="586" t="s">
        <v>7</v>
      </c>
      <c r="C196" s="260" t="s">
        <v>8</v>
      </c>
      <c r="D196" s="251" t="s">
        <v>9</v>
      </c>
      <c r="E196" s="251" t="s">
        <v>10</v>
      </c>
      <c r="F196" s="251" t="s">
        <v>11</v>
      </c>
      <c r="G196" s="251" t="s">
        <v>12</v>
      </c>
      <c r="H196" s="587"/>
      <c r="I196" s="60"/>
      <c r="J196" s="17"/>
      <c r="L196" s="263"/>
    </row>
    <row r="197" spans="1:12" s="26" customFormat="1" ht="14.25" x14ac:dyDescent="0.2">
      <c r="A197" s="25"/>
      <c r="B197" s="596" t="s">
        <v>98</v>
      </c>
      <c r="C197" s="597" t="s">
        <v>13</v>
      </c>
      <c r="D197" s="598"/>
      <c r="E197" s="598"/>
      <c r="F197" s="598"/>
      <c r="G197" s="598"/>
      <c r="H197" s="599"/>
      <c r="I197" s="60"/>
      <c r="J197" s="32"/>
      <c r="L197" s="355"/>
    </row>
    <row r="198" spans="1:12" ht="38.25" x14ac:dyDescent="0.2">
      <c r="B198" s="474" t="str">
        <f>IF(C198="","",$B$197&amp;"."&amp;COUNT($F$198:F198))</f>
        <v>4.1.1</v>
      </c>
      <c r="C198" s="461" t="str">
        <f>'DADOS DE ENTRADA'!B173</f>
        <v>Caminhão para caçamba coletora compactadora com capacidade mínima de 15 m³ - Opreando em 3 turnos</v>
      </c>
      <c r="D198" s="462" t="s">
        <v>4</v>
      </c>
      <c r="E198" s="137">
        <f>SUMIFS('DADOS DE ENTRADA'!E:E,'DADOS DE ENTRADA'!A:A,'COLETA URBANA '!A160,'DADOS DE ENTRADA'!B:B,'COLETA URBANA '!C198)</f>
        <v>2</v>
      </c>
      <c r="F198" s="165">
        <f>'PREÇOS UNITÁRIOS'!E33</f>
        <v>0</v>
      </c>
      <c r="G198" s="165">
        <f>E198*F198</f>
        <v>0</v>
      </c>
      <c r="H198" s="463"/>
      <c r="I198" s="60"/>
      <c r="J198" s="17"/>
      <c r="L198" s="263"/>
    </row>
    <row r="199" spans="1:12" s="26" customFormat="1" ht="38.25" x14ac:dyDescent="0.2">
      <c r="A199" s="25"/>
      <c r="B199" s="475" t="str">
        <f>IF(C199="","",$B$197&amp;"."&amp;COUNT($F$198:F199))</f>
        <v>4.1.2</v>
      </c>
      <c r="C199" s="459" t="str">
        <f>'DADOS DE ENTRADA'!B174</f>
        <v>Caminhão para caçamba coletora compactadora com capacidade mínima de 15 m³ - Opreando em 2 turnos</v>
      </c>
      <c r="D199" s="288" t="s">
        <v>4</v>
      </c>
      <c r="E199" s="72">
        <f>SUMIFS('DADOS DE ENTRADA'!E:E,'DADOS DE ENTRADA'!A:A,'COLETA URBANA '!A161,'DADOS DE ENTRADA'!B:B,'COLETA URBANA '!C199)</f>
        <v>4</v>
      </c>
      <c r="F199" s="166">
        <f>'PREÇOS UNITÁRIOS'!E33</f>
        <v>0</v>
      </c>
      <c r="G199" s="166">
        <f t="shared" ref="G199:G208" si="5">E199*F199</f>
        <v>0</v>
      </c>
      <c r="H199" s="460"/>
      <c r="I199" s="60"/>
      <c r="J199" s="32"/>
    </row>
    <row r="200" spans="1:12" ht="25.5" x14ac:dyDescent="0.2">
      <c r="B200" s="475" t="str">
        <f>IF(C200="","",$B$197&amp;"."&amp;COUNT($F$198:F200))</f>
        <v>4.1.3</v>
      </c>
      <c r="C200" s="459" t="str">
        <f>'DADOS DE ENTRADA'!B176</f>
        <v xml:space="preserve">Caminhão para caçamba coletora compactadora com capacidade mínima de 15 m³ - Reserva </v>
      </c>
      <c r="D200" s="288" t="s">
        <v>4</v>
      </c>
      <c r="E200" s="72">
        <f>SUMIFS('DADOS DE ENTRADA'!E:E,'DADOS DE ENTRADA'!A:A,'COLETA URBANA '!A162,'DADOS DE ENTRADA'!B:B,'COLETA URBANA '!C200)</f>
        <v>2</v>
      </c>
      <c r="F200" s="166">
        <f>'PREÇOS UNITÁRIOS'!E33</f>
        <v>0</v>
      </c>
      <c r="G200" s="166">
        <f t="shared" si="5"/>
        <v>0</v>
      </c>
      <c r="H200" s="460"/>
    </row>
    <row r="201" spans="1:12" ht="38.25" x14ac:dyDescent="0.2">
      <c r="B201" s="475" t="str">
        <f>IF(C201="","",$B$197&amp;"."&amp;COUNT($F$198:F201))</f>
        <v>4.1.4</v>
      </c>
      <c r="C201" s="122" t="str">
        <f>'DADOS DE ENTRADA'!B177</f>
        <v>Caminhão para caçamba coletora de pequeno porte com capacidade mínima de 6 m³, para locais de difícil acesso - Operando em 2 turnos</v>
      </c>
      <c r="D201" s="72" t="s">
        <v>4</v>
      </c>
      <c r="E201" s="72">
        <f>SUMIFS('DADOS DE ENTRADA'!E:E,'DADOS DE ENTRADA'!A:A,'COLETA URBANA '!A163,'DADOS DE ENTRADA'!B:B,'COLETA URBANA '!C201)</f>
        <v>1</v>
      </c>
      <c r="F201" s="166">
        <f>'PREÇOS UNITÁRIOS'!E34</f>
        <v>0</v>
      </c>
      <c r="G201" s="166">
        <f t="shared" si="5"/>
        <v>0</v>
      </c>
      <c r="H201" s="464"/>
      <c r="I201" s="60"/>
      <c r="J201" s="17"/>
    </row>
    <row r="202" spans="1:12" ht="25.5" x14ac:dyDescent="0.2">
      <c r="B202" s="475" t="str">
        <f>IF(C202="","",$B$197&amp;"."&amp;COUNT($F$198:F202))</f>
        <v>4.1.5</v>
      </c>
      <c r="C202" s="459" t="str">
        <f>'DADOS DE ENTRADA'!B182</f>
        <v>Caçamba compactadora de 15m³ - operando em 3 turnos</v>
      </c>
      <c r="D202" s="288" t="s">
        <v>4</v>
      </c>
      <c r="E202" s="72">
        <f>SUMIFS('DADOS DE ENTRADA'!E:E,'DADOS DE ENTRADA'!A:A,'COLETA URBANA '!A160,'DADOS DE ENTRADA'!B:B,'COLETA URBANA '!C202)</f>
        <v>2</v>
      </c>
      <c r="F202" s="166">
        <f>'PREÇOS UNITÁRIOS'!E35</f>
        <v>0</v>
      </c>
      <c r="G202" s="166">
        <f t="shared" si="5"/>
        <v>0</v>
      </c>
      <c r="H202" s="460"/>
      <c r="I202" s="56"/>
      <c r="J202" s="264"/>
      <c r="K202" s="263"/>
    </row>
    <row r="203" spans="1:12" ht="25.5" x14ac:dyDescent="0.2">
      <c r="B203" s="475" t="str">
        <f>IF(C203="","",$B$197&amp;"."&amp;COUNT($F$198:F203))</f>
        <v>4.1.6</v>
      </c>
      <c r="C203" s="459" t="str">
        <f>'DADOS DE ENTRADA'!B183</f>
        <v>Caçamba compactadora de 15m³- operando em 2 turnos</v>
      </c>
      <c r="D203" s="288" t="s">
        <v>4</v>
      </c>
      <c r="E203" s="72">
        <f>SUMIFS('DADOS DE ENTRADA'!E:E,'DADOS DE ENTRADA'!A:A,'COLETA URBANA '!A161,'DADOS DE ENTRADA'!B:B,'COLETA URBANA '!C203)</f>
        <v>4</v>
      </c>
      <c r="F203" s="166">
        <f>'PREÇOS UNITÁRIOS'!E35</f>
        <v>0</v>
      </c>
      <c r="G203" s="166">
        <f t="shared" si="5"/>
        <v>0</v>
      </c>
      <c r="H203" s="460"/>
      <c r="I203" s="56"/>
      <c r="J203" s="17"/>
    </row>
    <row r="204" spans="1:12" x14ac:dyDescent="0.2">
      <c r="B204" s="475" t="str">
        <f>IF(C204="","",$B$197&amp;"."&amp;COUNT($F$198:F204))</f>
        <v>4.1.7</v>
      </c>
      <c r="C204" s="459" t="str">
        <f>'DADOS DE ENTRADA'!B185</f>
        <v xml:space="preserve">Caçamba compactadora de 15m³ - Reserva </v>
      </c>
      <c r="D204" s="288" t="s">
        <v>4</v>
      </c>
      <c r="E204" s="72">
        <f>SUMIFS('DADOS DE ENTRADA'!E:E,'DADOS DE ENTRADA'!A:A,'COLETA URBANA '!A162,'DADOS DE ENTRADA'!B:B,'COLETA URBANA '!C204)</f>
        <v>2</v>
      </c>
      <c r="F204" s="166">
        <f>'PREÇOS UNITÁRIOS'!E35</f>
        <v>0</v>
      </c>
      <c r="G204" s="166">
        <f t="shared" si="5"/>
        <v>0</v>
      </c>
      <c r="H204" s="460"/>
      <c r="I204" s="56"/>
    </row>
    <row r="205" spans="1:12" ht="25.5" x14ac:dyDescent="0.2">
      <c r="B205" s="475" t="str">
        <f>IF(C205="","",$B$197&amp;"."&amp;COUNT($F$198:F205))</f>
        <v>4.1.8</v>
      </c>
      <c r="C205" s="459" t="str">
        <f>'DADOS DE ENTRADA'!B186</f>
        <v>Caçamba compactadora PP de 6m³ - operando em 2 turnos</v>
      </c>
      <c r="D205" s="288" t="s">
        <v>4</v>
      </c>
      <c r="E205" s="72">
        <f>SUMIFS('DADOS DE ENTRADA'!E:E,'DADOS DE ENTRADA'!A:A,'COLETA URBANA '!A163,'DADOS DE ENTRADA'!B:B,'COLETA URBANA '!C205)</f>
        <v>1</v>
      </c>
      <c r="F205" s="166">
        <f>'PREÇOS UNITÁRIOS'!E36</f>
        <v>0</v>
      </c>
      <c r="G205" s="166">
        <f t="shared" si="5"/>
        <v>0</v>
      </c>
      <c r="H205" s="460"/>
      <c r="I205" s="53"/>
    </row>
    <row r="206" spans="1:12" ht="25.5" x14ac:dyDescent="0.2">
      <c r="B206" s="475" t="str">
        <f>IF(C206="","",$B$197&amp;"."&amp;COUNT($F$198:F206))</f>
        <v>4.1.9</v>
      </c>
      <c r="C206" s="122" t="str">
        <f>'DADOS DE ENTRADA'!B178</f>
        <v>Dispositivo para coleta mecanizada (conteinerizada) em 3 turnos</v>
      </c>
      <c r="D206" s="72" t="s">
        <v>4</v>
      </c>
      <c r="E206" s="72">
        <f>SUMIFS('DADOS DE ENTRADA'!E:E,'DADOS DE ENTRADA'!A:A,'COLETA URBANA '!A168,'DADOS DE ENTRADA'!B:B,'COLETA URBANA '!C206)</f>
        <v>2</v>
      </c>
      <c r="F206" s="166">
        <f>'PREÇOS UNITÁRIOS'!E37</f>
        <v>0</v>
      </c>
      <c r="G206" s="166">
        <f t="shared" si="5"/>
        <v>0</v>
      </c>
      <c r="H206" s="460"/>
      <c r="I206" s="25"/>
    </row>
    <row r="207" spans="1:12" ht="25.5" x14ac:dyDescent="0.2">
      <c r="B207" s="475" t="str">
        <f>IF(C207="","",$B$197&amp;"."&amp;COUNT($F$198:F207))</f>
        <v>4.1.10</v>
      </c>
      <c r="C207" s="122" t="str">
        <f>'DADOS DE ENTRADA'!B179</f>
        <v>Dispositivo para coleta mecanizada (conteinerizada) em 2 turnos</v>
      </c>
      <c r="D207" s="72" t="s">
        <v>4</v>
      </c>
      <c r="E207" s="72">
        <f>SUMIFS('DADOS DE ENTRADA'!E:E,'DADOS DE ENTRADA'!A:A,'COLETA URBANA '!A169,'DADOS DE ENTRADA'!B:B,'COLETA URBANA '!C207)</f>
        <v>3</v>
      </c>
      <c r="F207" s="166">
        <f>'PREÇOS UNITÁRIOS'!E37</f>
        <v>0</v>
      </c>
      <c r="G207" s="166">
        <f t="shared" si="5"/>
        <v>0</v>
      </c>
      <c r="H207" s="460"/>
      <c r="I207" s="25"/>
    </row>
    <row r="208" spans="1:12" ht="25.5" x14ac:dyDescent="0.2">
      <c r="B208" s="475" t="str">
        <f>IF(C208="","",$B$197&amp;"."&amp;COUNT($F$198:F208))</f>
        <v>4.1.11</v>
      </c>
      <c r="C208" s="122" t="str">
        <f>'DADOS DE ENTRADA'!B181</f>
        <v>Dispositivo para coleta mecanizada (conteinerizada) - Reserva</v>
      </c>
      <c r="D208" s="72" t="s">
        <v>4</v>
      </c>
      <c r="E208" s="72">
        <f>SUMIFS('DADOS DE ENTRADA'!E:E,'DADOS DE ENTRADA'!A:A,'COLETA URBANA '!A170,'DADOS DE ENTRADA'!B:B,'COLETA URBANA '!C208)</f>
        <v>2</v>
      </c>
      <c r="F208" s="166">
        <f>'PREÇOS UNITÁRIOS'!E37</f>
        <v>0</v>
      </c>
      <c r="G208" s="166">
        <f t="shared" si="5"/>
        <v>0</v>
      </c>
      <c r="H208" s="460"/>
      <c r="I208" s="25"/>
    </row>
    <row r="209" spans="1:15" x14ac:dyDescent="0.2">
      <c r="B209" s="616"/>
      <c r="C209" s="594"/>
      <c r="D209" s="594"/>
      <c r="E209" s="594"/>
      <c r="F209" s="163" t="s">
        <v>38</v>
      </c>
      <c r="G209" s="164">
        <f>SUM(G198:G208)</f>
        <v>0</v>
      </c>
      <c r="H209" s="631"/>
      <c r="I209" s="25"/>
    </row>
    <row r="210" spans="1:15" x14ac:dyDescent="0.2">
      <c r="B210" s="192"/>
      <c r="C210" s="192"/>
      <c r="D210" s="192"/>
      <c r="E210" s="192"/>
      <c r="F210" s="92"/>
      <c r="G210" s="150"/>
      <c r="H210" s="192"/>
      <c r="I210" s="25"/>
    </row>
    <row r="211" spans="1:15" ht="14.25" x14ac:dyDescent="0.2">
      <c r="B211" s="588" t="s">
        <v>97</v>
      </c>
      <c r="C211" s="589" t="s">
        <v>389</v>
      </c>
      <c r="D211" s="590"/>
      <c r="E211" s="590"/>
      <c r="F211" s="590"/>
      <c r="G211" s="590"/>
      <c r="H211" s="591"/>
      <c r="I211" s="145"/>
    </row>
    <row r="212" spans="1:15" x14ac:dyDescent="0.2">
      <c r="B212" s="175" t="str">
        <f>IF(C212="","",$B$211&amp;"."&amp;COUNT($F$212:F212))</f>
        <v>4.2.1</v>
      </c>
      <c r="C212" s="12" t="str">
        <f>'DADOS DE ENTRADA'!B187</f>
        <v>Veículo de apoio tipo picape.</v>
      </c>
      <c r="D212" s="14" t="s">
        <v>4</v>
      </c>
      <c r="E212" s="408">
        <f>SUMIFS('DADOS DE ENTRADA'!E:E,'DADOS DE ENTRADA'!A:A,'COLETA URBANA '!A174,'DADOS DE ENTRADA'!B:B,'COLETA URBANA '!C212)</f>
        <v>1</v>
      </c>
      <c r="F212" s="145">
        <f>'PREÇOS UNITÁRIOS'!E38</f>
        <v>0</v>
      </c>
      <c r="G212" s="145">
        <f>E212*F212</f>
        <v>0</v>
      </c>
      <c r="H212" s="11"/>
      <c r="I212" s="25"/>
    </row>
    <row r="213" spans="1:15" x14ac:dyDescent="0.2">
      <c r="B213" s="175" t="str">
        <f>IF(C213="","",$B$211&amp;"."&amp;COUNT($F$212:F213))</f>
        <v>4.2.2</v>
      </c>
      <c r="C213" s="12" t="str">
        <f>'DADOS DE ENTRADA'!B188</f>
        <v>Veículo de apoio tipo picape, para suporte na distribuição de sacos verdes.</v>
      </c>
      <c r="D213" s="14" t="s">
        <v>4</v>
      </c>
      <c r="E213" s="72">
        <f>SUMIFS('DADOS DE ENTRADA'!E:E,'DADOS DE ENTRADA'!A:A,'COLETA URBANA '!A175,'DADOS DE ENTRADA'!B:B,'COLETA URBANA '!C213)</f>
        <v>0</v>
      </c>
      <c r="F213" s="145">
        <f>'PREÇOS UNITÁRIOS'!E38</f>
        <v>0</v>
      </c>
      <c r="G213" s="145">
        <f>E213*F213</f>
        <v>0</v>
      </c>
      <c r="H213" s="11"/>
      <c r="I213" s="25"/>
    </row>
    <row r="214" spans="1:15" x14ac:dyDescent="0.2">
      <c r="B214" s="175" t="str">
        <f>IF(C214="","",$B$211&amp;"."&amp;COUNT($F$212:F214))</f>
        <v>4.2.3</v>
      </c>
      <c r="C214" s="12" t="str">
        <f>'DADOS DE ENTRADA'!B189</f>
        <v>Motocicleta cilindrada mínima 125 cc.</v>
      </c>
      <c r="D214" s="14" t="s">
        <v>4</v>
      </c>
      <c r="E214" s="408">
        <f>SUMIFS('DADOS DE ENTRADA'!E:E,'DADOS DE ENTRADA'!A:A,'COLETA URBANA '!A176,'DADOS DE ENTRADA'!B:B,'COLETA URBANA '!C214)</f>
        <v>1</v>
      </c>
      <c r="F214" s="145">
        <f>'PREÇOS UNITÁRIOS'!E39</f>
        <v>0</v>
      </c>
      <c r="G214" s="145">
        <f>E214*F214</f>
        <v>0</v>
      </c>
      <c r="H214" s="9"/>
      <c r="I214" s="28"/>
    </row>
    <row r="215" spans="1:15" x14ac:dyDescent="0.2">
      <c r="B215" s="343" t="str">
        <f>IF(C215="","",$B$211&amp;"."&amp;COUNT($F$212:F215))</f>
        <v>4.2.4</v>
      </c>
      <c r="C215" s="139" t="str">
        <f>'DADOS DE ENTRADA'!B190</f>
        <v>Motocicleta cilindrada mínima 125 cc reserva</v>
      </c>
      <c r="D215" s="140" t="s">
        <v>4</v>
      </c>
      <c r="E215" s="349">
        <f>SUMIFS('DADOS DE ENTRADA'!E:E,'DADOS DE ENTRADA'!A:A,'COLETA URBANA '!A177,'DADOS DE ENTRADA'!B:B,'COLETA URBANA '!C215)</f>
        <v>1</v>
      </c>
      <c r="F215" s="148">
        <f>'PREÇOS UNITÁRIOS'!E39</f>
        <v>0</v>
      </c>
      <c r="G215" s="148">
        <f>E215*F215</f>
        <v>0</v>
      </c>
      <c r="H215" s="141"/>
      <c r="I215" s="63"/>
    </row>
    <row r="216" spans="1:15" x14ac:dyDescent="0.2">
      <c r="B216" s="623"/>
      <c r="C216" s="624"/>
      <c r="D216" s="624"/>
      <c r="E216" s="624"/>
      <c r="F216" s="156" t="s">
        <v>38</v>
      </c>
      <c r="G216" s="157">
        <f>SUM(G212:G215)</f>
        <v>0</v>
      </c>
      <c r="H216" s="625"/>
      <c r="I216" s="385"/>
      <c r="J216" s="12"/>
      <c r="K216" s="12"/>
      <c r="L216" s="12"/>
      <c r="M216" s="12"/>
      <c r="N216" s="12"/>
      <c r="O216" s="12"/>
    </row>
    <row r="217" spans="1:15" ht="14.25" x14ac:dyDescent="0.2">
      <c r="B217" s="586"/>
      <c r="C217" s="251"/>
      <c r="D217" s="251" t="s">
        <v>329</v>
      </c>
      <c r="E217" s="251"/>
      <c r="F217" s="251"/>
      <c r="G217" s="632">
        <f>G209+G216</f>
        <v>0</v>
      </c>
      <c r="H217" s="633"/>
      <c r="I217" s="385"/>
      <c r="J217" s="12"/>
      <c r="K217" s="12"/>
      <c r="L217" s="12"/>
      <c r="M217" s="12"/>
      <c r="N217" s="12"/>
      <c r="O217" s="12"/>
    </row>
    <row r="218" spans="1:15" x14ac:dyDescent="0.2">
      <c r="B218" s="448"/>
      <c r="C218" s="414"/>
      <c r="D218" s="414"/>
      <c r="E218" s="414"/>
      <c r="F218" s="414"/>
      <c r="G218" s="414"/>
      <c r="H218" s="414"/>
      <c r="I218" s="12"/>
      <c r="J218" s="12"/>
      <c r="K218" s="386"/>
      <c r="L218" s="14"/>
      <c r="M218" s="12"/>
      <c r="N218" s="276"/>
      <c r="O218" s="387"/>
    </row>
    <row r="219" spans="1:15" ht="14.25" x14ac:dyDescent="0.2">
      <c r="B219" s="604" t="s">
        <v>50</v>
      </c>
      <c r="C219" s="605" t="s">
        <v>51</v>
      </c>
      <c r="D219" s="606"/>
      <c r="E219" s="606"/>
      <c r="F219" s="606"/>
      <c r="G219" s="606"/>
      <c r="H219" s="607"/>
      <c r="I219" s="276"/>
      <c r="J219" s="12"/>
      <c r="K219" s="388"/>
      <c r="L219" s="91"/>
      <c r="M219" s="12"/>
      <c r="N219" s="276"/>
      <c r="O219" s="387"/>
    </row>
    <row r="220" spans="1:15" ht="14.25" x14ac:dyDescent="0.2">
      <c r="B220" s="608"/>
      <c r="C220" s="609"/>
      <c r="D220" s="610"/>
      <c r="E220" s="610"/>
      <c r="F220" s="610"/>
      <c r="G220" s="610"/>
      <c r="H220" s="611"/>
      <c r="I220" s="276"/>
      <c r="J220" s="389"/>
      <c r="K220" s="388"/>
      <c r="L220" s="91"/>
      <c r="M220" s="12"/>
      <c r="N220" s="276"/>
      <c r="O220" s="387"/>
    </row>
    <row r="221" spans="1:15" ht="14.25" x14ac:dyDescent="0.2">
      <c r="B221" s="586" t="s">
        <v>7</v>
      </c>
      <c r="C221" s="260" t="s">
        <v>8</v>
      </c>
      <c r="D221" s="251" t="s">
        <v>9</v>
      </c>
      <c r="E221" s="251" t="s">
        <v>10</v>
      </c>
      <c r="F221" s="251" t="s">
        <v>11</v>
      </c>
      <c r="G221" s="251" t="s">
        <v>12</v>
      </c>
      <c r="H221" s="587"/>
      <c r="I221" s="276"/>
      <c r="J221" s="12"/>
      <c r="K221" s="390"/>
      <c r="L221" s="14"/>
      <c r="M221" s="12"/>
      <c r="N221" s="276"/>
      <c r="O221" s="387"/>
    </row>
    <row r="222" spans="1:15" ht="14.25" x14ac:dyDescent="0.2">
      <c r="B222" s="596" t="s">
        <v>99</v>
      </c>
      <c r="C222" s="597" t="s">
        <v>104</v>
      </c>
      <c r="D222" s="598"/>
      <c r="E222" s="598"/>
      <c r="F222" s="598"/>
      <c r="G222" s="598"/>
      <c r="H222" s="599"/>
      <c r="I222" s="276"/>
      <c r="J222" s="12"/>
      <c r="K222" s="390"/>
      <c r="L222" s="14"/>
      <c r="M222" s="12"/>
      <c r="N222" s="276"/>
      <c r="O222" s="387"/>
    </row>
    <row r="223" spans="1:15" x14ac:dyDescent="0.2">
      <c r="B223" s="154" t="s">
        <v>102</v>
      </c>
      <c r="C223" s="171" t="s">
        <v>320</v>
      </c>
      <c r="D223" s="142" t="s">
        <v>1</v>
      </c>
      <c r="E223" s="176">
        <f>'DADOS DE ENTRADA'!C173</f>
        <v>0.8</v>
      </c>
      <c r="F223" s="277">
        <f>(F198*E198)-(E198*6*F275)</f>
        <v>0</v>
      </c>
      <c r="G223" s="147">
        <f>(F223/'DADOS DE ENTRADA'!D173)*E223</f>
        <v>0</v>
      </c>
      <c r="H223" s="177"/>
      <c r="I223" s="262"/>
      <c r="J223" s="12"/>
      <c r="K223" s="12"/>
      <c r="L223" s="12"/>
      <c r="M223" s="12"/>
      <c r="N223" s="12"/>
      <c r="O223" s="12"/>
    </row>
    <row r="224" spans="1:15" s="26" customFormat="1" x14ac:dyDescent="0.2">
      <c r="A224" s="25"/>
      <c r="B224" s="8" t="s">
        <v>76</v>
      </c>
      <c r="C224" s="25" t="s">
        <v>321</v>
      </c>
      <c r="D224" s="28" t="s">
        <v>1</v>
      </c>
      <c r="E224" s="128">
        <f>'DADOS DE ENTRADA'!C174</f>
        <v>0.8</v>
      </c>
      <c r="F224" s="276">
        <f>(F199*E199)-(E199*6*F275)</f>
        <v>0</v>
      </c>
      <c r="G224" s="145">
        <f>(F224/'DADOS DE ENTRADA'!D174)*E224</f>
        <v>0</v>
      </c>
      <c r="H224" s="59"/>
      <c r="I224" s="298"/>
      <c r="J224" s="12"/>
      <c r="K224" s="387"/>
      <c r="L224" s="12"/>
      <c r="M224" s="12"/>
      <c r="N224" s="12"/>
      <c r="O224" s="12"/>
    </row>
    <row r="225" spans="1:15" x14ac:dyDescent="0.2">
      <c r="B225" s="8" t="s">
        <v>81</v>
      </c>
      <c r="C225" s="25" t="s">
        <v>322</v>
      </c>
      <c r="D225" s="28" t="s">
        <v>1</v>
      </c>
      <c r="E225" s="128">
        <f>'DADOS DE ENTRADA'!C176</f>
        <v>0.8</v>
      </c>
      <c r="F225" s="145">
        <f>(F200*E200)-(E200*6*F275)</f>
        <v>0</v>
      </c>
      <c r="G225" s="145">
        <f>(F225/'DADOS DE ENTRADA'!D176)*E225</f>
        <v>0</v>
      </c>
      <c r="H225" s="59"/>
      <c r="I225" s="12"/>
      <c r="J225" s="12"/>
      <c r="K225" s="12"/>
      <c r="L225" s="12"/>
      <c r="M225" s="12"/>
      <c r="N225" s="12"/>
      <c r="O225" s="12"/>
    </row>
    <row r="226" spans="1:15" x14ac:dyDescent="0.2">
      <c r="B226" s="8" t="s">
        <v>390</v>
      </c>
      <c r="C226" s="25" t="s">
        <v>323</v>
      </c>
      <c r="D226" s="28" t="s">
        <v>1</v>
      </c>
      <c r="E226" s="128">
        <f>'DADOS DE ENTRADA'!C177</f>
        <v>0.8</v>
      </c>
      <c r="F226" s="145">
        <f>(F201*E201)-(E201*6*F286)</f>
        <v>0</v>
      </c>
      <c r="G226" s="145">
        <f>(F226/'DADOS DE ENTRADA'!D177)*E226</f>
        <v>0</v>
      </c>
      <c r="H226" s="59"/>
      <c r="I226" s="299"/>
      <c r="J226" s="12"/>
      <c r="K226" s="12"/>
      <c r="L226" s="12"/>
      <c r="M226" s="12"/>
      <c r="N226" s="299"/>
      <c r="O226" s="12"/>
    </row>
    <row r="227" spans="1:15" x14ac:dyDescent="0.2">
      <c r="B227" s="8" t="s">
        <v>393</v>
      </c>
      <c r="C227" s="25" t="s">
        <v>324</v>
      </c>
      <c r="D227" s="28" t="s">
        <v>1</v>
      </c>
      <c r="E227" s="128">
        <f>'DADOS DE ENTRADA'!C173</f>
        <v>0.8</v>
      </c>
      <c r="F227" s="145">
        <f t="shared" ref="F227:F233" si="6">F202*E202</f>
        <v>0</v>
      </c>
      <c r="G227" s="145">
        <f>(F227/'DADOS DE ENTRADA'!D182)*'COLETA URBANA '!E227</f>
        <v>0</v>
      </c>
      <c r="H227" s="59"/>
      <c r="I227" s="298"/>
      <c r="J227" s="12"/>
      <c r="K227" s="12"/>
      <c r="L227" s="12"/>
      <c r="M227" s="12"/>
      <c r="N227" s="12"/>
      <c r="O227" s="12"/>
    </row>
    <row r="228" spans="1:15" x14ac:dyDescent="0.2">
      <c r="B228" s="8" t="s">
        <v>392</v>
      </c>
      <c r="C228" s="25" t="s">
        <v>325</v>
      </c>
      <c r="D228" s="28" t="s">
        <v>1</v>
      </c>
      <c r="E228" s="128">
        <f>'DADOS DE ENTRADA'!C174</f>
        <v>0.8</v>
      </c>
      <c r="F228" s="145">
        <f t="shared" si="6"/>
        <v>0</v>
      </c>
      <c r="G228" s="145">
        <f>(F228/'DADOS DE ENTRADA'!D183)*'COLETA URBANA '!E228</f>
        <v>0</v>
      </c>
      <c r="H228" s="59"/>
      <c r="I228" s="298"/>
      <c r="J228" s="12"/>
      <c r="K228" s="12"/>
      <c r="L228" s="12"/>
      <c r="M228" s="12"/>
      <c r="N228" s="12"/>
      <c r="O228" s="12"/>
    </row>
    <row r="229" spans="1:15" x14ac:dyDescent="0.2">
      <c r="B229" s="8" t="s">
        <v>391</v>
      </c>
      <c r="C229" s="25" t="s">
        <v>326</v>
      </c>
      <c r="D229" s="28" t="s">
        <v>1</v>
      </c>
      <c r="E229" s="128">
        <f>'DADOS DE ENTRADA'!C176</f>
        <v>0.8</v>
      </c>
      <c r="F229" s="145">
        <f t="shared" si="6"/>
        <v>0</v>
      </c>
      <c r="G229" s="145">
        <f>(F229/'DADOS DE ENTRADA'!D185)*'COLETA URBANA '!E229</f>
        <v>0</v>
      </c>
      <c r="H229" s="59"/>
      <c r="I229" s="298"/>
      <c r="J229" s="12"/>
      <c r="K229" s="12"/>
      <c r="L229" s="12"/>
      <c r="M229" s="12"/>
      <c r="N229" s="12"/>
      <c r="O229" s="12"/>
    </row>
    <row r="230" spans="1:15" x14ac:dyDescent="0.2">
      <c r="B230" s="8" t="s">
        <v>394</v>
      </c>
      <c r="C230" s="25" t="s">
        <v>327</v>
      </c>
      <c r="D230" s="28" t="s">
        <v>1</v>
      </c>
      <c r="E230" s="128">
        <f>'DADOS DE ENTRADA'!C177</f>
        <v>0.8</v>
      </c>
      <c r="F230" s="145">
        <f t="shared" si="6"/>
        <v>0</v>
      </c>
      <c r="G230" s="145">
        <f>(F230/'DADOS DE ENTRADA'!D186)*'COLETA URBANA '!E230</f>
        <v>0</v>
      </c>
      <c r="H230" s="59"/>
      <c r="I230" s="298"/>
      <c r="J230" s="12"/>
      <c r="K230" s="12"/>
      <c r="L230" s="12"/>
      <c r="M230" s="12"/>
      <c r="N230" s="12"/>
      <c r="O230" s="12"/>
    </row>
    <row r="231" spans="1:15" ht="25.5" x14ac:dyDescent="0.2">
      <c r="B231" s="8" t="s">
        <v>395</v>
      </c>
      <c r="C231" s="134" t="s">
        <v>663</v>
      </c>
      <c r="D231" s="14" t="s">
        <v>1</v>
      </c>
      <c r="E231" s="275">
        <f>'DADOS DE ENTRADA'!C178</f>
        <v>0.8</v>
      </c>
      <c r="F231" s="276">
        <f t="shared" si="6"/>
        <v>0</v>
      </c>
      <c r="G231" s="110">
        <f>(F231/'DADOS DE ENTRADA'!D178)*'COLETA URBANA '!E231</f>
        <v>0</v>
      </c>
      <c r="H231" s="59"/>
      <c r="I231" s="298"/>
      <c r="J231" s="12"/>
      <c r="K231" s="12"/>
      <c r="L231" s="12"/>
      <c r="M231" s="12"/>
      <c r="N231" s="12"/>
      <c r="O231" s="12"/>
    </row>
    <row r="232" spans="1:15" s="5" customFormat="1" ht="25.5" x14ac:dyDescent="0.2">
      <c r="A232" s="25"/>
      <c r="B232" s="8" t="s">
        <v>396</v>
      </c>
      <c r="C232" s="134" t="s">
        <v>703</v>
      </c>
      <c r="D232" s="14" t="s">
        <v>1</v>
      </c>
      <c r="E232" s="275">
        <f>'DADOS DE ENTRADA'!C179</f>
        <v>0.8</v>
      </c>
      <c r="F232" s="276">
        <f t="shared" si="6"/>
        <v>0</v>
      </c>
      <c r="G232" s="110">
        <f>(F232/'DADOS DE ENTRADA'!D179)*'COLETA URBANA '!E232</f>
        <v>0</v>
      </c>
      <c r="H232" s="285"/>
      <c r="I232" s="25"/>
      <c r="J232" s="253"/>
    </row>
    <row r="233" spans="1:15" ht="25.5" x14ac:dyDescent="0.2">
      <c r="B233" s="8" t="s">
        <v>622</v>
      </c>
      <c r="C233" s="134" t="s">
        <v>664</v>
      </c>
      <c r="D233" s="14" t="s">
        <v>1</v>
      </c>
      <c r="E233" s="275">
        <f>'DADOS DE ENTRADA'!C181</f>
        <v>0.8</v>
      </c>
      <c r="F233" s="244">
        <f t="shared" si="6"/>
        <v>0</v>
      </c>
      <c r="G233" s="110">
        <f>(F233/'DADOS DE ENTRADA'!D181)*'COLETA URBANA '!E233</f>
        <v>0</v>
      </c>
      <c r="H233" s="59"/>
      <c r="I233" s="25"/>
      <c r="J233" s="263"/>
    </row>
    <row r="234" spans="1:15" x14ac:dyDescent="0.2">
      <c r="B234" s="616"/>
      <c r="C234" s="594"/>
      <c r="D234" s="594"/>
      <c r="E234" s="594"/>
      <c r="F234" s="163" t="s">
        <v>38</v>
      </c>
      <c r="G234" s="164">
        <f>SUM(G223:G233)</f>
        <v>0</v>
      </c>
      <c r="H234" s="595"/>
      <c r="I234" s="25"/>
    </row>
    <row r="235" spans="1:15" x14ac:dyDescent="0.2">
      <c r="B235" s="634"/>
      <c r="C235" s="635"/>
      <c r="D235" s="635"/>
      <c r="E235" s="635"/>
      <c r="F235" s="92"/>
      <c r="G235" s="150"/>
      <c r="H235" s="636"/>
      <c r="I235" s="191"/>
    </row>
    <row r="236" spans="1:15" ht="14.25" x14ac:dyDescent="0.2">
      <c r="B236" s="596" t="s">
        <v>135</v>
      </c>
      <c r="C236" s="597" t="s">
        <v>53</v>
      </c>
      <c r="D236" s="598"/>
      <c r="E236" s="598"/>
      <c r="F236" s="598"/>
      <c r="G236" s="598"/>
      <c r="H236" s="599"/>
      <c r="I236" s="25"/>
    </row>
    <row r="237" spans="1:15" x14ac:dyDescent="0.2">
      <c r="B237" s="178" t="s">
        <v>397</v>
      </c>
      <c r="C237" s="171" t="s">
        <v>668</v>
      </c>
      <c r="D237" s="142" t="s">
        <v>1</v>
      </c>
      <c r="E237" s="179">
        <f>'DADOS DE ENTRADA'!C187</f>
        <v>0.8</v>
      </c>
      <c r="F237" s="147">
        <f>(E212*F212)-(E212*4*F297)</f>
        <v>0</v>
      </c>
      <c r="G237" s="147">
        <f>(F237/'DADOS DE ENTRADA'!D187)*E237</f>
        <v>0</v>
      </c>
      <c r="H237" s="22"/>
      <c r="I237" s="25"/>
    </row>
    <row r="238" spans="1:15" x14ac:dyDescent="0.2">
      <c r="B238" s="95" t="s">
        <v>398</v>
      </c>
      <c r="C238" s="25" t="s">
        <v>669</v>
      </c>
      <c r="D238" s="28" t="s">
        <v>1</v>
      </c>
      <c r="E238" s="89">
        <f>'DADOS DE ENTRADA'!C188</f>
        <v>0.8</v>
      </c>
      <c r="F238" s="145">
        <f>(E213*F213)-(E213*4*F297)</f>
        <v>0</v>
      </c>
      <c r="G238" s="145">
        <f>(F238/'DADOS DE ENTRADA'!D188)*'COLETA URBANA '!E238</f>
        <v>0</v>
      </c>
      <c r="H238" s="59"/>
      <c r="I238" s="56"/>
    </row>
    <row r="239" spans="1:15" x14ac:dyDescent="0.2">
      <c r="B239" s="95" t="s">
        <v>399</v>
      </c>
      <c r="C239" s="25" t="s">
        <v>670</v>
      </c>
      <c r="D239" s="28" t="s">
        <v>1</v>
      </c>
      <c r="E239" s="89">
        <f>'DADOS DE ENTRADA'!C189</f>
        <v>0.8</v>
      </c>
      <c r="F239" s="145">
        <f>(E214*F214)-(E214*(F305+F306))</f>
        <v>0</v>
      </c>
      <c r="G239" s="145">
        <f>(F239/'DADOS DE ENTRADA'!D189)*'COLETA URBANA '!E239</f>
        <v>0</v>
      </c>
      <c r="H239" s="59"/>
      <c r="I239" s="56"/>
    </row>
    <row r="240" spans="1:15" x14ac:dyDescent="0.2">
      <c r="B240" s="95" t="s">
        <v>400</v>
      </c>
      <c r="C240" s="25" t="s">
        <v>328</v>
      </c>
      <c r="D240" s="28" t="s">
        <v>1</v>
      </c>
      <c r="E240" s="89">
        <f>'DADOS DE ENTRADA'!C190</f>
        <v>0.8</v>
      </c>
      <c r="F240" s="145">
        <f>(E215*F215)-(E215*(F305+F306))</f>
        <v>0</v>
      </c>
      <c r="G240" s="145">
        <f>(F240/'DADOS DE ENTRADA'!D190)*'COLETA URBANA '!E240</f>
        <v>0</v>
      </c>
      <c r="H240" s="61"/>
      <c r="I240" s="56"/>
    </row>
    <row r="241" spans="1:9" x14ac:dyDescent="0.2">
      <c r="B241" s="616"/>
      <c r="C241" s="594"/>
      <c r="D241" s="594"/>
      <c r="E241" s="594"/>
      <c r="F241" s="163" t="s">
        <v>38</v>
      </c>
      <c r="G241" s="164">
        <f>SUM(G237:G240)</f>
        <v>0</v>
      </c>
      <c r="H241" s="595"/>
      <c r="I241" s="56"/>
    </row>
    <row r="242" spans="1:9" x14ac:dyDescent="0.2">
      <c r="B242" s="8"/>
      <c r="C242" s="25"/>
      <c r="D242" s="28"/>
      <c r="E242" s="28"/>
      <c r="F242" s="25"/>
      <c r="G242" s="56"/>
      <c r="H242" s="61"/>
      <c r="I242" s="56"/>
    </row>
    <row r="243" spans="1:9" x14ac:dyDescent="0.2">
      <c r="B243" s="287" t="s">
        <v>136</v>
      </c>
      <c r="C243" s="413" t="s">
        <v>126</v>
      </c>
      <c r="D243" s="414" t="s">
        <v>1</v>
      </c>
      <c r="E243" s="414">
        <v>1.25</v>
      </c>
      <c r="F243" s="415">
        <f>SUM(F223:F233,F237:F240)</f>
        <v>0</v>
      </c>
      <c r="G243" s="416">
        <f>F243*E243/100</f>
        <v>0</v>
      </c>
      <c r="H243" s="302"/>
      <c r="I243" s="56"/>
    </row>
    <row r="244" spans="1:9" x14ac:dyDescent="0.2">
      <c r="B244" s="8"/>
      <c r="C244" s="25"/>
      <c r="D244" s="28"/>
      <c r="E244" s="28"/>
      <c r="F244" s="25"/>
      <c r="G244" s="25"/>
      <c r="H244" s="59"/>
      <c r="I244" s="274"/>
    </row>
    <row r="245" spans="1:9" ht="14.25" x14ac:dyDescent="0.2">
      <c r="B245" s="596" t="s">
        <v>137</v>
      </c>
      <c r="C245" s="597" t="s">
        <v>54</v>
      </c>
      <c r="D245" s="598"/>
      <c r="E245" s="598"/>
      <c r="F245" s="598" t="s">
        <v>105</v>
      </c>
      <c r="G245" s="598" t="s">
        <v>108</v>
      </c>
      <c r="H245" s="599"/>
    </row>
    <row r="246" spans="1:9" x14ac:dyDescent="0.2">
      <c r="B246" s="154" t="s">
        <v>337</v>
      </c>
      <c r="C246" s="171" t="s">
        <v>132</v>
      </c>
      <c r="D246" s="142" t="s">
        <v>4</v>
      </c>
      <c r="E246" s="181">
        <f>E198+E199+E200</f>
        <v>8</v>
      </c>
      <c r="F246" s="147">
        <f>'PREÇOS UNITÁRIOS'!E40</f>
        <v>0</v>
      </c>
      <c r="G246" s="147">
        <f t="shared" ref="G246:G252" si="7">E246*F246</f>
        <v>0</v>
      </c>
      <c r="H246" s="58"/>
      <c r="I246" s="6"/>
    </row>
    <row r="247" spans="1:9" x14ac:dyDescent="0.2">
      <c r="B247" s="8" t="s">
        <v>338</v>
      </c>
      <c r="C247" s="25" t="s">
        <v>133</v>
      </c>
      <c r="D247" s="28" t="s">
        <v>4</v>
      </c>
      <c r="E247" s="115">
        <f>E201</f>
        <v>1</v>
      </c>
      <c r="F247" s="145">
        <f>'PREÇOS UNITÁRIOS'!E41</f>
        <v>0</v>
      </c>
      <c r="G247" s="145">
        <f t="shared" si="7"/>
        <v>0</v>
      </c>
      <c r="H247" s="59"/>
      <c r="I247" s="60"/>
    </row>
    <row r="248" spans="1:9" x14ac:dyDescent="0.2">
      <c r="B248" s="8" t="s">
        <v>339</v>
      </c>
      <c r="C248" s="25" t="s">
        <v>88</v>
      </c>
      <c r="D248" s="28" t="s">
        <v>4</v>
      </c>
      <c r="E248" s="115">
        <f>E212+E213</f>
        <v>1</v>
      </c>
      <c r="F248" s="145">
        <f>'PREÇOS UNITÁRIOS'!E42</f>
        <v>0</v>
      </c>
      <c r="G248" s="145">
        <f t="shared" si="7"/>
        <v>0</v>
      </c>
      <c r="H248" s="59"/>
      <c r="I248" s="391"/>
    </row>
    <row r="249" spans="1:9" x14ac:dyDescent="0.2">
      <c r="B249" s="8" t="s">
        <v>340</v>
      </c>
      <c r="C249" s="25" t="s">
        <v>331</v>
      </c>
      <c r="D249" s="28" t="s">
        <v>4</v>
      </c>
      <c r="E249" s="115">
        <f>E214+E215</f>
        <v>2</v>
      </c>
      <c r="F249" s="145">
        <f>'PREÇOS UNITÁRIOS'!E43</f>
        <v>0</v>
      </c>
      <c r="G249" s="145">
        <f t="shared" si="7"/>
        <v>0</v>
      </c>
      <c r="H249" s="59"/>
      <c r="I249" s="60"/>
    </row>
    <row r="250" spans="1:9" x14ac:dyDescent="0.2">
      <c r="B250" s="8" t="s">
        <v>341</v>
      </c>
      <c r="C250" s="25" t="s">
        <v>628</v>
      </c>
      <c r="D250" s="28" t="s">
        <v>4</v>
      </c>
      <c r="E250" s="115">
        <f>E246+E247</f>
        <v>9</v>
      </c>
      <c r="F250" s="145">
        <f>'PREÇOS UNITÁRIOS'!E44</f>
        <v>0</v>
      </c>
      <c r="G250" s="145">
        <f t="shared" si="7"/>
        <v>0</v>
      </c>
      <c r="H250" s="59"/>
      <c r="I250" s="60"/>
    </row>
    <row r="251" spans="1:9" x14ac:dyDescent="0.2">
      <c r="B251" s="8" t="s">
        <v>342</v>
      </c>
      <c r="C251" s="25" t="s">
        <v>611</v>
      </c>
      <c r="D251" s="28" t="s">
        <v>4</v>
      </c>
      <c r="E251" s="115">
        <f>E248</f>
        <v>1</v>
      </c>
      <c r="F251" s="145">
        <f>'PREÇOS UNITÁRIOS'!E45</f>
        <v>0</v>
      </c>
      <c r="G251" s="145">
        <f t="shared" si="7"/>
        <v>0</v>
      </c>
      <c r="H251" s="59"/>
      <c r="I251" s="60"/>
    </row>
    <row r="252" spans="1:9" x14ac:dyDescent="0.2">
      <c r="B252" s="8" t="s">
        <v>343</v>
      </c>
      <c r="C252" s="25" t="s">
        <v>629</v>
      </c>
      <c r="D252" s="28" t="s">
        <v>4</v>
      </c>
      <c r="E252" s="115">
        <f>E249</f>
        <v>2</v>
      </c>
      <c r="F252" s="145">
        <f>'PREÇOS UNITÁRIOS'!E46</f>
        <v>0</v>
      </c>
      <c r="G252" s="145">
        <f t="shared" si="7"/>
        <v>0</v>
      </c>
      <c r="H252" s="303"/>
      <c r="I252" s="25"/>
    </row>
    <row r="253" spans="1:9" x14ac:dyDescent="0.2">
      <c r="B253" s="637"/>
      <c r="C253" s="638"/>
      <c r="D253" s="638"/>
      <c r="E253" s="638"/>
      <c r="F253" s="156" t="s">
        <v>38</v>
      </c>
      <c r="G253" s="157">
        <f>SUM(G246:G252)</f>
        <v>0</v>
      </c>
      <c r="H253" s="639"/>
      <c r="I253" s="27"/>
    </row>
    <row r="254" spans="1:9" x14ac:dyDescent="0.2">
      <c r="B254" s="640"/>
      <c r="C254" s="613"/>
      <c r="D254" s="613"/>
      <c r="E254" s="613"/>
      <c r="F254" s="163" t="s">
        <v>401</v>
      </c>
      <c r="G254" s="164">
        <f>G253/12</f>
        <v>0</v>
      </c>
      <c r="H254" s="614"/>
      <c r="I254" s="27"/>
    </row>
    <row r="255" spans="1:9" s="5" customFormat="1" x14ac:dyDescent="0.2">
      <c r="A255" s="25"/>
      <c r="B255" s="144"/>
      <c r="C255" s="131"/>
      <c r="D255" s="132"/>
      <c r="E255" s="131"/>
      <c r="F255" s="131"/>
      <c r="G255" s="133"/>
      <c r="H255" s="384"/>
      <c r="I255" s="25"/>
    </row>
    <row r="256" spans="1:9" ht="14.25" x14ac:dyDescent="0.2">
      <c r="B256" s="596" t="s">
        <v>138</v>
      </c>
      <c r="C256" s="597" t="s">
        <v>55</v>
      </c>
      <c r="D256" s="598"/>
      <c r="E256" s="598"/>
      <c r="F256" s="598"/>
      <c r="G256" s="598"/>
      <c r="H256" s="599"/>
      <c r="I256" s="27"/>
    </row>
    <row r="257" spans="1:9" s="5" customFormat="1" x14ac:dyDescent="0.2">
      <c r="A257" s="25"/>
      <c r="B257" s="154" t="s">
        <v>333</v>
      </c>
      <c r="C257" s="171" t="s">
        <v>115</v>
      </c>
      <c r="D257" s="142" t="s">
        <v>332</v>
      </c>
      <c r="E257" s="180">
        <f>'DADOS DE ENTRADA'!C204/'DADOS DE ENTRADA'!D204</f>
        <v>24324.32</v>
      </c>
      <c r="F257" s="147">
        <f>'PREÇOS UNITÁRIOS'!E31</f>
        <v>0</v>
      </c>
      <c r="G257" s="147">
        <f>E257*F257</f>
        <v>0</v>
      </c>
      <c r="H257" s="466"/>
      <c r="I257" s="25"/>
    </row>
    <row r="258" spans="1:9" s="5" customFormat="1" x14ac:dyDescent="0.2">
      <c r="A258" s="25"/>
      <c r="B258" s="8" t="s">
        <v>334</v>
      </c>
      <c r="C258" s="25" t="s">
        <v>116</v>
      </c>
      <c r="D258" s="28" t="s">
        <v>332</v>
      </c>
      <c r="E258" s="149">
        <f>'DADOS DE ENTRADA'!C205/'DADOS DE ENTRADA'!D205</f>
        <v>3783.78</v>
      </c>
      <c r="F258" s="145">
        <f>'PREÇOS UNITÁRIOS'!E31</f>
        <v>0</v>
      </c>
      <c r="G258" s="145">
        <f>E258*F258</f>
        <v>0</v>
      </c>
      <c r="H258" s="61"/>
      <c r="I258" s="25"/>
    </row>
    <row r="259" spans="1:9" s="5" customFormat="1" x14ac:dyDescent="0.2">
      <c r="A259" s="25"/>
      <c r="B259" s="8" t="s">
        <v>335</v>
      </c>
      <c r="C259" s="25" t="s">
        <v>59</v>
      </c>
      <c r="D259" s="28" t="s">
        <v>332</v>
      </c>
      <c r="E259" s="149">
        <f>'DADOS DE ENTRADA'!C206/'DADOS DE ENTRADA'!D206</f>
        <v>217.39</v>
      </c>
      <c r="F259" s="145">
        <f>'PREÇOS UNITÁRIOS'!E32</f>
        <v>0</v>
      </c>
      <c r="G259" s="145">
        <f>E259*F259</f>
        <v>0</v>
      </c>
      <c r="H259" s="94"/>
      <c r="I259" s="25"/>
    </row>
    <row r="260" spans="1:9" s="5" customFormat="1" x14ac:dyDescent="0.2">
      <c r="A260" s="25"/>
      <c r="B260" s="8" t="s">
        <v>336</v>
      </c>
      <c r="C260" s="25" t="s">
        <v>58</v>
      </c>
      <c r="D260" s="28" t="s">
        <v>332</v>
      </c>
      <c r="E260" s="149">
        <f>'DADOS DE ENTRADA'!C209/'DADOS DE ENTRADA'!D209</f>
        <v>189.19</v>
      </c>
      <c r="F260" s="145">
        <f>'PREÇOS UNITÁRIOS'!E32</f>
        <v>0</v>
      </c>
      <c r="G260" s="145">
        <f>E260*F260</f>
        <v>0</v>
      </c>
      <c r="H260" s="61"/>
      <c r="I260" s="27"/>
    </row>
    <row r="261" spans="1:9" s="5" customFormat="1" x14ac:dyDescent="0.2">
      <c r="A261" s="25"/>
      <c r="B261" s="640"/>
      <c r="C261" s="613"/>
      <c r="D261" s="613"/>
      <c r="E261" s="613"/>
      <c r="F261" s="163" t="s">
        <v>38</v>
      </c>
      <c r="G261" s="164">
        <f>SUM(G257:G260)</f>
        <v>0</v>
      </c>
      <c r="H261" s="614"/>
      <c r="I261" s="27"/>
    </row>
    <row r="262" spans="1:9" s="5" customFormat="1" x14ac:dyDescent="0.2">
      <c r="A262" s="25"/>
      <c r="B262" s="445"/>
      <c r="C262" s="93"/>
      <c r="D262" s="93"/>
      <c r="E262" s="93"/>
      <c r="F262" s="150"/>
      <c r="G262" s="150"/>
      <c r="H262" s="151"/>
      <c r="I262" s="27"/>
    </row>
    <row r="263" spans="1:9" s="5" customFormat="1" ht="14.25" x14ac:dyDescent="0.2">
      <c r="A263" s="25"/>
      <c r="B263" s="596" t="s">
        <v>139</v>
      </c>
      <c r="C263" s="597" t="s">
        <v>693</v>
      </c>
      <c r="D263" s="598"/>
      <c r="E263" s="598"/>
      <c r="F263" s="598"/>
      <c r="G263" s="598"/>
      <c r="H263" s="599"/>
      <c r="I263" s="25"/>
    </row>
    <row r="264" spans="1:9" s="5" customFormat="1" x14ac:dyDescent="0.2">
      <c r="A264" s="25"/>
      <c r="B264" s="8" t="s">
        <v>344</v>
      </c>
      <c r="C264" s="25" t="s">
        <v>60</v>
      </c>
      <c r="D264" s="28" t="s">
        <v>1</v>
      </c>
      <c r="E264" s="28">
        <v>1.2</v>
      </c>
      <c r="F264" s="56">
        <f>SUM(F223:F233)</f>
        <v>0</v>
      </c>
      <c r="G264" s="145">
        <f>(E264/100)*F264</f>
        <v>0</v>
      </c>
      <c r="H264" s="641"/>
      <c r="I264" s="25"/>
    </row>
    <row r="265" spans="1:9" s="5" customFormat="1" x14ac:dyDescent="0.2">
      <c r="A265" s="25"/>
      <c r="B265" s="8" t="s">
        <v>345</v>
      </c>
      <c r="C265" s="25" t="s">
        <v>14</v>
      </c>
      <c r="D265" s="28" t="s">
        <v>1</v>
      </c>
      <c r="E265" s="28">
        <v>1.2</v>
      </c>
      <c r="F265" s="56">
        <f>SUM(F237:F240)</f>
        <v>0</v>
      </c>
      <c r="G265" s="145">
        <f>(E265/100)*F265</f>
        <v>0</v>
      </c>
      <c r="H265" s="641"/>
      <c r="I265" s="25"/>
    </row>
    <row r="266" spans="1:9" s="5" customFormat="1" x14ac:dyDescent="0.2">
      <c r="A266" s="25"/>
      <c r="B266" s="8" t="s">
        <v>699</v>
      </c>
      <c r="C266" s="25" t="s">
        <v>695</v>
      </c>
      <c r="D266" s="28" t="s">
        <v>4</v>
      </c>
      <c r="E266" s="153">
        <f>'DADOS DE ENTRADA'!E197+'DADOS DE ENTRADA'!E198</f>
        <v>24</v>
      </c>
      <c r="F266" s="56">
        <f>'PREÇOS UNITÁRIOS'!E60</f>
        <v>0</v>
      </c>
      <c r="G266" s="145">
        <f>F266*E266</f>
        <v>0</v>
      </c>
      <c r="H266" s="642"/>
      <c r="I266" s="25"/>
    </row>
    <row r="267" spans="1:9" s="5" customFormat="1" x14ac:dyDescent="0.2">
      <c r="A267" s="25"/>
      <c r="B267" s="8" t="s">
        <v>700</v>
      </c>
      <c r="C267" s="25" t="s">
        <v>697</v>
      </c>
      <c r="D267" s="28" t="s">
        <v>4</v>
      </c>
      <c r="E267" s="28">
        <f>'DADOS DE ENTRADA'!E199</f>
        <v>1</v>
      </c>
      <c r="F267" s="56">
        <f>'PREÇOS UNITÁRIOS'!E61</f>
        <v>0</v>
      </c>
      <c r="G267" s="145">
        <f>F267*E267</f>
        <v>0</v>
      </c>
      <c r="H267" s="642"/>
      <c r="I267" s="25"/>
    </row>
    <row r="268" spans="1:9" s="5" customFormat="1" x14ac:dyDescent="0.2">
      <c r="A268" s="25"/>
      <c r="B268" s="8" t="s">
        <v>701</v>
      </c>
      <c r="C268" s="25" t="s">
        <v>698</v>
      </c>
      <c r="D268" s="28" t="s">
        <v>4</v>
      </c>
      <c r="E268" s="153">
        <f>'DADOS DE ENTRADA'!E200</f>
        <v>2</v>
      </c>
      <c r="F268" s="56">
        <f>'PREÇOS UNITÁRIOS'!E62</f>
        <v>0</v>
      </c>
      <c r="G268" s="145">
        <f>F268*E268</f>
        <v>0</v>
      </c>
      <c r="H268" s="642"/>
      <c r="I268" s="25"/>
    </row>
    <row r="269" spans="1:9" s="5" customFormat="1" x14ac:dyDescent="0.2">
      <c r="A269" s="25"/>
      <c r="B269" s="640"/>
      <c r="C269" s="613"/>
      <c r="D269" s="613"/>
      <c r="E269" s="613"/>
      <c r="F269" s="163" t="s">
        <v>38</v>
      </c>
      <c r="G269" s="164">
        <f>SUM(G264:G268)</f>
        <v>0</v>
      </c>
      <c r="H269" s="614"/>
      <c r="I269" s="25"/>
    </row>
    <row r="270" spans="1:9" s="5" customFormat="1" x14ac:dyDescent="0.2">
      <c r="A270" s="25"/>
      <c r="C270" s="25"/>
      <c r="D270" s="28"/>
      <c r="E270" s="28"/>
      <c r="F270" s="56"/>
      <c r="G270" s="27"/>
      <c r="H270" s="25"/>
      <c r="I270" s="25"/>
    </row>
    <row r="271" spans="1:9" s="5" customFormat="1" ht="14.25" x14ac:dyDescent="0.2">
      <c r="A271" s="25"/>
      <c r="B271" s="643" t="s">
        <v>140</v>
      </c>
      <c r="C271" s="644" t="s">
        <v>61</v>
      </c>
      <c r="D271" s="645"/>
      <c r="E271" s="645"/>
      <c r="F271" s="645"/>
      <c r="G271" s="645"/>
      <c r="H271" s="646"/>
      <c r="I271" s="27"/>
    </row>
    <row r="272" spans="1:9" s="5" customFormat="1" ht="28.5" x14ac:dyDescent="0.2">
      <c r="A272" s="25"/>
      <c r="B272" s="596" t="s">
        <v>363</v>
      </c>
      <c r="C272" s="597" t="s">
        <v>124</v>
      </c>
      <c r="D272" s="598"/>
      <c r="E272" s="598"/>
      <c r="F272" s="598"/>
      <c r="G272" s="598"/>
      <c r="H272" s="599"/>
      <c r="I272" s="27"/>
    </row>
    <row r="273" spans="1:15" s="5" customFormat="1" x14ac:dyDescent="0.2">
      <c r="A273" s="25"/>
      <c r="B273" s="135" t="s">
        <v>367</v>
      </c>
      <c r="C273" s="167" t="s">
        <v>62</v>
      </c>
      <c r="D273" s="136" t="s">
        <v>3</v>
      </c>
      <c r="E273" s="364">
        <f>'DADOS DE ENTRADA'!E204</f>
        <v>50000</v>
      </c>
      <c r="F273" s="167"/>
      <c r="G273" s="167"/>
      <c r="H273" s="138"/>
      <c r="I273" s="54"/>
    </row>
    <row r="274" spans="1:15" s="5" customFormat="1" x14ac:dyDescent="0.2">
      <c r="A274" s="25"/>
      <c r="B274" s="13" t="s">
        <v>368</v>
      </c>
      <c r="C274" s="12" t="s">
        <v>63</v>
      </c>
      <c r="D274" s="14" t="str">
        <f>D273</f>
        <v>Km</v>
      </c>
      <c r="E274" s="91">
        <f>'DADOS DE ENTRADA'!C204</f>
        <v>45000</v>
      </c>
      <c r="F274" s="12"/>
      <c r="G274" s="12"/>
      <c r="H274" s="9"/>
      <c r="I274" s="25"/>
    </row>
    <row r="275" spans="1:15" s="26" customFormat="1" x14ac:dyDescent="0.2">
      <c r="A275" s="25"/>
      <c r="B275" s="13" t="s">
        <v>369</v>
      </c>
      <c r="C275" s="25" t="s">
        <v>89</v>
      </c>
      <c r="D275" s="28" t="s">
        <v>4</v>
      </c>
      <c r="E275" s="115">
        <f>'DADOS DE ENTRADA'!F204</f>
        <v>6</v>
      </c>
      <c r="F275" s="27">
        <f>'PREÇOS UNITÁRIOS'!E47</f>
        <v>0</v>
      </c>
      <c r="G275" s="27">
        <f>E275*F275</f>
        <v>0</v>
      </c>
      <c r="H275" s="9"/>
      <c r="J275" s="6"/>
      <c r="K275" s="6"/>
      <c r="L275" s="6"/>
      <c r="M275" s="6"/>
      <c r="N275" s="6"/>
      <c r="O275" s="6"/>
    </row>
    <row r="276" spans="1:15" s="26" customFormat="1" x14ac:dyDescent="0.2">
      <c r="A276" s="25"/>
      <c r="B276" s="13" t="s">
        <v>370</v>
      </c>
      <c r="C276" s="25" t="s">
        <v>64</v>
      </c>
      <c r="D276" s="28" t="s">
        <v>4</v>
      </c>
      <c r="E276" s="115">
        <f>'DADOS DE ENTRADA'!G204</f>
        <v>12</v>
      </c>
      <c r="F276" s="27">
        <f>'PREÇOS UNITÁRIOS'!E48</f>
        <v>0</v>
      </c>
      <c r="G276" s="27">
        <f>E276*F276</f>
        <v>0</v>
      </c>
      <c r="H276" s="9"/>
      <c r="J276" s="6"/>
      <c r="K276" s="6"/>
      <c r="L276" s="6"/>
      <c r="M276" s="6"/>
      <c r="N276" s="6"/>
      <c r="O276" s="6"/>
    </row>
    <row r="277" spans="1:15" s="26" customFormat="1" x14ac:dyDescent="0.2">
      <c r="A277" s="25"/>
      <c r="B277" s="13" t="s">
        <v>371</v>
      </c>
      <c r="C277" s="25" t="s">
        <v>65</v>
      </c>
      <c r="D277" s="28" t="s">
        <v>4</v>
      </c>
      <c r="E277" s="115">
        <f>'DADOS DE ENTRADA'!F199</f>
        <v>12</v>
      </c>
      <c r="F277" s="27">
        <f>'PREÇOS UNITÁRIOS'!E49</f>
        <v>0</v>
      </c>
      <c r="G277" s="27">
        <f>E277*F277</f>
        <v>0</v>
      </c>
      <c r="H277" s="9"/>
    </row>
    <row r="278" spans="1:15" x14ac:dyDescent="0.2">
      <c r="B278" s="13" t="s">
        <v>372</v>
      </c>
      <c r="C278" s="25" t="s">
        <v>66</v>
      </c>
      <c r="D278" s="28" t="s">
        <v>4</v>
      </c>
      <c r="E278" s="115">
        <f>'DADOS DE ENTRADA'!G199</f>
        <v>12</v>
      </c>
      <c r="F278" s="27">
        <f>'PREÇOS UNITÁRIOS'!E50</f>
        <v>0</v>
      </c>
      <c r="G278" s="27">
        <f>E278*F278</f>
        <v>0</v>
      </c>
      <c r="H278" s="9"/>
    </row>
    <row r="279" spans="1:15" x14ac:dyDescent="0.2">
      <c r="B279" s="13" t="s">
        <v>373</v>
      </c>
      <c r="C279" s="12" t="s">
        <v>67</v>
      </c>
      <c r="D279" s="14" t="s">
        <v>4</v>
      </c>
      <c r="E279" s="16">
        <f>'DADOS DE ENTRADA'!H204</f>
        <v>20</v>
      </c>
      <c r="F279" s="4">
        <f>'PREÇOS UNITÁRIOS'!E51</f>
        <v>0</v>
      </c>
      <c r="G279" s="4">
        <f>E279*F279</f>
        <v>0</v>
      </c>
      <c r="H279" s="9"/>
    </row>
    <row r="280" spans="1:15" x14ac:dyDescent="0.2">
      <c r="B280" s="637"/>
      <c r="C280" s="638"/>
      <c r="D280" s="638"/>
      <c r="E280" s="638"/>
      <c r="F280" s="156" t="s">
        <v>38</v>
      </c>
      <c r="G280" s="157">
        <f>SUM(G275:G279)</f>
        <v>0</v>
      </c>
      <c r="H280" s="639"/>
    </row>
    <row r="281" spans="1:15" x14ac:dyDescent="0.2">
      <c r="B281" s="640"/>
      <c r="C281" s="613"/>
      <c r="D281" s="613"/>
      <c r="E281" s="613"/>
      <c r="F281" s="163" t="s">
        <v>401</v>
      </c>
      <c r="G281" s="164">
        <f>(G280/E273)*E274</f>
        <v>0</v>
      </c>
      <c r="H281" s="614"/>
    </row>
    <row r="282" spans="1:15" x14ac:dyDescent="0.2">
      <c r="B282" s="8"/>
      <c r="C282" s="25"/>
      <c r="D282" s="28"/>
      <c r="E282" s="115"/>
      <c r="F282" s="25"/>
      <c r="G282" s="25"/>
      <c r="H282" s="59"/>
    </row>
    <row r="283" spans="1:15" ht="28.5" x14ac:dyDescent="0.2">
      <c r="B283" s="596" t="s">
        <v>364</v>
      </c>
      <c r="C283" s="597" t="s">
        <v>125</v>
      </c>
      <c r="D283" s="598"/>
      <c r="E283" s="598"/>
      <c r="F283" s="598"/>
      <c r="G283" s="598"/>
      <c r="H283" s="599"/>
    </row>
    <row r="284" spans="1:15" x14ac:dyDescent="0.2">
      <c r="B284" s="8" t="s">
        <v>374</v>
      </c>
      <c r="C284" s="25" t="s">
        <v>62</v>
      </c>
      <c r="D284" s="28" t="s">
        <v>3</v>
      </c>
      <c r="E284" s="153">
        <f>'DADOS DE ENTRADA'!E205</f>
        <v>50000</v>
      </c>
      <c r="F284" s="25"/>
      <c r="G284" s="25"/>
      <c r="H284" s="59"/>
    </row>
    <row r="285" spans="1:15" x14ac:dyDescent="0.2">
      <c r="B285" s="8" t="s">
        <v>375</v>
      </c>
      <c r="C285" s="25" t="s">
        <v>63</v>
      </c>
      <c r="D285" s="28" t="str">
        <f>D284</f>
        <v>Km</v>
      </c>
      <c r="E285" s="153">
        <f>'DADOS DE ENTRADA'!C205</f>
        <v>7000</v>
      </c>
      <c r="F285" s="25"/>
      <c r="G285" s="25"/>
      <c r="H285" s="59"/>
    </row>
    <row r="286" spans="1:15" x14ac:dyDescent="0.2">
      <c r="B286" s="8" t="s">
        <v>376</v>
      </c>
      <c r="C286" s="25" t="s">
        <v>89</v>
      </c>
      <c r="D286" s="28" t="s">
        <v>4</v>
      </c>
      <c r="E286" s="115">
        <f>'DADOS DE ENTRADA'!F205</f>
        <v>6</v>
      </c>
      <c r="F286" s="27">
        <f>'PREÇOS UNITÁRIOS'!E52</f>
        <v>0</v>
      </c>
      <c r="G286" s="27">
        <f>E286*F286</f>
        <v>0</v>
      </c>
      <c r="H286" s="59"/>
    </row>
    <row r="287" spans="1:15" x14ac:dyDescent="0.2">
      <c r="B287" s="8" t="s">
        <v>377</v>
      </c>
      <c r="C287" s="25" t="s">
        <v>64</v>
      </c>
      <c r="D287" s="28" t="s">
        <v>4</v>
      </c>
      <c r="E287" s="115">
        <f>'DADOS DE ENTRADA'!G205</f>
        <v>12</v>
      </c>
      <c r="F287" s="27">
        <f>'PREÇOS UNITÁRIOS'!E53</f>
        <v>0</v>
      </c>
      <c r="G287" s="27">
        <f>E287*F287</f>
        <v>0</v>
      </c>
      <c r="H287" s="59"/>
    </row>
    <row r="288" spans="1:15" x14ac:dyDescent="0.2">
      <c r="B288" s="8" t="s">
        <v>378</v>
      </c>
      <c r="C288" s="25" t="s">
        <v>65</v>
      </c>
      <c r="D288" s="28" t="s">
        <v>4</v>
      </c>
      <c r="E288" s="115">
        <f>'DADOS DE ENTRADA'!F200</f>
        <v>12</v>
      </c>
      <c r="F288" s="27">
        <f>'PREÇOS UNITÁRIOS'!E54</f>
        <v>0</v>
      </c>
      <c r="G288" s="27">
        <f>E288*F288</f>
        <v>0</v>
      </c>
      <c r="H288" s="59"/>
    </row>
    <row r="289" spans="1:8" s="26" customFormat="1" x14ac:dyDescent="0.2">
      <c r="A289" s="25"/>
      <c r="B289" s="8" t="s">
        <v>379</v>
      </c>
      <c r="C289" s="25" t="s">
        <v>66</v>
      </c>
      <c r="D289" s="28" t="s">
        <v>4</v>
      </c>
      <c r="E289" s="115">
        <f>'DADOS DE ENTRADA'!G200</f>
        <v>12</v>
      </c>
      <c r="F289" s="27">
        <f>'PREÇOS UNITÁRIOS'!E55</f>
        <v>0</v>
      </c>
      <c r="G289" s="27">
        <f>E289*F289</f>
        <v>0</v>
      </c>
      <c r="H289" s="59"/>
    </row>
    <row r="290" spans="1:8" x14ac:dyDescent="0.2">
      <c r="B290" s="8" t="s">
        <v>380</v>
      </c>
      <c r="C290" s="25" t="s">
        <v>67</v>
      </c>
      <c r="D290" s="28" t="s">
        <v>4</v>
      </c>
      <c r="E290" s="115">
        <f>'DADOS DE ENTRADA'!H205</f>
        <v>20</v>
      </c>
      <c r="F290" s="27">
        <f>'PREÇOS UNITÁRIOS'!E56</f>
        <v>0</v>
      </c>
      <c r="G290" s="27">
        <f>E290*F290</f>
        <v>0</v>
      </c>
      <c r="H290" s="59"/>
    </row>
    <row r="291" spans="1:8" x14ac:dyDescent="0.2">
      <c r="B291" s="637"/>
      <c r="C291" s="638"/>
      <c r="D291" s="638"/>
      <c r="E291" s="638"/>
      <c r="F291" s="156" t="s">
        <v>38</v>
      </c>
      <c r="G291" s="157">
        <f>SUM(G286:G290)</f>
        <v>0</v>
      </c>
      <c r="H291" s="639"/>
    </row>
    <row r="292" spans="1:8" x14ac:dyDescent="0.2">
      <c r="B292" s="640"/>
      <c r="C292" s="613"/>
      <c r="D292" s="613"/>
      <c r="E292" s="613"/>
      <c r="F292" s="163" t="s">
        <v>401</v>
      </c>
      <c r="G292" s="164">
        <f>(G291/E284)*E285</f>
        <v>0</v>
      </c>
      <c r="H292" s="614"/>
    </row>
    <row r="293" spans="1:8" x14ac:dyDescent="0.2">
      <c r="B293" s="8"/>
      <c r="C293" s="5"/>
      <c r="D293" s="28"/>
      <c r="E293" s="115"/>
      <c r="F293" s="25"/>
      <c r="G293" s="25"/>
      <c r="H293" s="59"/>
    </row>
    <row r="294" spans="1:8" ht="14.25" x14ac:dyDescent="0.2">
      <c r="B294" s="596" t="s">
        <v>365</v>
      </c>
      <c r="C294" s="597" t="s">
        <v>70</v>
      </c>
      <c r="D294" s="598"/>
      <c r="E294" s="598"/>
      <c r="F294" s="598"/>
      <c r="G294" s="598"/>
      <c r="H294" s="599"/>
    </row>
    <row r="295" spans="1:8" x14ac:dyDescent="0.2">
      <c r="B295" s="95" t="s">
        <v>425</v>
      </c>
      <c r="C295" s="25" t="s">
        <v>62</v>
      </c>
      <c r="D295" s="28" t="s">
        <v>3</v>
      </c>
      <c r="E295" s="153">
        <f>'DADOS DE ENTRADA'!E206</f>
        <v>30000</v>
      </c>
      <c r="F295" s="25"/>
      <c r="G295" s="25"/>
      <c r="H295" s="59"/>
    </row>
    <row r="296" spans="1:8" x14ac:dyDescent="0.2">
      <c r="B296" s="95" t="s">
        <v>426</v>
      </c>
      <c r="C296" s="25" t="s">
        <v>71</v>
      </c>
      <c r="D296" s="28" t="str">
        <f>D295</f>
        <v>Km</v>
      </c>
      <c r="E296" s="153">
        <f>'DADOS DE ENTRADA'!C206</f>
        <v>2000</v>
      </c>
      <c r="F296" s="25"/>
      <c r="G296" s="25"/>
      <c r="H296" s="59"/>
    </row>
    <row r="297" spans="1:8" x14ac:dyDescent="0.2">
      <c r="B297" s="95" t="s">
        <v>427</v>
      </c>
      <c r="C297" s="25" t="s">
        <v>127</v>
      </c>
      <c r="D297" s="28" t="s">
        <v>4</v>
      </c>
      <c r="E297" s="115">
        <f>'DADOS DE ENTRADA'!F206</f>
        <v>4</v>
      </c>
      <c r="F297" s="56">
        <f>'PREÇOS UNITÁRIOS'!E57</f>
        <v>0</v>
      </c>
      <c r="G297" s="56">
        <f>E297*F297</f>
        <v>0</v>
      </c>
      <c r="H297" s="59"/>
    </row>
    <row r="298" spans="1:8" x14ac:dyDescent="0.2">
      <c r="B298" s="637"/>
      <c r="C298" s="638"/>
      <c r="D298" s="638"/>
      <c r="E298" s="638"/>
      <c r="F298" s="156" t="s">
        <v>38</v>
      </c>
      <c r="G298" s="157">
        <f>SUM(G297)</f>
        <v>0</v>
      </c>
      <c r="H298" s="305"/>
    </row>
    <row r="299" spans="1:8" x14ac:dyDescent="0.2">
      <c r="B299" s="640"/>
      <c r="C299" s="613"/>
      <c r="D299" s="613"/>
      <c r="E299" s="613"/>
      <c r="F299" s="163" t="s">
        <v>401</v>
      </c>
      <c r="G299" s="164">
        <f>(G298/E295)*E296</f>
        <v>0</v>
      </c>
      <c r="H299" s="614"/>
    </row>
    <row r="300" spans="1:8" x14ac:dyDescent="0.2">
      <c r="B300" s="8"/>
      <c r="C300" s="5"/>
      <c r="D300" s="5"/>
      <c r="E300" s="5"/>
      <c r="F300" s="5"/>
      <c r="G300" s="5"/>
      <c r="H300" s="446"/>
    </row>
    <row r="301" spans="1:8" ht="14.25" x14ac:dyDescent="0.2">
      <c r="B301" s="596" t="s">
        <v>366</v>
      </c>
      <c r="C301" s="597" t="s">
        <v>68</v>
      </c>
      <c r="D301" s="598"/>
      <c r="E301" s="598"/>
      <c r="F301" s="598"/>
      <c r="G301" s="598"/>
      <c r="H301" s="599"/>
    </row>
    <row r="302" spans="1:8" x14ac:dyDescent="0.2">
      <c r="B302" s="8" t="s">
        <v>428</v>
      </c>
      <c r="C302" s="25" t="s">
        <v>117</v>
      </c>
      <c r="D302" s="28" t="s">
        <v>3</v>
      </c>
      <c r="E302" s="153">
        <f>'DADOS DE ENTRADA'!E209</f>
        <v>15000</v>
      </c>
      <c r="F302" s="25"/>
      <c r="G302" s="25"/>
      <c r="H302" s="59"/>
    </row>
    <row r="303" spans="1:8" x14ac:dyDescent="0.2">
      <c r="B303" s="8" t="s">
        <v>429</v>
      </c>
      <c r="C303" s="25" t="s">
        <v>128</v>
      </c>
      <c r="D303" s="28" t="s">
        <v>3</v>
      </c>
      <c r="E303" s="153">
        <f>'DADOS DE ENTRADA'!F209</f>
        <v>20000</v>
      </c>
      <c r="F303" s="25"/>
      <c r="G303" s="25"/>
      <c r="H303" s="59"/>
    </row>
    <row r="304" spans="1:8" x14ac:dyDescent="0.2">
      <c r="B304" s="8" t="s">
        <v>430</v>
      </c>
      <c r="C304" s="25" t="s">
        <v>69</v>
      </c>
      <c r="D304" s="28" t="str">
        <f>D302</f>
        <v>Km</v>
      </c>
      <c r="E304" s="153">
        <f>'DADOS DE ENTRADA'!C209</f>
        <v>3500</v>
      </c>
      <c r="F304" s="25"/>
      <c r="G304" s="25"/>
      <c r="H304" s="59"/>
    </row>
    <row r="305" spans="2:8" x14ac:dyDescent="0.2">
      <c r="B305" s="8" t="s">
        <v>431</v>
      </c>
      <c r="C305" s="25" t="s">
        <v>118</v>
      </c>
      <c r="D305" s="28" t="s">
        <v>4</v>
      </c>
      <c r="E305" s="115">
        <f>'DADOS DE ENTRADA'!G209</f>
        <v>1</v>
      </c>
      <c r="F305" s="56">
        <f>'PREÇOS UNITÁRIOS'!E58</f>
        <v>0</v>
      </c>
      <c r="G305" s="56">
        <f>E305*F305</f>
        <v>0</v>
      </c>
      <c r="H305" s="59"/>
    </row>
    <row r="306" spans="2:8" x14ac:dyDescent="0.2">
      <c r="B306" s="8" t="s">
        <v>432</v>
      </c>
      <c r="C306" s="25" t="s">
        <v>119</v>
      </c>
      <c r="D306" s="28" t="s">
        <v>4</v>
      </c>
      <c r="E306" s="115">
        <f>'DADOS DE ENTRADA'!H209</f>
        <v>1</v>
      </c>
      <c r="F306" s="56">
        <f>'PREÇOS UNITÁRIOS'!E59</f>
        <v>0</v>
      </c>
      <c r="G306" s="56">
        <f>E306*F306</f>
        <v>0</v>
      </c>
      <c r="H306" s="59"/>
    </row>
    <row r="307" spans="2:8" x14ac:dyDescent="0.2">
      <c r="B307" s="637"/>
      <c r="C307" s="638"/>
      <c r="D307" s="638"/>
      <c r="E307" s="638"/>
      <c r="F307" s="156" t="s">
        <v>38</v>
      </c>
      <c r="G307" s="157">
        <f>SUM(G305:G306)</f>
        <v>0</v>
      </c>
      <c r="H307" s="305"/>
    </row>
    <row r="308" spans="2:8" x14ac:dyDescent="0.2">
      <c r="B308" s="640"/>
      <c r="C308" s="613"/>
      <c r="D308" s="613"/>
      <c r="E308" s="613"/>
      <c r="F308" s="163" t="s">
        <v>401</v>
      </c>
      <c r="G308" s="164">
        <f>((G306/E303)*E304)+((G305/E302)*E304)</f>
        <v>0</v>
      </c>
      <c r="H308" s="614"/>
    </row>
    <row r="309" spans="2:8" x14ac:dyDescent="0.2">
      <c r="B309" s="8"/>
      <c r="C309" s="5"/>
      <c r="D309" s="5"/>
      <c r="E309" s="5"/>
      <c r="F309" s="5"/>
      <c r="G309" s="5"/>
      <c r="H309" s="446"/>
    </row>
    <row r="310" spans="2:8" ht="14.25" x14ac:dyDescent="0.2">
      <c r="B310" s="643" t="s">
        <v>573</v>
      </c>
      <c r="C310" s="644" t="s">
        <v>645</v>
      </c>
      <c r="D310" s="645"/>
      <c r="E310" s="645"/>
      <c r="F310" s="645"/>
      <c r="G310" s="645"/>
      <c r="H310" s="646"/>
    </row>
    <row r="311" spans="2:8" x14ac:dyDescent="0.2">
      <c r="B311" s="154" t="s">
        <v>574</v>
      </c>
      <c r="C311" s="171" t="s">
        <v>645</v>
      </c>
      <c r="D311" s="142" t="s">
        <v>1</v>
      </c>
      <c r="E311" s="465">
        <v>0.1</v>
      </c>
      <c r="F311" s="147">
        <f>G261</f>
        <v>0</v>
      </c>
      <c r="G311" s="147">
        <f>E311*F311</f>
        <v>0</v>
      </c>
      <c r="H311" s="58"/>
    </row>
    <row r="312" spans="2:8" x14ac:dyDescent="0.2">
      <c r="B312" s="637"/>
      <c r="C312" s="638"/>
      <c r="D312" s="638"/>
      <c r="E312" s="638"/>
      <c r="F312" s="156" t="s">
        <v>38</v>
      </c>
      <c r="G312" s="157">
        <f>SUM(G311)</f>
        <v>0</v>
      </c>
      <c r="H312" s="305"/>
    </row>
    <row r="313" spans="2:8" x14ac:dyDescent="0.2">
      <c r="B313" s="637"/>
      <c r="C313" s="638"/>
      <c r="D313" s="638"/>
      <c r="E313" s="638"/>
      <c r="F313" s="163" t="s">
        <v>401</v>
      </c>
      <c r="G313" s="157">
        <f>G312</f>
        <v>0</v>
      </c>
      <c r="H313" s="305"/>
    </row>
    <row r="314" spans="2:8" ht="14.25" x14ac:dyDescent="0.2">
      <c r="B314" s="626"/>
      <c r="C314" s="619"/>
      <c r="D314" s="619"/>
      <c r="E314" s="619" t="s">
        <v>720</v>
      </c>
      <c r="F314" s="619"/>
      <c r="G314" s="619">
        <f>G313+G308+G299+G292+G281+G269+G261+G254+G243+G241+G234</f>
        <v>0</v>
      </c>
      <c r="H314" s="627"/>
    </row>
    <row r="315" spans="2:8" ht="14.25" x14ac:dyDescent="0.2">
      <c r="B315" s="628"/>
      <c r="C315" s="629"/>
      <c r="D315" s="629"/>
      <c r="E315" s="629"/>
      <c r="F315" s="629"/>
      <c r="G315" s="629"/>
      <c r="H315" s="630"/>
    </row>
    <row r="316" spans="2:8" x14ac:dyDescent="0.2">
      <c r="B316" s="8"/>
      <c r="C316" s="25"/>
      <c r="D316" s="25"/>
      <c r="E316" s="25"/>
      <c r="F316" s="25"/>
      <c r="G316" s="25"/>
      <c r="H316" s="59"/>
    </row>
    <row r="317" spans="2:8" ht="14.25" x14ac:dyDescent="0.2">
      <c r="B317" s="454">
        <v>6</v>
      </c>
      <c r="C317" s="583" t="s">
        <v>575</v>
      </c>
      <c r="D317" s="584"/>
      <c r="E317" s="584"/>
      <c r="F317" s="584"/>
      <c r="G317" s="584"/>
      <c r="H317" s="585"/>
    </row>
    <row r="318" spans="2:8" x14ac:dyDescent="0.2">
      <c r="B318" s="8"/>
      <c r="C318" s="5" t="s">
        <v>36</v>
      </c>
      <c r="D318" s="1"/>
      <c r="E318" s="5"/>
      <c r="F318" s="5"/>
      <c r="G318" s="25"/>
      <c r="H318" s="285">
        <f>G86</f>
        <v>0</v>
      </c>
    </row>
    <row r="319" spans="2:8" x14ac:dyDescent="0.2">
      <c r="B319" s="8"/>
      <c r="C319" s="5" t="s">
        <v>39</v>
      </c>
      <c r="D319" s="1"/>
      <c r="E319" s="5"/>
      <c r="F319" s="5"/>
      <c r="G319" s="25"/>
      <c r="H319" s="285">
        <f>G150</f>
        <v>0</v>
      </c>
    </row>
    <row r="320" spans="2:8" x14ac:dyDescent="0.2">
      <c r="B320" s="8"/>
      <c r="C320" s="5" t="s">
        <v>577</v>
      </c>
      <c r="D320" s="1"/>
      <c r="E320" s="5"/>
      <c r="F320" s="5"/>
      <c r="G320" s="25"/>
      <c r="H320" s="285">
        <f>G190</f>
        <v>0</v>
      </c>
    </row>
    <row r="321" spans="2:8" x14ac:dyDescent="0.2">
      <c r="B321" s="8"/>
      <c r="C321" s="5" t="s">
        <v>578</v>
      </c>
      <c r="D321" s="1"/>
      <c r="E321" s="5"/>
      <c r="F321" s="5"/>
      <c r="G321" s="25"/>
      <c r="H321" s="285">
        <f>G314</f>
        <v>0</v>
      </c>
    </row>
    <row r="322" spans="2:8" x14ac:dyDescent="0.2">
      <c r="B322" s="8"/>
      <c r="C322" s="5"/>
      <c r="D322" s="1"/>
      <c r="E322" s="5"/>
      <c r="F322" s="5"/>
      <c r="G322" s="25"/>
      <c r="H322" s="286"/>
    </row>
    <row r="323" spans="2:8" ht="14.25" x14ac:dyDescent="0.2">
      <c r="B323" s="647"/>
      <c r="C323" s="648" t="s">
        <v>576</v>
      </c>
      <c r="D323" s="648"/>
      <c r="E323" s="648"/>
      <c r="F323" s="648"/>
      <c r="G323" s="648"/>
      <c r="H323" s="649">
        <f>SUM(H318:H321)</f>
        <v>0</v>
      </c>
    </row>
    <row r="324" spans="2:8" x14ac:dyDescent="0.2">
      <c r="B324" s="5"/>
      <c r="C324" s="25"/>
      <c r="D324" s="25"/>
      <c r="E324" s="25"/>
      <c r="F324" s="25"/>
      <c r="G324" s="25"/>
      <c r="H324" s="25"/>
    </row>
    <row r="325" spans="2:8" x14ac:dyDescent="0.2">
      <c r="B325" s="5"/>
      <c r="C325" s="25"/>
      <c r="D325" s="25"/>
      <c r="E325" s="25"/>
      <c r="F325" s="25"/>
      <c r="G325" s="25"/>
      <c r="H325" s="25"/>
    </row>
    <row r="326" spans="2:8" ht="14.25" x14ac:dyDescent="0.2">
      <c r="B326" s="650" t="s">
        <v>579</v>
      </c>
      <c r="C326" s="651" t="s">
        <v>580</v>
      </c>
      <c r="D326" s="652"/>
      <c r="E326" s="652"/>
      <c r="F326" s="652"/>
      <c r="G326" s="652"/>
      <c r="H326" s="653"/>
    </row>
    <row r="327" spans="2:8" ht="14.25" x14ac:dyDescent="0.2">
      <c r="B327" s="654"/>
      <c r="C327" s="655"/>
      <c r="D327" s="656"/>
      <c r="E327" s="656"/>
      <c r="F327" s="656"/>
      <c r="G327" s="656"/>
      <c r="H327" s="657"/>
    </row>
    <row r="328" spans="2:8" ht="14.25" x14ac:dyDescent="0.2">
      <c r="B328" s="586" t="s">
        <v>7</v>
      </c>
      <c r="C328" s="260" t="s">
        <v>8</v>
      </c>
      <c r="D328" s="251"/>
      <c r="E328" s="251"/>
      <c r="F328" s="251" t="s">
        <v>12</v>
      </c>
      <c r="G328" s="251"/>
      <c r="H328" s="587"/>
    </row>
    <row r="329" spans="2:8" ht="14.25" x14ac:dyDescent="0.2">
      <c r="B329" s="658" t="s">
        <v>106</v>
      </c>
      <c r="C329" s="659" t="s">
        <v>581</v>
      </c>
      <c r="D329" s="660"/>
      <c r="E329" s="660"/>
      <c r="F329" s="661">
        <f>ADM!D23</f>
        <v>0</v>
      </c>
      <c r="G329" s="660"/>
      <c r="H329" s="662"/>
    </row>
    <row r="330" spans="2:8" ht="14.25" x14ac:dyDescent="0.2">
      <c r="B330" s="604"/>
      <c r="C330" s="606" t="s">
        <v>582</v>
      </c>
      <c r="D330" s="606"/>
      <c r="E330" s="606"/>
      <c r="F330" s="663">
        <f>SUM(F329:F329)</f>
        <v>0</v>
      </c>
      <c r="G330" s="663"/>
      <c r="H330" s="664"/>
    </row>
    <row r="331" spans="2:8" x14ac:dyDescent="0.2">
      <c r="B331" s="8"/>
      <c r="C331" s="5"/>
      <c r="D331" s="1"/>
      <c r="E331" s="5"/>
      <c r="F331" s="447"/>
      <c r="G331" s="25"/>
      <c r="H331" s="59"/>
    </row>
    <row r="332" spans="2:8" ht="14.25" x14ac:dyDescent="0.2">
      <c r="B332" s="647"/>
      <c r="C332" s="648" t="s">
        <v>609</v>
      </c>
      <c r="D332" s="648"/>
      <c r="E332" s="648"/>
      <c r="F332" s="665">
        <f>F330+H323</f>
        <v>0</v>
      </c>
      <c r="G332" s="665"/>
      <c r="H332" s="649"/>
    </row>
    <row r="333" spans="2:8" x14ac:dyDescent="0.2">
      <c r="C333" s="6"/>
      <c r="D333" s="3"/>
      <c r="E333" s="6"/>
      <c r="F333" s="6"/>
    </row>
    <row r="334" spans="2:8" ht="14.25" x14ac:dyDescent="0.2">
      <c r="B334" s="650" t="s">
        <v>583</v>
      </c>
      <c r="C334" s="651" t="s">
        <v>584</v>
      </c>
      <c r="D334" s="652"/>
      <c r="E334" s="652"/>
      <c r="F334" s="652"/>
      <c r="G334" s="652"/>
      <c r="H334" s="653"/>
    </row>
    <row r="335" spans="2:8" ht="14.25" x14ac:dyDescent="0.2">
      <c r="B335" s="666" t="s">
        <v>7</v>
      </c>
      <c r="C335" s="667" t="s">
        <v>8</v>
      </c>
      <c r="D335" s="668" t="s">
        <v>9</v>
      </c>
      <c r="E335" s="668" t="s">
        <v>72</v>
      </c>
      <c r="F335" s="666" t="s">
        <v>12</v>
      </c>
    </row>
    <row r="336" spans="2:8" x14ac:dyDescent="0.2">
      <c r="B336" s="307" t="s">
        <v>107</v>
      </c>
      <c r="C336" s="308" t="s">
        <v>585</v>
      </c>
      <c r="D336" s="309" t="s">
        <v>1</v>
      </c>
      <c r="E336" s="310">
        <v>5.08</v>
      </c>
      <c r="F336" s="311"/>
    </row>
    <row r="337" spans="2:11" x14ac:dyDescent="0.2">
      <c r="B337" s="307" t="s">
        <v>586</v>
      </c>
      <c r="C337" s="312" t="s">
        <v>587</v>
      </c>
      <c r="D337" s="309" t="s">
        <v>1</v>
      </c>
      <c r="E337" s="313">
        <v>0.99</v>
      </c>
      <c r="F337" s="311"/>
    </row>
    <row r="338" spans="2:11" x14ac:dyDescent="0.2">
      <c r="B338" s="307" t="s">
        <v>588</v>
      </c>
      <c r="C338" s="312" t="s">
        <v>589</v>
      </c>
      <c r="D338" s="309" t="s">
        <v>1</v>
      </c>
      <c r="E338" s="313">
        <f>SUM(E339:E340)</f>
        <v>1.95</v>
      </c>
      <c r="F338" s="311"/>
    </row>
    <row r="339" spans="2:11" x14ac:dyDescent="0.2">
      <c r="B339" s="307" t="s">
        <v>590</v>
      </c>
      <c r="C339" s="312" t="s">
        <v>610</v>
      </c>
      <c r="D339" s="309" t="s">
        <v>1</v>
      </c>
      <c r="E339" s="313">
        <v>0.56000000000000005</v>
      </c>
      <c r="F339" s="311"/>
    </row>
    <row r="340" spans="2:11" x14ac:dyDescent="0.2">
      <c r="B340" s="307" t="s">
        <v>591</v>
      </c>
      <c r="C340" s="312" t="s">
        <v>593</v>
      </c>
      <c r="D340" s="309" t="s">
        <v>1</v>
      </c>
      <c r="E340" s="313">
        <v>1.39</v>
      </c>
      <c r="F340" s="311"/>
    </row>
    <row r="341" spans="2:11" x14ac:dyDescent="0.2">
      <c r="B341" s="307" t="s">
        <v>592</v>
      </c>
      <c r="C341" s="312" t="s">
        <v>595</v>
      </c>
      <c r="D341" s="309" t="s">
        <v>1</v>
      </c>
      <c r="E341" s="313">
        <f>SUM(E342:E344)</f>
        <v>6.8</v>
      </c>
      <c r="F341" s="311"/>
    </row>
    <row r="342" spans="2:11" x14ac:dyDescent="0.2">
      <c r="B342" s="307" t="s">
        <v>594</v>
      </c>
      <c r="C342" s="312" t="s">
        <v>597</v>
      </c>
      <c r="D342" s="309" t="s">
        <v>1</v>
      </c>
      <c r="E342" s="313">
        <v>2</v>
      </c>
      <c r="F342" s="311"/>
    </row>
    <row r="343" spans="2:11" x14ac:dyDescent="0.2">
      <c r="B343" s="307" t="s">
        <v>596</v>
      </c>
      <c r="C343" s="312" t="s">
        <v>599</v>
      </c>
      <c r="D343" s="309" t="s">
        <v>1</v>
      </c>
      <c r="E343" s="313">
        <v>0.65</v>
      </c>
      <c r="F343" s="311"/>
    </row>
    <row r="344" spans="2:11" x14ac:dyDescent="0.2">
      <c r="B344" s="307" t="s">
        <v>598</v>
      </c>
      <c r="C344" s="312" t="s">
        <v>601</v>
      </c>
      <c r="D344" s="309" t="s">
        <v>1</v>
      </c>
      <c r="E344" s="313">
        <v>4.1500000000000004</v>
      </c>
      <c r="F344" s="311"/>
      <c r="K344" s="263"/>
    </row>
    <row r="345" spans="2:11" x14ac:dyDescent="0.2">
      <c r="B345" s="307" t="s">
        <v>600</v>
      </c>
      <c r="C345" s="312" t="s">
        <v>603</v>
      </c>
      <c r="D345" s="309" t="s">
        <v>1</v>
      </c>
      <c r="E345" s="313">
        <v>10.85</v>
      </c>
      <c r="F345" s="311"/>
    </row>
    <row r="346" spans="2:11" x14ac:dyDescent="0.2">
      <c r="B346" s="307" t="s">
        <v>602</v>
      </c>
      <c r="C346" s="312" t="s">
        <v>604</v>
      </c>
      <c r="D346" s="309" t="s">
        <v>1</v>
      </c>
      <c r="E346" s="313">
        <f>(((1+(E336+E338)/100)*(1+E337/100)*(1+E345/100)/(1-E341/100))-1)*100</f>
        <v>28.56</v>
      </c>
      <c r="F346" s="311"/>
    </row>
    <row r="347" spans="2:11" ht="13.5" thickBot="1" x14ac:dyDescent="0.25">
      <c r="B347" s="314"/>
      <c r="C347" s="315" t="s">
        <v>605</v>
      </c>
      <c r="D347" s="316"/>
      <c r="E347" s="317"/>
      <c r="F347" s="318">
        <f>F332*(E346/100)</f>
        <v>0</v>
      </c>
      <c r="G347" s="355"/>
    </row>
    <row r="348" spans="2:11" ht="13.5" thickBot="1" x14ac:dyDescent="0.25">
      <c r="C348" s="6"/>
      <c r="D348" s="3"/>
      <c r="E348" s="6"/>
      <c r="F348" s="6"/>
    </row>
    <row r="349" spans="2:11" ht="15.75" x14ac:dyDescent="0.25">
      <c r="C349" s="319" t="s">
        <v>606</v>
      </c>
      <c r="D349" s="320"/>
      <c r="E349" s="321"/>
      <c r="F349" s="322">
        <f>F332+F347+13.45</f>
        <v>13.45</v>
      </c>
    </row>
    <row r="350" spans="2:11" ht="15.75" x14ac:dyDescent="0.25">
      <c r="C350" s="323" t="s">
        <v>607</v>
      </c>
      <c r="D350" s="324"/>
      <c r="E350" s="325"/>
      <c r="F350" s="670">
        <v>3202</v>
      </c>
    </row>
    <row r="351" spans="2:11" ht="16.5" thickBot="1" x14ac:dyDescent="0.3">
      <c r="C351" s="326" t="s">
        <v>608</v>
      </c>
      <c r="D351" s="327"/>
      <c r="E351" s="328"/>
      <c r="F351" s="329">
        <f>F349/F350</f>
        <v>0</v>
      </c>
    </row>
    <row r="352" spans="2:11" x14ac:dyDescent="0.2">
      <c r="B352" s="5"/>
      <c r="C352" s="25"/>
      <c r="D352" s="25"/>
      <c r="E352" s="25"/>
      <c r="F352" s="25"/>
      <c r="G352" s="25"/>
      <c r="H352" s="25"/>
    </row>
    <row r="353" spans="3:7" x14ac:dyDescent="0.2">
      <c r="C353" s="31"/>
      <c r="D353" s="31"/>
      <c r="E353" s="31"/>
      <c r="F353" s="31"/>
    </row>
    <row r="354" spans="3:7" x14ac:dyDescent="0.2">
      <c r="C354" s="31"/>
      <c r="D354" s="31"/>
      <c r="E354" s="31"/>
      <c r="F354" s="31"/>
    </row>
    <row r="355" spans="3:7" x14ac:dyDescent="0.2">
      <c r="C355" s="31"/>
      <c r="D355" s="31"/>
      <c r="E355" s="31"/>
      <c r="F355" s="31"/>
    </row>
    <row r="365" spans="3:7" x14ac:dyDescent="0.2">
      <c r="G365" s="355"/>
    </row>
  </sheetData>
  <sheetCalcPr fullCalcOnLoad="1"/>
  <mergeCells count="1">
    <mergeCell ref="B5:H5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74" firstPageNumber="0" fitToHeight="0" orientation="portrait" horizontalDpi="300" verticalDpi="300" r:id="rId1"/>
  <headerFooter alignWithMargins="0"/>
  <rowBreaks count="5" manualBreakCount="5">
    <brk id="66" max="7" man="1"/>
    <brk id="151" max="7" man="1"/>
    <brk id="210" max="7" man="1"/>
    <brk id="270" max="7" man="1"/>
    <brk id="324" max="7" man="1"/>
  </rowBreaks>
  <ignoredErrors>
    <ignoredError sqref="G41 G81 G61 F105:G105 G106" formula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34"/>
  <sheetViews>
    <sheetView showGridLines="0" zoomScaleNormal="100" workbookViewId="0">
      <selection activeCell="F14" sqref="F14:F15"/>
    </sheetView>
  </sheetViews>
  <sheetFormatPr defaultColWidth="8.7109375" defaultRowHeight="12.75" x14ac:dyDescent="0.2"/>
  <cols>
    <col min="1" max="1" width="2.7109375" style="6" customWidth="1"/>
    <col min="2" max="2" width="33" style="258" customWidth="1"/>
    <col min="3" max="3" width="43.140625" style="6" customWidth="1"/>
    <col min="4" max="4" width="12.140625" style="3" customWidth="1"/>
    <col min="5" max="5" width="25.85546875" style="3" customWidth="1"/>
    <col min="6" max="9" width="14" style="6" bestFit="1" customWidth="1"/>
    <col min="10" max="10" width="11.85546875" style="6" bestFit="1" customWidth="1"/>
    <col min="11" max="16384" width="8.7109375" style="6"/>
  </cols>
  <sheetData>
    <row r="1" spans="2:10" ht="13.5" thickBot="1" x14ac:dyDescent="0.25"/>
    <row r="2" spans="2:10" ht="13.5" thickBot="1" x14ac:dyDescent="0.25">
      <c r="E2" s="542" t="s">
        <v>565</v>
      </c>
      <c r="F2" s="543">
        <f>E24</f>
        <v>512258</v>
      </c>
      <c r="G2" s="543">
        <f>F6</f>
        <v>0</v>
      </c>
      <c r="H2" s="544">
        <f>1-(G2/F2)</f>
        <v>1</v>
      </c>
      <c r="I2" s="263"/>
      <c r="J2" s="263"/>
    </row>
    <row r="3" spans="2:10" x14ac:dyDescent="0.2">
      <c r="F3" s="263"/>
      <c r="G3" s="263"/>
      <c r="H3" s="263"/>
      <c r="I3" s="263"/>
    </row>
    <row r="4" spans="2:10" ht="18.75" x14ac:dyDescent="0.3">
      <c r="B4" s="740" t="s">
        <v>447</v>
      </c>
      <c r="C4" s="740"/>
      <c r="D4" s="740"/>
      <c r="E4" s="740"/>
      <c r="F4" s="740"/>
      <c r="G4" s="740"/>
      <c r="H4" s="740"/>
      <c r="I4" s="246"/>
      <c r="J4" s="246"/>
    </row>
    <row r="5" spans="2:10" ht="14.25" x14ac:dyDescent="0.2">
      <c r="B5" s="260" t="s">
        <v>558</v>
      </c>
      <c r="C5" s="739" t="s">
        <v>557</v>
      </c>
      <c r="D5" s="739"/>
      <c r="E5" s="251" t="s">
        <v>564</v>
      </c>
      <c r="F5" s="251" t="s">
        <v>532</v>
      </c>
      <c r="G5" s="251" t="s">
        <v>563</v>
      </c>
      <c r="H5" s="251"/>
      <c r="I5" s="251"/>
      <c r="J5" s="251"/>
    </row>
    <row r="6" spans="2:10" x14ac:dyDescent="0.2">
      <c r="B6" s="97" t="s">
        <v>149</v>
      </c>
      <c r="C6" s="237" t="s">
        <v>615</v>
      </c>
      <c r="D6" s="261">
        <v>2024</v>
      </c>
      <c r="E6" s="515"/>
      <c r="F6" s="501"/>
      <c r="G6" s="502"/>
      <c r="H6" s="502"/>
      <c r="I6" s="503"/>
      <c r="J6" s="503"/>
    </row>
    <row r="7" spans="2:10" x14ac:dyDescent="0.2">
      <c r="B7" s="100" t="s">
        <v>555</v>
      </c>
      <c r="C7" s="143" t="s">
        <v>613</v>
      </c>
      <c r="D7" s="97" t="s">
        <v>551</v>
      </c>
      <c r="E7" s="516"/>
      <c r="F7" s="502"/>
      <c r="G7" s="502"/>
      <c r="H7" s="501"/>
      <c r="I7" s="503"/>
      <c r="J7" s="503"/>
    </row>
    <row r="8" spans="2:10" x14ac:dyDescent="0.2">
      <c r="B8" s="100" t="s">
        <v>555</v>
      </c>
      <c r="C8" s="143" t="s">
        <v>614</v>
      </c>
      <c r="D8" s="97" t="s">
        <v>550</v>
      </c>
      <c r="E8" s="516"/>
      <c r="F8" s="502"/>
      <c r="G8" s="502"/>
      <c r="H8" s="501"/>
      <c r="I8" s="504"/>
      <c r="J8" s="504"/>
    </row>
    <row r="9" spans="2:10" x14ac:dyDescent="0.2">
      <c r="B9" s="100" t="s">
        <v>556</v>
      </c>
      <c r="C9" s="143" t="s">
        <v>535</v>
      </c>
      <c r="D9" s="97" t="s">
        <v>487</v>
      </c>
      <c r="E9" s="516"/>
      <c r="F9" s="502"/>
      <c r="G9" s="502"/>
      <c r="H9" s="501"/>
      <c r="I9" s="503"/>
      <c r="J9" s="503"/>
    </row>
    <row r="10" spans="2:10" x14ac:dyDescent="0.2">
      <c r="B10" s="252"/>
      <c r="C10" s="249"/>
      <c r="D10" s="1"/>
      <c r="E10" s="1"/>
      <c r="F10" s="247"/>
      <c r="G10" s="248"/>
      <c r="H10" s="253"/>
      <c r="I10" s="247"/>
      <c r="J10" s="254"/>
    </row>
    <row r="11" spans="2:10" x14ac:dyDescent="0.2">
      <c r="E11" s="273"/>
    </row>
    <row r="12" spans="2:10" ht="18.75" x14ac:dyDescent="0.3">
      <c r="B12" s="740" t="s">
        <v>560</v>
      </c>
      <c r="C12" s="740"/>
      <c r="D12" s="740"/>
      <c r="E12" s="740"/>
      <c r="F12" s="740"/>
      <c r="G12" s="740"/>
      <c r="H12" s="740"/>
      <c r="I12" s="246"/>
    </row>
    <row r="13" spans="2:10" ht="14.25" x14ac:dyDescent="0.2">
      <c r="B13" s="251" t="s">
        <v>558</v>
      </c>
      <c r="C13" s="739" t="s">
        <v>557</v>
      </c>
      <c r="D13" s="739"/>
      <c r="E13" s="251"/>
      <c r="F13" s="251" t="s">
        <v>532</v>
      </c>
      <c r="G13" s="251" t="s">
        <v>533</v>
      </c>
      <c r="H13" s="251" t="s">
        <v>534</v>
      </c>
      <c r="I13" s="251" t="s">
        <v>545</v>
      </c>
    </row>
    <row r="14" spans="2:10" x14ac:dyDescent="0.2">
      <c r="B14" s="239" t="s">
        <v>152</v>
      </c>
      <c r="C14" s="265" t="s">
        <v>561</v>
      </c>
      <c r="D14" s="238">
        <v>2023</v>
      </c>
      <c r="E14" s="550">
        <f>F14</f>
        <v>0</v>
      </c>
      <c r="F14" s="506"/>
      <c r="G14" s="497"/>
      <c r="H14" s="497"/>
      <c r="I14" s="496"/>
    </row>
    <row r="15" spans="2:10" x14ac:dyDescent="0.2">
      <c r="B15" s="255" t="s">
        <v>151</v>
      </c>
      <c r="C15" s="265" t="s">
        <v>562</v>
      </c>
      <c r="D15" s="239">
        <v>2023</v>
      </c>
      <c r="E15" s="550">
        <f>F15</f>
        <v>0</v>
      </c>
      <c r="F15" s="506"/>
      <c r="G15" s="496"/>
      <c r="H15" s="496"/>
      <c r="I15" s="496"/>
    </row>
    <row r="16" spans="2:10" ht="25.5" hidden="1" x14ac:dyDescent="0.2">
      <c r="B16" s="240" t="s">
        <v>559</v>
      </c>
      <c r="C16" s="242" t="s">
        <v>547</v>
      </c>
      <c r="D16" s="243" t="s">
        <v>548</v>
      </c>
      <c r="E16" s="243"/>
      <c r="F16" s="506">
        <v>77484</v>
      </c>
      <c r="G16" s="241">
        <v>36500</v>
      </c>
      <c r="H16" s="126"/>
      <c r="I16" s="241">
        <v>29950</v>
      </c>
    </row>
    <row r="17" spans="2:10" ht="12.6" hidden="1" customHeight="1" x14ac:dyDescent="0.2">
      <c r="B17" s="240" t="s">
        <v>559</v>
      </c>
      <c r="C17" s="126" t="s">
        <v>536</v>
      </c>
      <c r="D17" s="113" t="s">
        <v>549</v>
      </c>
      <c r="E17" s="113"/>
      <c r="F17" s="126"/>
      <c r="G17" s="241">
        <v>34500</v>
      </c>
      <c r="H17" s="126"/>
      <c r="I17" s="241"/>
    </row>
    <row r="18" spans="2:10" hidden="1" x14ac:dyDescent="0.2">
      <c r="B18" s="129" t="s">
        <v>555</v>
      </c>
      <c r="C18" s="245" t="s">
        <v>546</v>
      </c>
      <c r="D18" s="240"/>
      <c r="E18" s="240"/>
      <c r="F18" s="257"/>
      <c r="G18" s="257"/>
      <c r="H18" s="241">
        <v>229500</v>
      </c>
      <c r="I18" s="241"/>
    </row>
    <row r="19" spans="2:10" hidden="1" x14ac:dyDescent="0.2">
      <c r="B19" s="250" t="s">
        <v>554</v>
      </c>
      <c r="C19" s="126" t="s">
        <v>530</v>
      </c>
      <c r="D19" s="113" t="s">
        <v>552</v>
      </c>
      <c r="E19" s="113"/>
      <c r="F19" s="241">
        <v>331188</v>
      </c>
      <c r="G19" s="257"/>
      <c r="H19" s="257"/>
      <c r="I19" s="241"/>
    </row>
    <row r="20" spans="2:10" hidden="1" x14ac:dyDescent="0.2">
      <c r="B20" s="250" t="s">
        <v>554</v>
      </c>
      <c r="C20" s="126" t="s">
        <v>531</v>
      </c>
      <c r="D20" s="113" t="s">
        <v>553</v>
      </c>
      <c r="E20" s="113"/>
      <c r="F20" s="241">
        <v>274125</v>
      </c>
      <c r="G20" s="257"/>
      <c r="H20" s="257"/>
      <c r="I20" s="241"/>
    </row>
    <row r="24" spans="2:10" x14ac:dyDescent="0.2">
      <c r="B24" s="266" t="s">
        <v>149</v>
      </c>
      <c r="C24" s="267" t="s">
        <v>537</v>
      </c>
      <c r="D24" s="268">
        <v>2024</v>
      </c>
      <c r="E24" s="505">
        <v>512258</v>
      </c>
      <c r="F24" s="269"/>
      <c r="G24" s="270"/>
      <c r="H24" s="271"/>
      <c r="I24" s="269"/>
      <c r="J24" s="269"/>
    </row>
    <row r="34" spans="4:5" x14ac:dyDescent="0.2">
      <c r="D34" s="259"/>
      <c r="E34" s="259"/>
    </row>
  </sheetData>
  <mergeCells count="4">
    <mergeCell ref="C13:D13"/>
    <mergeCell ref="B12:H12"/>
    <mergeCell ref="B4:H4"/>
    <mergeCell ref="C5:D5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11</vt:i4>
      </vt:variant>
      <vt:variant>
        <vt:lpstr>Intervalos nomeados</vt:lpstr>
      </vt:variant>
      <vt:variant>
        <vt:i4>5</vt:i4>
      </vt:variant>
    </vt:vector>
  </HeadingPairs>
  <TitlesOfParts>
    <vt:vector size="16" baseType="lpstr">
      <vt:lpstr>Dados de entrada Veíc. e Equip.</vt:lpstr>
      <vt:lpstr>DIMENSIONAMENTO DA FROTA</vt:lpstr>
      <vt:lpstr>DIMENSIONAMENTO DA FROTA COMPLE</vt:lpstr>
      <vt:lpstr>RESUMO</vt:lpstr>
      <vt:lpstr>DADOS DE ENTRADA</vt:lpstr>
      <vt:lpstr>PREÇOS UNITÁRIOS</vt:lpstr>
      <vt:lpstr>ADM</vt:lpstr>
      <vt:lpstr>COLETA URBANA </vt:lpstr>
      <vt:lpstr>Orç. Equi. Veículo </vt:lpstr>
      <vt:lpstr>Orç. EPI</vt:lpstr>
      <vt:lpstr>Orç. Pneus</vt:lpstr>
      <vt:lpstr>ADM!Area_de_impressao</vt:lpstr>
      <vt:lpstr>'COLETA URBANA '!Area_de_impressao</vt:lpstr>
      <vt:lpstr>'PREÇOS UNITÁRIOS'!Area_de_impressao</vt:lpstr>
      <vt:lpstr>RESUMO!Area_de_impressao</vt:lpstr>
      <vt:lpstr>'COLETA URBANA '!Titulos_de_impressao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revision>1</cp:revision>
  <dcterms:created xsi:type="dcterms:W3CDTF">2014-05-02T14:15:13Z</dcterms:created>
  <dcterms:modified xsi:type="dcterms:W3CDTF">2024-06-20T21:01:31Z</dcterms:modified>
</cp:coreProperties>
</file>