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0.5\users$\gabriele.ferreira\Desktop\Projetos\EMEB SAUL ATHAYDE\"/>
    </mc:Choice>
  </mc:AlternateContent>
  <bookViews>
    <workbookView xWindow="0" yWindow="0" windowWidth="28800" windowHeight="12135"/>
  </bookViews>
  <sheets>
    <sheet name="ORÇAMENTO " sheetId="1" r:id="rId1"/>
    <sheet name="Plan3" sheetId="8" state="hidden" r:id="rId2"/>
    <sheet name="CRONOGRAMA" sheetId="2" r:id="rId3"/>
    <sheet name="Plan1" sheetId="6" state="hidden" r:id="rId4"/>
    <sheet name="Plan2" sheetId="7" state="hidden" r:id="rId5"/>
  </sheets>
  <definedNames>
    <definedName name="_xlnm.Print_Area" localSheetId="2">CRONOGRAMA!$A$1:$O$22</definedName>
    <definedName name="matriz">#REF!</definedName>
    <definedName name="matriz2">#REF!</definedName>
    <definedName name="TESTE">#REF!*#REF!</definedName>
  </definedNames>
  <calcPr calcId="152511"/>
</workbook>
</file>

<file path=xl/calcChain.xml><?xml version="1.0" encoding="utf-8"?>
<calcChain xmlns="http://schemas.openxmlformats.org/spreadsheetml/2006/main">
  <c r="F118" i="1" l="1"/>
  <c r="F115" i="1"/>
  <c r="F94" i="1"/>
  <c r="F89" i="1"/>
  <c r="F71" i="1"/>
  <c r="F69" i="1"/>
  <c r="F68" i="1"/>
  <c r="F67" i="1"/>
  <c r="F66" i="1"/>
  <c r="F60" i="1"/>
  <c r="F59" i="1"/>
  <c r="F117" i="1" s="1"/>
  <c r="F58" i="1"/>
  <c r="F53" i="1"/>
  <c r="F70" i="1" s="1"/>
  <c r="F52" i="1"/>
  <c r="F42" i="1" s="1"/>
  <c r="F51" i="1"/>
  <c r="F47" i="1"/>
  <c r="F48" i="1" s="1"/>
  <c r="F49" i="1" s="1"/>
  <c r="F50" i="1" s="1"/>
  <c r="F109" i="1" s="1"/>
  <c r="F110" i="1" s="1"/>
  <c r="F111" i="1" s="1"/>
  <c r="F43" i="1"/>
  <c r="F41" i="1"/>
  <c r="F37" i="1"/>
  <c r="F36" i="1"/>
  <c r="F35" i="1"/>
  <c r="F34" i="1"/>
  <c r="F32" i="1"/>
  <c r="F31" i="1"/>
  <c r="F30" i="1"/>
  <c r="F29" i="1"/>
  <c r="F20" i="1"/>
  <c r="F19" i="1"/>
  <c r="F15" i="1"/>
  <c r="F14" i="1"/>
  <c r="F13" i="1"/>
  <c r="F12" i="1"/>
  <c r="F11" i="1"/>
  <c r="F10" i="1"/>
  <c r="F8" i="1"/>
  <c r="H25" i="1" l="1"/>
  <c r="I25" i="1" s="1"/>
  <c r="H119" i="1" l="1"/>
  <c r="I119" i="1" s="1"/>
  <c r="H71" i="1"/>
  <c r="I71" i="1" s="1"/>
  <c r="H70" i="1"/>
  <c r="H14" i="1"/>
  <c r="H95" i="1"/>
  <c r="I95" i="1" s="1"/>
  <c r="H91" i="1"/>
  <c r="I91" i="1" s="1"/>
  <c r="H92" i="1"/>
  <c r="I92" i="1" s="1"/>
  <c r="H93" i="1"/>
  <c r="I93" i="1" s="1"/>
  <c r="H90" i="1"/>
  <c r="I90" i="1" s="1"/>
  <c r="H89" i="1"/>
  <c r="I89" i="1" s="1"/>
  <c r="H88" i="1"/>
  <c r="I88" i="1" s="1"/>
  <c r="I70" i="1" l="1"/>
  <c r="C51" i="6" l="1"/>
  <c r="C4" i="8" l="1"/>
  <c r="C3" i="8"/>
  <c r="C2" i="8"/>
  <c r="C1" i="8"/>
  <c r="A9" i="8"/>
  <c r="A6" i="8"/>
  <c r="A2" i="8"/>
  <c r="A1" i="8"/>
  <c r="C48" i="6" l="1"/>
  <c r="K42" i="7"/>
  <c r="K41" i="7"/>
  <c r="K40" i="7"/>
  <c r="K39" i="7"/>
  <c r="K33" i="7"/>
  <c r="K32" i="7"/>
  <c r="K31" i="7"/>
  <c r="R42" i="7"/>
  <c r="S42" i="7" s="1"/>
  <c r="U42" i="7" s="1"/>
  <c r="M11" i="7"/>
  <c r="K23" i="7"/>
  <c r="K21" i="7"/>
  <c r="K20" i="7"/>
  <c r="K19" i="7"/>
  <c r="K18" i="7"/>
  <c r="K17" i="7"/>
  <c r="K16" i="7"/>
  <c r="K15" i="7"/>
  <c r="M13" i="7"/>
  <c r="L10" i="7"/>
  <c r="M10" i="7"/>
  <c r="N4" i="7"/>
  <c r="N7" i="7" s="1"/>
  <c r="L4" i="7"/>
  <c r="M4" i="7"/>
  <c r="M3" i="7"/>
  <c r="L3" i="7"/>
  <c r="N3" i="7" s="1"/>
  <c r="N2" i="7"/>
  <c r="M2" i="7"/>
  <c r="L2" i="7"/>
  <c r="N1" i="7"/>
  <c r="L1" i="7"/>
  <c r="A12" i="7"/>
  <c r="F28" i="7"/>
  <c r="B28" i="7"/>
  <c r="B26" i="7"/>
  <c r="D15" i="7"/>
  <c r="G7" i="7"/>
  <c r="G6" i="7"/>
  <c r="G2" i="7"/>
  <c r="G4" i="7"/>
  <c r="F2" i="7"/>
  <c r="F3" i="7"/>
  <c r="D10" i="7"/>
  <c r="B10" i="7"/>
  <c r="B9" i="7"/>
  <c r="B8" i="7"/>
  <c r="B7" i="7"/>
  <c r="C7" i="7"/>
  <c r="D3" i="7"/>
  <c r="D2" i="7"/>
  <c r="C3" i="7"/>
  <c r="C2" i="7"/>
  <c r="D5" i="7"/>
  <c r="C5" i="7"/>
  <c r="U38" i="6" l="1"/>
  <c r="J55" i="6"/>
  <c r="J60" i="6"/>
  <c r="J53" i="6"/>
  <c r="G53" i="6"/>
  <c r="J57" i="6"/>
  <c r="J52" i="6"/>
  <c r="G51" i="6" l="1"/>
  <c r="G52" i="6" s="1"/>
  <c r="G54" i="6" s="1"/>
  <c r="J54" i="6" s="1"/>
  <c r="J56" i="6" s="1"/>
  <c r="J58" i="6" s="1"/>
  <c r="A59" i="6"/>
  <c r="W31" i="6"/>
  <c r="W30" i="6"/>
  <c r="W29" i="6"/>
  <c r="W27" i="6"/>
  <c r="W26" i="6"/>
  <c r="U39" i="6"/>
  <c r="U40" i="6" s="1"/>
  <c r="U41" i="6" s="1"/>
  <c r="U37" i="6"/>
  <c r="S51" i="6"/>
  <c r="S50" i="6"/>
  <c r="W18" i="6"/>
  <c r="W17" i="6"/>
  <c r="W15" i="6"/>
  <c r="W14" i="6"/>
  <c r="T19" i="6"/>
  <c r="T18" i="6"/>
  <c r="T17" i="6"/>
  <c r="T13" i="6"/>
  <c r="T14" i="6" s="1"/>
  <c r="T15" i="6" s="1"/>
  <c r="U4" i="6"/>
  <c r="U3" i="6"/>
  <c r="B45" i="6"/>
  <c r="E45" i="6" s="1"/>
  <c r="T21" i="6" l="1"/>
  <c r="N36" i="6"/>
  <c r="N35" i="6"/>
  <c r="N34" i="6"/>
  <c r="N33" i="6"/>
  <c r="N37" i="6" s="1"/>
  <c r="N38" i="6" s="1"/>
  <c r="N32" i="6"/>
  <c r="N31" i="6"/>
  <c r="N30" i="6"/>
  <c r="L42" i="6"/>
  <c r="L41" i="6"/>
  <c r="L40" i="6"/>
  <c r="L39" i="6"/>
  <c r="L43" i="6" s="1"/>
  <c r="H105" i="1" l="1"/>
  <c r="I105" i="1" s="1"/>
  <c r="J34" i="6" l="1"/>
  <c r="B44" i="6"/>
  <c r="C44" i="6" s="1"/>
  <c r="J33" i="6" s="1"/>
  <c r="H101" i="1"/>
  <c r="I101" i="1" s="1"/>
  <c r="H100" i="1"/>
  <c r="I100" i="1" s="1"/>
  <c r="H96" i="1"/>
  <c r="I96" i="1" s="1"/>
  <c r="H94" i="1"/>
  <c r="I94" i="1" s="1"/>
  <c r="H87" i="1"/>
  <c r="I87" i="1" s="1"/>
  <c r="E32" i="6"/>
  <c r="F30" i="6"/>
  <c r="F32" i="6" s="1"/>
  <c r="F34" i="6" s="1"/>
  <c r="E30" i="6"/>
  <c r="B43" i="6"/>
  <c r="B42" i="6"/>
  <c r="C42" i="6" s="1"/>
  <c r="B41" i="6"/>
  <c r="B40" i="6"/>
  <c r="C40" i="6" s="1"/>
  <c r="B39" i="6"/>
  <c r="C39" i="6" s="1"/>
  <c r="B38" i="6"/>
  <c r="B37" i="6"/>
  <c r="C37" i="6" s="1"/>
  <c r="J32" i="6" s="1"/>
  <c r="C38" i="6"/>
  <c r="C41" i="6"/>
  <c r="C43" i="6"/>
  <c r="B36" i="6"/>
  <c r="C36" i="6" s="1"/>
  <c r="J31" i="6" s="1"/>
  <c r="B35" i="6"/>
  <c r="B33" i="6"/>
  <c r="C33" i="6" s="1"/>
  <c r="B34" i="6"/>
  <c r="C34" i="6" s="1"/>
  <c r="C35" i="6"/>
  <c r="J30" i="6" s="1"/>
  <c r="J35" i="6" s="1"/>
  <c r="J36" i="6" s="1"/>
  <c r="B32" i="6"/>
  <c r="C32" i="6" s="1"/>
  <c r="B31" i="6"/>
  <c r="C31" i="6" s="1"/>
  <c r="B30" i="6"/>
  <c r="C30" i="6" s="1"/>
  <c r="H78" i="1"/>
  <c r="H77" i="1"/>
  <c r="C49" i="6" l="1"/>
  <c r="C50" i="6" s="1"/>
  <c r="I77" i="1"/>
  <c r="I78" i="1"/>
  <c r="H82" i="1"/>
  <c r="I82" i="1" s="1"/>
  <c r="H79" i="1"/>
  <c r="I79" i="1" s="1"/>
  <c r="H80" i="1"/>
  <c r="I80" i="1" s="1"/>
  <c r="H81" i="1"/>
  <c r="I81" i="1" s="1"/>
  <c r="H76" i="1"/>
  <c r="I76" i="1" s="1"/>
  <c r="L11" i="6" l="1"/>
  <c r="L12" i="6" s="1"/>
  <c r="L13" i="6" s="1"/>
  <c r="P16" i="6"/>
  <c r="P15" i="6"/>
  <c r="P14" i="6"/>
  <c r="Q12" i="6"/>
  <c r="Q4" i="6"/>
  <c r="Q3" i="6"/>
  <c r="Q5" i="6" s="1"/>
  <c r="O9" i="6"/>
  <c r="Q9" i="6" s="1"/>
  <c r="Q10" i="6" s="1"/>
  <c r="D21" i="6"/>
  <c r="D22" i="6"/>
  <c r="D23" i="6"/>
  <c r="D24" i="6"/>
  <c r="D20" i="6"/>
  <c r="C17" i="6"/>
  <c r="C11" i="6"/>
  <c r="C12" i="6"/>
  <c r="C13" i="6"/>
  <c r="C14" i="6"/>
  <c r="C15" i="6"/>
  <c r="C16" i="6"/>
  <c r="C10" i="6"/>
  <c r="E5" i="6"/>
  <c r="E4" i="6"/>
  <c r="E6" i="6" s="1"/>
  <c r="I14" i="1"/>
  <c r="A6" i="6"/>
  <c r="Q18" i="6" l="1"/>
  <c r="D26" i="6"/>
  <c r="C18" i="6"/>
  <c r="B20" i="2"/>
  <c r="B19" i="2"/>
  <c r="B17" i="2"/>
  <c r="B16" i="2"/>
  <c r="B15" i="2"/>
  <c r="B14" i="2"/>
  <c r="B13" i="2"/>
  <c r="B12" i="2"/>
  <c r="B11" i="2"/>
  <c r="B10" i="2"/>
  <c r="B9" i="2"/>
  <c r="B8" i="2"/>
  <c r="H20" i="1"/>
  <c r="I20" i="1" s="1"/>
  <c r="H116" i="1"/>
  <c r="I116" i="1" s="1"/>
  <c r="H102" i="1"/>
  <c r="I102" i="1" s="1"/>
  <c r="H103" i="1"/>
  <c r="I103" i="1" s="1"/>
  <c r="H104" i="1"/>
  <c r="I104" i="1" s="1"/>
  <c r="F22" i="6" l="1"/>
  <c r="H32" i="1" l="1"/>
  <c r="I32" i="1" s="1"/>
  <c r="H43" i="1"/>
  <c r="I43" i="1" s="1"/>
  <c r="H61" i="1" l="1"/>
  <c r="I61" i="1" s="1"/>
  <c r="H34" i="1"/>
  <c r="I34" i="1" s="1"/>
  <c r="H35" i="1"/>
  <c r="I35" i="1" s="1"/>
  <c r="H36" i="1"/>
  <c r="I36" i="1" s="1"/>
  <c r="H37" i="1"/>
  <c r="I37" i="1" s="1"/>
  <c r="H33" i="1"/>
  <c r="I33" i="1" s="1"/>
  <c r="H75" i="1" l="1"/>
  <c r="I75" i="1" s="1"/>
  <c r="H66" i="1"/>
  <c r="I66" i="1" s="1"/>
  <c r="H67" i="1"/>
  <c r="I67" i="1" s="1"/>
  <c r="H68" i="1"/>
  <c r="I68" i="1" s="1"/>
  <c r="H69" i="1"/>
  <c r="I69" i="1" s="1"/>
  <c r="H60" i="1"/>
  <c r="I60" i="1" s="1"/>
  <c r="H24" i="1" l="1"/>
  <c r="I24" i="1" s="1"/>
  <c r="I26" i="1" s="1"/>
  <c r="H13" i="1"/>
  <c r="H15" i="1"/>
  <c r="I15" i="1" s="1"/>
  <c r="I13" i="1" l="1"/>
  <c r="C10" i="2"/>
  <c r="M10" i="2" s="1"/>
  <c r="H58" i="1"/>
  <c r="I58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30" i="1"/>
  <c r="I30" i="1" s="1"/>
  <c r="H31" i="1"/>
  <c r="I31" i="1" s="1"/>
  <c r="H59" i="1"/>
  <c r="I59" i="1" s="1"/>
  <c r="H12" i="1"/>
  <c r="H11" i="1"/>
  <c r="H10" i="1"/>
  <c r="I10" i="1" s="1"/>
  <c r="I106" i="1" l="1"/>
  <c r="C18" i="2" s="1"/>
  <c r="M18" i="2" l="1"/>
  <c r="O18" i="2"/>
  <c r="K18" i="2"/>
  <c r="I18" i="2"/>
  <c r="G18" i="2"/>
  <c r="E18" i="2"/>
  <c r="I11" i="1"/>
  <c r="I12" i="1"/>
  <c r="H118" i="1"/>
  <c r="H117" i="1"/>
  <c r="I117" i="1" s="1"/>
  <c r="H115" i="1"/>
  <c r="I115" i="1" s="1"/>
  <c r="H111" i="1"/>
  <c r="I111" i="1" s="1"/>
  <c r="H110" i="1"/>
  <c r="I110" i="1" s="1"/>
  <c r="H109" i="1"/>
  <c r="I109" i="1" s="1"/>
  <c r="I83" i="1"/>
  <c r="C16" i="2" s="1"/>
  <c r="M16" i="2" s="1"/>
  <c r="H86" i="1"/>
  <c r="I86" i="1" s="1"/>
  <c r="I97" i="1" s="1"/>
  <c r="C17" i="2" s="1"/>
  <c r="M17" i="2" s="1"/>
  <c r="H65" i="1"/>
  <c r="I65" i="1" s="1"/>
  <c r="I72" i="1" s="1"/>
  <c r="I118" i="1" l="1"/>
  <c r="I120" i="1" s="1"/>
  <c r="I112" i="1"/>
  <c r="C19" i="2" s="1"/>
  <c r="M19" i="2" s="1"/>
  <c r="C15" i="2"/>
  <c r="M15" i="2" s="1"/>
  <c r="C20" i="2" l="1"/>
  <c r="M20" i="2" s="1"/>
  <c r="O19" i="2"/>
  <c r="O15" i="2"/>
  <c r="E15" i="2"/>
  <c r="K15" i="2"/>
  <c r="G15" i="2"/>
  <c r="I15" i="2"/>
  <c r="H3" i="2"/>
  <c r="H42" i="1"/>
  <c r="I42" i="1" s="1"/>
  <c r="H41" i="1"/>
  <c r="H29" i="1"/>
  <c r="G19" i="2" l="1"/>
  <c r="I19" i="2"/>
  <c r="E19" i="2"/>
  <c r="K19" i="2"/>
  <c r="O20" i="2"/>
  <c r="I20" i="2"/>
  <c r="E20" i="2"/>
  <c r="K20" i="2"/>
  <c r="G20" i="2"/>
  <c r="I29" i="1"/>
  <c r="I38" i="1" l="1"/>
  <c r="H19" i="1"/>
  <c r="C11" i="2" l="1"/>
  <c r="M11" i="2" s="1"/>
  <c r="H57" i="1"/>
  <c r="H9" i="1"/>
  <c r="I9" i="1" s="1"/>
  <c r="H8" i="1"/>
  <c r="K11" i="2" l="1"/>
  <c r="O11" i="2"/>
  <c r="I11" i="2"/>
  <c r="G11" i="2"/>
  <c r="H47" i="1"/>
  <c r="I19" i="1"/>
  <c r="I21" i="1" s="1"/>
  <c r="C9" i="2" s="1"/>
  <c r="M9" i="2" s="1"/>
  <c r="I9" i="2" l="1"/>
  <c r="G9" i="2"/>
  <c r="O9" i="2"/>
  <c r="K9" i="2"/>
  <c r="I57" i="1"/>
  <c r="I62" i="1" s="1"/>
  <c r="C14" i="2" s="1"/>
  <c r="M14" i="2" s="1"/>
  <c r="G14" i="2" l="1"/>
  <c r="O14" i="2"/>
  <c r="E14" i="2"/>
  <c r="I14" i="2"/>
  <c r="K14" i="2"/>
  <c r="I41" i="1"/>
  <c r="I44" i="1" s="1"/>
  <c r="C12" i="2" s="1"/>
  <c r="M12" i="2" s="1"/>
  <c r="K12" i="2" l="1"/>
  <c r="O12" i="2"/>
  <c r="I12" i="2"/>
  <c r="G12" i="2"/>
  <c r="I47" i="1" l="1"/>
  <c r="I54" i="1" s="1"/>
  <c r="C13" i="2" s="1"/>
  <c r="M13" i="2" s="1"/>
  <c r="G13" i="2" l="1"/>
  <c r="E13" i="2"/>
  <c r="K13" i="2"/>
  <c r="O13" i="2"/>
  <c r="I13" i="2"/>
  <c r="I8" i="1"/>
  <c r="I16" i="1" l="1"/>
  <c r="C8" i="2" s="1"/>
  <c r="M8" i="2" s="1"/>
  <c r="E10" i="2"/>
  <c r="E9" i="2"/>
  <c r="E12" i="2"/>
  <c r="E11" i="2"/>
  <c r="I122" i="1" l="1"/>
  <c r="O10" i="2"/>
  <c r="K10" i="2"/>
  <c r="G10" i="2"/>
  <c r="I10" i="2"/>
  <c r="E8" i="2" l="1"/>
  <c r="K8" i="2"/>
  <c r="I8" i="2"/>
  <c r="G8" i="2"/>
  <c r="O8" i="2"/>
  <c r="O16" i="2" l="1"/>
  <c r="G16" i="2"/>
  <c r="K16" i="2"/>
  <c r="E16" i="2"/>
  <c r="I16" i="2"/>
  <c r="H3" i="1"/>
  <c r="L3" i="2" s="1"/>
  <c r="K17" i="2"/>
  <c r="K21" i="2" l="1"/>
  <c r="G17" i="2"/>
  <c r="G21" i="2" s="1"/>
  <c r="I17" i="2"/>
  <c r="I21" i="2" s="1"/>
  <c r="E17" i="2"/>
  <c r="C21" i="2"/>
  <c r="O17" i="2"/>
  <c r="O21" i="2" s="1"/>
  <c r="N21" i="2" l="1"/>
  <c r="H21" i="2"/>
  <c r="F21" i="2"/>
  <c r="J21" i="2"/>
  <c r="E21" i="2"/>
  <c r="M21" i="2"/>
  <c r="L21" i="2" s="1"/>
  <c r="E22" i="2" l="1"/>
  <c r="G22" i="2" s="1"/>
  <c r="I22" i="2" s="1"/>
  <c r="K22" i="2" s="1"/>
  <c r="M22" i="2" s="1"/>
  <c r="O22" i="2" s="1"/>
  <c r="D21" i="2"/>
  <c r="D22" i="2" s="1"/>
  <c r="F22" i="2" s="1"/>
  <c r="H22" i="2" s="1"/>
  <c r="J22" i="2" s="1"/>
  <c r="L22" i="2" l="1"/>
  <c r="N22" i="2" s="1"/>
</calcChain>
</file>

<file path=xl/sharedStrings.xml><?xml version="1.0" encoding="utf-8"?>
<sst xmlns="http://schemas.openxmlformats.org/spreadsheetml/2006/main" count="374" uniqueCount="278">
  <si>
    <t>ITEM</t>
  </si>
  <si>
    <t>1.1</t>
  </si>
  <si>
    <t>2.1</t>
  </si>
  <si>
    <t>3.1</t>
  </si>
  <si>
    <t>5.1</t>
  </si>
  <si>
    <t>CRONOGRAMA FÍSICO/FINANCEIRO</t>
  </si>
  <si>
    <t>Valor Acumulado</t>
  </si>
  <si>
    <t>Mês 01</t>
  </si>
  <si>
    <t>Mês 02</t>
  </si>
  <si>
    <t>Mês 03</t>
  </si>
  <si>
    <t>No mês</t>
  </si>
  <si>
    <t>Valor Medido</t>
  </si>
  <si>
    <t>ACUMULADO</t>
  </si>
  <si>
    <t>4.1</t>
  </si>
  <si>
    <t>4.2</t>
  </si>
  <si>
    <t>7.1</t>
  </si>
  <si>
    <t>BDI</t>
  </si>
  <si>
    <t>DATA</t>
  </si>
  <si>
    <t>VALOR DA OBRA C/ BDI:</t>
  </si>
  <si>
    <t>CÓDIGO</t>
  </si>
  <si>
    <t>FONTE</t>
  </si>
  <si>
    <t>DESCRIÇÃO DOS SERVIÇOS</t>
  </si>
  <si>
    <t>UND</t>
  </si>
  <si>
    <t>QTDADE</t>
  </si>
  <si>
    <t>PR. UNIT. S/ BDI  (R$)</t>
  </si>
  <si>
    <t>PREÇO UNIT. C/ BDI (R$)</t>
  </si>
  <si>
    <t>VALOR (R$)</t>
  </si>
  <si>
    <t>1.</t>
  </si>
  <si>
    <t>SERVIÇOS PRELIMINARES</t>
  </si>
  <si>
    <t>m²</t>
  </si>
  <si>
    <t>2.</t>
  </si>
  <si>
    <t>Subtotal item 2.0</t>
  </si>
  <si>
    <t>3.</t>
  </si>
  <si>
    <t>4.</t>
  </si>
  <si>
    <t>Subtotal item 1.0</t>
  </si>
  <si>
    <t>5.</t>
  </si>
  <si>
    <t>Subtotal item 3.0</t>
  </si>
  <si>
    <t>7.</t>
  </si>
  <si>
    <t>SERVIÇOS DIVERSOS</t>
  </si>
  <si>
    <t>Locação de obra</t>
  </si>
  <si>
    <t>PLANILHA ORÇAMENTÁRIA</t>
  </si>
  <si>
    <t>m</t>
  </si>
  <si>
    <t>1.2</t>
  </si>
  <si>
    <t>1.4</t>
  </si>
  <si>
    <t>2.2</t>
  </si>
  <si>
    <t>Subtotal item 4.0</t>
  </si>
  <si>
    <t>6.1</t>
  </si>
  <si>
    <t>6.2</t>
  </si>
  <si>
    <t>6.3</t>
  </si>
  <si>
    <t>Subtotal item 6.0</t>
  </si>
  <si>
    <t>7.2</t>
  </si>
  <si>
    <t>Subtotal item 7.0</t>
  </si>
  <si>
    <t>_______________________________________</t>
  </si>
  <si>
    <t>6.4</t>
  </si>
  <si>
    <t>5.2</t>
  </si>
  <si>
    <t>Mês 04</t>
  </si>
  <si>
    <t>Mês 05</t>
  </si>
  <si>
    <t>M2</t>
  </si>
  <si>
    <t>M</t>
  </si>
  <si>
    <t>7.3</t>
  </si>
  <si>
    <t>Subtotal item 5.0</t>
  </si>
  <si>
    <t>6.</t>
  </si>
  <si>
    <t>1.5</t>
  </si>
  <si>
    <t>5.3</t>
  </si>
  <si>
    <t>1.3</t>
  </si>
  <si>
    <t>1.6</t>
  </si>
  <si>
    <t>1.7</t>
  </si>
  <si>
    <t>1.8</t>
  </si>
  <si>
    <t>Obra: AMPLIAÇÃO E REFORMA - CEIM SEPÉ TIARAJU SÃO CARLOS - COM FORNECIMENTO DE MATERIAL</t>
  </si>
  <si>
    <t>IMPERMEABILIZAÇÃO</t>
  </si>
  <si>
    <t>COBERTURA</t>
  </si>
  <si>
    <t>ELÉTRICA</t>
  </si>
  <si>
    <t>8.</t>
  </si>
  <si>
    <t>9.</t>
  </si>
  <si>
    <t>10.</t>
  </si>
  <si>
    <t>11.</t>
  </si>
  <si>
    <t>Forma para estruturas em concreto (Reaproveitamento 2x)</t>
  </si>
  <si>
    <t>Lastro de Brita 6cm</t>
  </si>
  <si>
    <t>Contrapiso, concreto espessura 6cm</t>
  </si>
  <si>
    <t>PINTURA E ACABAMENTOS</t>
  </si>
  <si>
    <t>Aplicação manual de fundo selador acrílico</t>
  </si>
  <si>
    <t>Limpeza final da obra</t>
  </si>
  <si>
    <t>Subtotal item 8.0</t>
  </si>
  <si>
    <t>Subtotal item 9.0</t>
  </si>
  <si>
    <t>Subtotal item 10.0</t>
  </si>
  <si>
    <t>Subtotal item 11.0</t>
  </si>
  <si>
    <t>8.1</t>
  </si>
  <si>
    <t>8.2</t>
  </si>
  <si>
    <t>8.3</t>
  </si>
  <si>
    <t>8.4</t>
  </si>
  <si>
    <t>9.1</t>
  </si>
  <si>
    <t>10.1</t>
  </si>
  <si>
    <t>10.2</t>
  </si>
  <si>
    <t>11.1</t>
  </si>
  <si>
    <t>11.2</t>
  </si>
  <si>
    <t>unid</t>
  </si>
  <si>
    <t>Placa obra pintada e fixada em estrutura de madeira (1,50x2,50)</t>
  </si>
  <si>
    <t xml:space="preserve">TOTAL COM BDI </t>
  </si>
  <si>
    <t>9.2</t>
  </si>
  <si>
    <t>9.3</t>
  </si>
  <si>
    <t>9.4</t>
  </si>
  <si>
    <t>9.5</t>
  </si>
  <si>
    <t>9.6</t>
  </si>
  <si>
    <t>9.7</t>
  </si>
  <si>
    <t>9.8</t>
  </si>
  <si>
    <t>Janela de alumínio - inlcuso vidros, batente e ferragem</t>
  </si>
  <si>
    <t>6.5</t>
  </si>
  <si>
    <t>Porta de ferro chapa lisa completa</t>
  </si>
  <si>
    <t>6.6</t>
  </si>
  <si>
    <t>m³</t>
  </si>
  <si>
    <t>Tapume em madeira</t>
  </si>
  <si>
    <t>Abrigo provisório de pinus, sem divisórias internas e sem sanitário</t>
  </si>
  <si>
    <t>Projeto Completo - Estrutural c/ fundações</t>
  </si>
  <si>
    <t>Projeto elétrico - completo</t>
  </si>
  <si>
    <t>Projeto hidrossanitário - completo</t>
  </si>
  <si>
    <t xml:space="preserve">SERVIÇOS EM CONCRETO </t>
  </si>
  <si>
    <t>SISTEMA DE VEDAÇÃO E REVESTIMENTOS</t>
  </si>
  <si>
    <t>ESQUADRIAS</t>
  </si>
  <si>
    <t>Escavação manual e reaterro - Fundações/Hidro</t>
  </si>
  <si>
    <t>Impermabilização de alvenaria com cimento cristalizante - 3 demãos</t>
  </si>
  <si>
    <t>Reboco</t>
  </si>
  <si>
    <t>Fechadura de embutir com cilindro para portas externas, completa, acabamento padrão médio, incluso furo</t>
  </si>
  <si>
    <t>Trama de madeira para telhado - ripas, caibros e terças</t>
  </si>
  <si>
    <t>Calha em chapa de aço galvanizado n°24 - incluso descidas</t>
  </si>
  <si>
    <t>Testeira de madeira pintada</t>
  </si>
  <si>
    <t>Verga moldada in loco em concreto para janelas até 1,5m</t>
  </si>
  <si>
    <t>Verga moldada in loco em concreto para janelas com mais de 1,5m</t>
  </si>
  <si>
    <t>Verga moldada in loco em concreto para portas com até 1,5m</t>
  </si>
  <si>
    <t>Contraverga moldada in loco em concreto para vãos de até 1,5m</t>
  </si>
  <si>
    <t>Contraverga moldada in loco em concreto para vãos com mais de 1,5m</t>
  </si>
  <si>
    <t>6.7</t>
  </si>
  <si>
    <t>Massa acrílica para interior e exterior</t>
  </si>
  <si>
    <t>10.3</t>
  </si>
  <si>
    <t>Impermeabilização de superfície com emulsão asfáltica - 2 demãos</t>
  </si>
  <si>
    <t>Gradil Janelas</t>
  </si>
  <si>
    <t>Piso ceramico Extra antiderrapante PEI-5 c/argamassa colante AC III</t>
  </si>
  <si>
    <t>IVANA MICHALTCHUK</t>
  </si>
  <si>
    <t>SECRETARIA DA EDUCAÇÃO</t>
  </si>
  <si>
    <t>7.4</t>
  </si>
  <si>
    <t>7.5</t>
  </si>
  <si>
    <t>10.4</t>
  </si>
  <si>
    <t>Sondagem a percussão - SPT</t>
  </si>
  <si>
    <t>Saboneteira tipo dispenser para sabonete líquido</t>
  </si>
  <si>
    <t>Toalheiro plástico tipo dispenser para papel toalha interfolhado</t>
  </si>
  <si>
    <t>Papeleira de parede em metal cromado</t>
  </si>
  <si>
    <t>DEMOLIÇÃO</t>
  </si>
  <si>
    <t>MOVIMENTAÇÃO DE TERRAS E TRANSPORTE</t>
  </si>
  <si>
    <t>Aterro externo com aquisição de aterro</t>
  </si>
  <si>
    <t>Chapisco aplicado com colher de pedreiro, argamassa, traço 1:3 - prepero em betoneira</t>
  </si>
  <si>
    <t>Emboço, em argamassa - traço 1:2:9 (cimento, cal e areia)</t>
  </si>
  <si>
    <t>4.4</t>
  </si>
  <si>
    <t>4.5</t>
  </si>
  <si>
    <t>8.6</t>
  </si>
  <si>
    <t>10.5</t>
  </si>
  <si>
    <t>10.6</t>
  </si>
  <si>
    <t>10.7</t>
  </si>
  <si>
    <t>10.8</t>
  </si>
  <si>
    <t>10.9</t>
  </si>
  <si>
    <t>10.10</t>
  </si>
  <si>
    <t>10.11</t>
  </si>
  <si>
    <t>12.</t>
  </si>
  <si>
    <t>12.1</t>
  </si>
  <si>
    <t>12.2</t>
  </si>
  <si>
    <t>12.3</t>
  </si>
  <si>
    <t>Subtotal item 12.0</t>
  </si>
  <si>
    <t>Luminária de emergência - 30 LED's</t>
  </si>
  <si>
    <t>Mês 06</t>
  </si>
  <si>
    <t>fund</t>
  </si>
  <si>
    <t>Estaca tipo broca 25cm - concreto armado 15MPa</t>
  </si>
  <si>
    <t>Concreto armado 25Mpa usinado/bombeado - incluindo armação</t>
  </si>
  <si>
    <t>Impermeabilização de estruturas enterradas com tinta asfáltica, duas demãos</t>
  </si>
  <si>
    <t>4.6</t>
  </si>
  <si>
    <t>4.7</t>
  </si>
  <si>
    <t>4.8</t>
  </si>
  <si>
    <t>4.9</t>
  </si>
  <si>
    <t>Telhamento com telha ondulada de fibrocimento e=6mm, com recobrimento lateral de 1/4 de onda</t>
  </si>
  <si>
    <t>Cumeeira para telha de fibrocimento ondulada e=6mm, incluso acessórios de fixação e içamento</t>
  </si>
  <si>
    <t>Disjuntor termomagnético, monopolar - 15A</t>
  </si>
  <si>
    <t>Ponto de iluminação residencial incluindo interruptor simples, caixa elétrica, eletroduto, cabo, rasgo, quedra e chumbamento</t>
  </si>
  <si>
    <t>Ponto de tomada residencial, incluindo tomada 10A/250V, caixa elétrica, eletroduto, cabo, rasgo, quebra e chumbamento</t>
  </si>
  <si>
    <t>Ponto de tomada residencial, incluindo tomada (2 módulos) 10A/250V, caixa elétrica, eletroduto, cabo, rasgo, quebra e chumbamento</t>
  </si>
  <si>
    <t>Ponto de tomada residencial, incluindo tomada 20A/250V, caixa elétrica, eletroduto, cabo, rasgo, quebra e chumbamento</t>
  </si>
  <si>
    <t>Luminária Tubular tipo calha, LED 2x16W - 120cm - Completa - Fornecimento e Instalação - branca</t>
  </si>
  <si>
    <t>Luminária tipo plafon com vidro fosco, de sobrepor - 2 lâmpadas 15W</t>
  </si>
  <si>
    <t>PINTURA</t>
  </si>
  <si>
    <t>FACHADA</t>
  </si>
  <si>
    <t>MURO NOVO</t>
  </si>
  <si>
    <t>ATRAS</t>
  </si>
  <si>
    <t>WCS</t>
  </si>
  <si>
    <t>DEP</t>
  </si>
  <si>
    <t>SALA</t>
  </si>
  <si>
    <t>BERÇ</t>
  </si>
  <si>
    <t>DIREÇ</t>
  </si>
  <si>
    <t>CIRC NOV</t>
  </si>
  <si>
    <t>CIRC ANTIG</t>
  </si>
  <si>
    <t>A.SERV</t>
  </si>
  <si>
    <t>COZ</t>
  </si>
  <si>
    <t>SALA NOV</t>
  </si>
  <si>
    <t>TOTAL</t>
  </si>
  <si>
    <t>A. PORT 80</t>
  </si>
  <si>
    <t>A. JANELA</t>
  </si>
  <si>
    <t>INSTALAÇÕES HIDROSSANITÁRIAS</t>
  </si>
  <si>
    <t>Ponto de consumo terminal de água fria com tubulação de PVC, DN 25mm, instalado em ramal de água, inclusos rasgo e chumbamento em alvenaria</t>
  </si>
  <si>
    <t xml:space="preserve">LOUÇAS E ACESSÓRIOS </t>
  </si>
  <si>
    <t>13.1</t>
  </si>
  <si>
    <t>13.2</t>
  </si>
  <si>
    <t>13.3</t>
  </si>
  <si>
    <t>13.4</t>
  </si>
  <si>
    <t>13.5</t>
  </si>
  <si>
    <t>Subtotal item 13.0</t>
  </si>
  <si>
    <t>Registro de gaveta metálico c/ canopla 3/4"</t>
  </si>
  <si>
    <t>Tubo PVC, série R, água pluvial, DN 100mm</t>
  </si>
  <si>
    <t>Ralo sinonado PVC quadrado 100x53x40mm</t>
  </si>
  <si>
    <t>Espelho com moldura de alumínio fixado com bucha</t>
  </si>
  <si>
    <t>corredor</t>
  </si>
  <si>
    <t>massa</t>
  </si>
  <si>
    <t>DIR</t>
  </si>
  <si>
    <t>Lavatorio de louça em bancada sifonado c/ torneira
Pressmatic</t>
  </si>
  <si>
    <t>LOUÇAS E ACESSÓRIOS</t>
  </si>
  <si>
    <t>PISO</t>
  </si>
  <si>
    <t>RODAPE</t>
  </si>
  <si>
    <t>OBS: Todos os referenciais de preços constantes nesta planilha foram retirados na tabela SINAPI do mês de Março/Abril de 2022, conforme o Decreto nº 7.983, Art. 3o, de 8 de abril de 2013. Quando não constante em tabela SINAPI, a referência de preço foi retirada da tabela DEINFRA e SEINFRA, conforme disposto no Decreto nº 7.983, Art. 6o, de 8 de abril de 2013.</t>
  </si>
  <si>
    <t>Fundos</t>
  </si>
  <si>
    <t>impermeb</t>
  </si>
  <si>
    <t>fundaçoes</t>
  </si>
  <si>
    <t>bloco 1</t>
  </si>
  <si>
    <t>bloco 2</t>
  </si>
  <si>
    <t>pilar</t>
  </si>
  <si>
    <t>soma</t>
  </si>
  <si>
    <t>baldrame</t>
  </si>
  <si>
    <t>total</t>
  </si>
  <si>
    <t>hidro</t>
  </si>
  <si>
    <t>drangem</t>
  </si>
  <si>
    <t>aterro</t>
  </si>
  <si>
    <t>alt</t>
  </si>
  <si>
    <t>piso</t>
  </si>
  <si>
    <t>imp alv</t>
  </si>
  <si>
    <t>a.serv</t>
  </si>
  <si>
    <t>coz</t>
  </si>
  <si>
    <t>s.dir</t>
  </si>
  <si>
    <t>lado fora</t>
  </si>
  <si>
    <t>imp bald</t>
  </si>
  <si>
    <t>lados</t>
  </si>
  <si>
    <t>chapisco</t>
  </si>
  <si>
    <t>piso cer</t>
  </si>
  <si>
    <t>DESP</t>
  </si>
  <si>
    <t>Ponto de iluminação residencial incluindo interruptor simples (2 módulos), caixa elétrica, eletroduto, cabo, rasgo, quedra e chumbamento</t>
  </si>
  <si>
    <t>Kit porta de madeira para pintura completa, semi-oca (média), padrão médio, 80x210cm, espessura de 3,5cm, pintada na cor indicada - inlcuso: dobradiças e fechadura</t>
  </si>
  <si>
    <t>Soleira de granito 17cm - portas e janelas</t>
  </si>
  <si>
    <t>Demolicao de area construida</t>
  </si>
  <si>
    <t>Revestimento cerâmico de paredes - extra - 30x40cm (aproximada) - incluso rejunte - banheiro + sala</t>
  </si>
  <si>
    <t>Alvenaria de tijolo 2F a vista 11cm</t>
  </si>
  <si>
    <t>Pintura acrílica sobre paredes internas, 2 demãos</t>
  </si>
  <si>
    <t>Muro de alvenaria 15cm c/fund.em concr.rebocado e pint.</t>
  </si>
  <si>
    <t>Vaso sanitário sifonado com caixa acoplada louça branca, incluso engate flexível em plástico branco, 1/2  x 40cm</t>
  </si>
  <si>
    <t>Tanque séptico em alvenaria de blocos de concreto, rebocado, com ponto de limpeza e tampa de inspeção</t>
  </si>
  <si>
    <t>Filtro anaeróbio em alvenaria de blocos de concreto, rebocado, com ponto para limpeza e tampa de inspeção</t>
  </si>
  <si>
    <t>Caixa de inspecao 60x60x60 - com tampa</t>
  </si>
  <si>
    <t>4.3</t>
  </si>
  <si>
    <t>8.5</t>
  </si>
  <si>
    <t>11.3</t>
  </si>
  <si>
    <t>11.4</t>
  </si>
  <si>
    <t>11.5</t>
  </si>
  <si>
    <t>11.6</t>
  </si>
  <si>
    <t>Ponto de esgoto em PVC - lavatórios, pias, tanques e semelhantes</t>
  </si>
  <si>
    <t>Ponto de esgoto em PVC - DN 100mm (sanitários)</t>
  </si>
  <si>
    <t>Ponto de ventilação 50mm com 1 saída</t>
  </si>
  <si>
    <t>Tubo PVC, série normal, esgoto predial, DN 100mm</t>
  </si>
  <si>
    <t>Obra: SALA DE AULA - EMEB SAUL DE ATHAYDE - COM FORNECIMENTO DE MATERIAL</t>
  </si>
  <si>
    <t>Forro em réguas PVC, frisado, inclusive estrutura de fixação</t>
  </si>
  <si>
    <t>Roda forro de PVC 5cm com bucha e parafusos</t>
  </si>
  <si>
    <t>8.7</t>
  </si>
  <si>
    <t>Toldo com cobertura em chapa de policarbonato</t>
  </si>
  <si>
    <t xml:space="preserve">Responsável Técnico: </t>
  </si>
  <si>
    <t xml:space="preserve">Preço base: </t>
  </si>
  <si>
    <t>TOTAL C/BDI (x%)</t>
  </si>
  <si>
    <t>3.2</t>
  </si>
  <si>
    <t>Carga manual e transporte entulho/ caminhao 10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</si>
</sst>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_(* #,##0.00_);_(* \(#,##0.00\);_(* &quot;-&quot;??_);_(@_)"/>
    <numFmt numFmtId="166" formatCode="&quot;R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9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24"/>
      <color theme="1"/>
      <name val="Arial"/>
      <family val="2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4" fillId="0" borderId="0"/>
    <xf numFmtId="0" fontId="10" fillId="0" borderId="0"/>
    <xf numFmtId="9" fontId="14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133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7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" fontId="6" fillId="0" borderId="0" xfId="0" applyNumberFormat="1" applyFont="1" applyFill="1"/>
    <xf numFmtId="164" fontId="6" fillId="0" borderId="0" xfId="0" applyNumberFormat="1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Protection="1"/>
    <xf numFmtId="0" fontId="3" fillId="0" borderId="1" xfId="0" applyFont="1" applyFill="1" applyBorder="1" applyAlignment="1">
      <alignment horizontal="center" vertical="center"/>
    </xf>
    <xf numFmtId="164" fontId="8" fillId="0" borderId="1" xfId="1" applyFont="1" applyFill="1" applyBorder="1" applyAlignment="1">
      <alignment horizontal="left" vertical="center"/>
    </xf>
    <xf numFmtId="9" fontId="8" fillId="2" borderId="1" xfId="2" applyFont="1" applyFill="1" applyBorder="1" applyAlignment="1">
      <alignment horizontal="center" vertical="center"/>
    </xf>
    <xf numFmtId="164" fontId="8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4" applyNumberFormat="1" applyFont="1" applyFill="1" applyBorder="1" applyAlignment="1">
      <alignment horizontal="left" vertical="center"/>
    </xf>
    <xf numFmtId="164" fontId="2" fillId="5" borderId="1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44" fontId="4" fillId="0" borderId="1" xfId="0" applyNumberFormat="1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44" fontId="3" fillId="0" borderId="1" xfId="1" applyNumberFormat="1" applyFont="1" applyFill="1" applyBorder="1" applyAlignment="1" applyProtection="1">
      <alignment horizontal="center" vertical="center"/>
      <protection locked="0"/>
    </xf>
    <xf numFmtId="164" fontId="5" fillId="0" borderId="1" xfId="1" applyFont="1" applyFill="1" applyBorder="1" applyAlignment="1">
      <alignment horizontal="center" vertical="center"/>
    </xf>
    <xf numFmtId="9" fontId="5" fillId="2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64" fontId="5" fillId="0" borderId="1" xfId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44" fontId="0" fillId="0" borderId="0" xfId="0" applyNumberFormat="1"/>
    <xf numFmtId="0" fontId="0" fillId="0" borderId="0" xfId="0" applyFill="1"/>
    <xf numFmtId="164" fontId="4" fillId="0" borderId="1" xfId="3" applyNumberFormat="1" applyFont="1" applyFill="1" applyBorder="1" applyAlignment="1">
      <alignment horizontal="left" vertical="center"/>
    </xf>
    <xf numFmtId="2" fontId="4" fillId="0" borderId="1" xfId="4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Border="1"/>
    <xf numFmtId="44" fontId="3" fillId="6" borderId="1" xfId="0" applyNumberFormat="1" applyFont="1" applyFill="1" applyBorder="1" applyAlignment="1">
      <alignment vertical="center"/>
    </xf>
    <xf numFmtId="0" fontId="0" fillId="6" borderId="0" xfId="0" applyFill="1"/>
    <xf numFmtId="2" fontId="0" fillId="0" borderId="0" xfId="0" applyNumberFormat="1"/>
    <xf numFmtId="2" fontId="0" fillId="0" borderId="0" xfId="0" applyNumberFormat="1" applyBorder="1"/>
    <xf numFmtId="0" fontId="15" fillId="0" borderId="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14" fontId="18" fillId="6" borderId="0" xfId="0" applyNumberFormat="1" applyFont="1" applyFill="1" applyBorder="1" applyAlignment="1">
      <alignment horizontal="center" vertical="center"/>
    </xf>
    <xf numFmtId="164" fontId="19" fillId="6" borderId="0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6" fontId="0" fillId="0" borderId="0" xfId="0" applyNumberFormat="1"/>
    <xf numFmtId="0" fontId="0" fillId="9" borderId="0" xfId="0" applyFill="1"/>
    <xf numFmtId="166" fontId="21" fillId="0" borderId="0" xfId="0" applyNumberFormat="1" applyFont="1"/>
    <xf numFmtId="2" fontId="0" fillId="6" borderId="0" xfId="0" applyNumberFormat="1" applyFill="1"/>
    <xf numFmtId="0" fontId="5" fillId="0" borderId="1" xfId="0" applyFont="1" applyFill="1" applyBorder="1" applyAlignment="1">
      <alignment horizontal="center" vertical="center"/>
    </xf>
    <xf numFmtId="2" fontId="0" fillId="7" borderId="0" xfId="0" applyNumberFormat="1" applyFill="1"/>
    <xf numFmtId="9" fontId="6" fillId="0" borderId="0" xfId="0" applyNumberFormat="1" applyFont="1" applyFill="1"/>
    <xf numFmtId="0" fontId="0" fillId="7" borderId="0" xfId="0" applyFill="1"/>
    <xf numFmtId="0" fontId="3" fillId="0" borderId="0" xfId="0" applyFont="1" applyAlignment="1">
      <alignment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0" fontId="2" fillId="2" borderId="6" xfId="0" applyNumberFormat="1" applyFont="1" applyFill="1" applyBorder="1" applyAlignment="1">
      <alignment horizontal="center" vertical="center"/>
    </xf>
    <xf numFmtId="10" fontId="2" fillId="2" borderId="7" xfId="0" applyNumberFormat="1" applyFont="1" applyFill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4" fontId="16" fillId="2" borderId="11" xfId="0" applyNumberFormat="1" applyFont="1" applyFill="1" applyBorder="1" applyAlignment="1">
      <alignment horizontal="center" vertical="center"/>
    </xf>
    <xf numFmtId="44" fontId="16" fillId="2" borderId="12" xfId="0" applyNumberFormat="1" applyFont="1" applyFill="1" applyBorder="1" applyAlignment="1">
      <alignment horizontal="center" vertical="center"/>
    </xf>
    <xf numFmtId="44" fontId="16" fillId="2" borderId="9" xfId="0" applyNumberFormat="1" applyFont="1" applyFill="1" applyBorder="1" applyAlignment="1">
      <alignment horizontal="center" vertical="center"/>
    </xf>
    <xf numFmtId="44" fontId="16" fillId="2" borderId="10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2" fontId="2" fillId="4" borderId="1" xfId="1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19" fillId="2" borderId="6" xfId="0" applyNumberFormat="1" applyFont="1" applyFill="1" applyBorder="1" applyAlignment="1">
      <alignment horizontal="center" vertical="center"/>
    </xf>
    <xf numFmtId="164" fontId="19" fillId="2" borderId="13" xfId="0" applyNumberFormat="1" applyFont="1" applyFill="1" applyBorder="1" applyAlignment="1">
      <alignment horizontal="center" vertical="center"/>
    </xf>
    <xf numFmtId="164" fontId="19" fillId="2" borderId="7" xfId="0" applyNumberFormat="1" applyFont="1" applyFill="1" applyBorder="1" applyAlignment="1">
      <alignment horizontal="center" vertical="center"/>
    </xf>
    <xf numFmtId="164" fontId="19" fillId="2" borderId="9" xfId="0" applyNumberFormat="1" applyFont="1" applyFill="1" applyBorder="1" applyAlignment="1">
      <alignment horizontal="center" vertical="center"/>
    </xf>
    <xf numFmtId="164" fontId="19" fillId="2" borderId="14" xfId="0" applyNumberFormat="1" applyFont="1" applyFill="1" applyBorder="1" applyAlignment="1">
      <alignment horizontal="center" vertical="center"/>
    </xf>
    <xf numFmtId="164" fontId="19" fillId="2" borderId="1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18" fillId="2" borderId="6" xfId="0" applyNumberFormat="1" applyFont="1" applyFill="1" applyBorder="1" applyAlignment="1">
      <alignment horizontal="center" vertical="center"/>
    </xf>
    <xf numFmtId="14" fontId="18" fillId="2" borderId="7" xfId="0" applyNumberFormat="1" applyFont="1" applyFill="1" applyBorder="1" applyAlignment="1">
      <alignment horizontal="center" vertical="center"/>
    </xf>
    <xf numFmtId="14" fontId="18" fillId="2" borderId="9" xfId="0" applyNumberFormat="1" applyFont="1" applyFill="1" applyBorder="1" applyAlignment="1">
      <alignment horizontal="center" vertical="center"/>
    </xf>
    <xf numFmtId="14" fontId="18" fillId="2" borderId="10" xfId="0" applyNumberFormat="1" applyFont="1" applyFill="1" applyBorder="1" applyAlignment="1">
      <alignment horizontal="center" vertical="center"/>
    </xf>
    <xf numFmtId="10" fontId="17" fillId="2" borderId="2" xfId="0" applyNumberFormat="1" applyFont="1" applyFill="1" applyBorder="1" applyAlignment="1">
      <alignment horizontal="center" vertical="center"/>
    </xf>
    <xf numFmtId="10" fontId="17" fillId="2" borderId="4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</cellXfs>
  <cellStyles count="11">
    <cellStyle name="Moeda" xfId="1" builtinId="4"/>
    <cellStyle name="Normal" xfId="0" builtinId="0"/>
    <cellStyle name="Normal 2" xfId="3"/>
    <cellStyle name="Normal 2 2 2" xfId="5"/>
    <cellStyle name="Normal 2_SIGEO Ver_2013A" xfId="8"/>
    <cellStyle name="Normal 4" xfId="7"/>
    <cellStyle name="Normal 4 2_SIGEO Ver_2013A" xfId="6"/>
    <cellStyle name="Porcentagem" xfId="2" builtinId="5"/>
    <cellStyle name="Porcentagem 5" xfId="9"/>
    <cellStyle name="Vírgula 2 2" xfId="10"/>
    <cellStyle name="Vírgula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3"/>
  <sheetViews>
    <sheetView tabSelected="1" view="pageLayout" topLeftCell="A67" zoomScaleNormal="100" workbookViewId="0">
      <selection activeCell="G10" sqref="G10"/>
    </sheetView>
  </sheetViews>
  <sheetFormatPr defaultRowHeight="15" x14ac:dyDescent="0.25"/>
  <cols>
    <col min="1" max="1" width="6.140625" customWidth="1"/>
    <col min="2" max="2" width="17.7109375" customWidth="1"/>
    <col min="3" max="3" width="21.7109375" bestFit="1" customWidth="1"/>
    <col min="4" max="4" width="70.7109375" customWidth="1"/>
    <col min="5" max="5" width="5.42578125" customWidth="1"/>
    <col min="6" max="6" width="9.140625" style="45"/>
    <col min="7" max="7" width="15.7109375" customWidth="1"/>
    <col min="8" max="8" width="16.140625" customWidth="1"/>
    <col min="9" max="9" width="16" customWidth="1"/>
  </cols>
  <sheetData>
    <row r="1" spans="1:9" ht="20.25" x14ac:dyDescent="0.25">
      <c r="A1" s="82" t="s">
        <v>40</v>
      </c>
      <c r="B1" s="82"/>
      <c r="C1" s="82"/>
      <c r="D1" s="82"/>
      <c r="E1" s="82"/>
      <c r="F1" s="82"/>
      <c r="G1" s="82"/>
      <c r="H1" s="82"/>
      <c r="I1" s="82"/>
    </row>
    <row r="2" spans="1:9" x14ac:dyDescent="0.25">
      <c r="A2" s="83" t="s">
        <v>268</v>
      </c>
      <c r="B2" s="84"/>
      <c r="C2" s="84"/>
      <c r="D2" s="85"/>
      <c r="E2" s="86" t="s">
        <v>16</v>
      </c>
      <c r="F2" s="87"/>
      <c r="G2" s="19" t="s">
        <v>17</v>
      </c>
      <c r="H2" s="86" t="s">
        <v>18</v>
      </c>
      <c r="I2" s="87"/>
    </row>
    <row r="3" spans="1:9" x14ac:dyDescent="0.25">
      <c r="A3" s="83" t="s">
        <v>274</v>
      </c>
      <c r="B3" s="84"/>
      <c r="C3" s="84"/>
      <c r="D3" s="85"/>
      <c r="E3" s="88"/>
      <c r="F3" s="89"/>
      <c r="G3" s="90"/>
      <c r="H3" s="92">
        <f>I122</f>
        <v>0</v>
      </c>
      <c r="I3" s="93"/>
    </row>
    <row r="4" spans="1:9" x14ac:dyDescent="0.25">
      <c r="A4" s="83" t="s">
        <v>273</v>
      </c>
      <c r="B4" s="84"/>
      <c r="C4" s="84"/>
      <c r="D4" s="85"/>
      <c r="E4" s="96"/>
      <c r="F4" s="97"/>
      <c r="G4" s="91"/>
      <c r="H4" s="94"/>
      <c r="I4" s="95"/>
    </row>
    <row r="5" spans="1:9" x14ac:dyDescent="0.25">
      <c r="A5" s="99" t="s">
        <v>0</v>
      </c>
      <c r="B5" s="100" t="s">
        <v>19</v>
      </c>
      <c r="C5" s="99" t="s">
        <v>20</v>
      </c>
      <c r="D5" s="102" t="s">
        <v>21</v>
      </c>
      <c r="E5" s="99" t="s">
        <v>22</v>
      </c>
      <c r="F5" s="106" t="s">
        <v>23</v>
      </c>
      <c r="G5" s="107" t="s">
        <v>24</v>
      </c>
      <c r="H5" s="108" t="s">
        <v>25</v>
      </c>
      <c r="I5" s="99" t="s">
        <v>26</v>
      </c>
    </row>
    <row r="6" spans="1:9" x14ac:dyDescent="0.25">
      <c r="A6" s="99"/>
      <c r="B6" s="101"/>
      <c r="C6" s="99"/>
      <c r="D6" s="102"/>
      <c r="E6" s="99"/>
      <c r="F6" s="106"/>
      <c r="G6" s="107"/>
      <c r="H6" s="109"/>
      <c r="I6" s="99"/>
    </row>
    <row r="7" spans="1:9" x14ac:dyDescent="0.25">
      <c r="A7" s="20" t="s">
        <v>27</v>
      </c>
      <c r="B7" s="98"/>
      <c r="C7" s="98"/>
      <c r="D7" s="66" t="s">
        <v>28</v>
      </c>
      <c r="E7" s="67"/>
      <c r="F7" s="67"/>
      <c r="G7" s="67"/>
      <c r="H7" s="67"/>
      <c r="I7" s="68"/>
    </row>
    <row r="8" spans="1:9" x14ac:dyDescent="0.25">
      <c r="A8" s="1" t="s">
        <v>1</v>
      </c>
      <c r="B8" s="1"/>
      <c r="C8" s="21"/>
      <c r="D8" s="22" t="s">
        <v>96</v>
      </c>
      <c r="E8" s="1" t="s">
        <v>29</v>
      </c>
      <c r="F8" s="40">
        <f>1.5*2.5</f>
        <v>3.75</v>
      </c>
      <c r="G8" s="23"/>
      <c r="H8" s="23">
        <f>G8*$E$4</f>
        <v>0</v>
      </c>
      <c r="I8" s="23">
        <f>H8*F8</f>
        <v>0</v>
      </c>
    </row>
    <row r="9" spans="1:9" x14ac:dyDescent="0.25">
      <c r="A9" s="1" t="s">
        <v>42</v>
      </c>
      <c r="B9" s="1"/>
      <c r="C9" s="21"/>
      <c r="D9" s="22" t="s">
        <v>39</v>
      </c>
      <c r="E9" s="1" t="s">
        <v>29</v>
      </c>
      <c r="F9" s="40">
        <v>44.29</v>
      </c>
      <c r="G9" s="23"/>
      <c r="H9" s="23">
        <f t="shared" ref="H9:H15" si="0">G9*$E$4</f>
        <v>0</v>
      </c>
      <c r="I9" s="23">
        <f t="shared" ref="I9:I15" si="1">H9*F9</f>
        <v>0</v>
      </c>
    </row>
    <row r="10" spans="1:9" x14ac:dyDescent="0.25">
      <c r="A10" s="1" t="s">
        <v>64</v>
      </c>
      <c r="B10" s="1"/>
      <c r="C10" s="21"/>
      <c r="D10" s="22" t="s">
        <v>111</v>
      </c>
      <c r="E10" s="1" t="s">
        <v>29</v>
      </c>
      <c r="F10" s="40">
        <f>2*4</f>
        <v>8</v>
      </c>
      <c r="G10" s="23"/>
      <c r="H10" s="23">
        <f t="shared" si="0"/>
        <v>0</v>
      </c>
      <c r="I10" s="23">
        <f t="shared" si="1"/>
        <v>0</v>
      </c>
    </row>
    <row r="11" spans="1:9" x14ac:dyDescent="0.25">
      <c r="A11" s="1" t="s">
        <v>43</v>
      </c>
      <c r="B11" s="1"/>
      <c r="C11" s="21"/>
      <c r="D11" s="22" t="s">
        <v>113</v>
      </c>
      <c r="E11" s="1" t="s">
        <v>29</v>
      </c>
      <c r="F11" s="40">
        <f>F9</f>
        <v>44.29</v>
      </c>
      <c r="G11" s="23"/>
      <c r="H11" s="23">
        <f t="shared" si="0"/>
        <v>0</v>
      </c>
      <c r="I11" s="23">
        <f t="shared" si="1"/>
        <v>0</v>
      </c>
    </row>
    <row r="12" spans="1:9" x14ac:dyDescent="0.25">
      <c r="A12" s="1" t="s">
        <v>62</v>
      </c>
      <c r="B12" s="1"/>
      <c r="C12" s="21"/>
      <c r="D12" s="22" t="s">
        <v>112</v>
      </c>
      <c r="E12" s="1" t="s">
        <v>29</v>
      </c>
      <c r="F12" s="30">
        <f>F9</f>
        <v>44.29</v>
      </c>
      <c r="G12" s="29"/>
      <c r="H12" s="23">
        <f t="shared" si="0"/>
        <v>0</v>
      </c>
      <c r="I12" s="23">
        <f t="shared" si="1"/>
        <v>0</v>
      </c>
    </row>
    <row r="13" spans="1:9" x14ac:dyDescent="0.25">
      <c r="A13" s="1" t="s">
        <v>65</v>
      </c>
      <c r="B13" s="1"/>
      <c r="C13" s="21"/>
      <c r="D13" s="22" t="s">
        <v>114</v>
      </c>
      <c r="E13" s="1" t="s">
        <v>29</v>
      </c>
      <c r="F13" s="30">
        <f>F9</f>
        <v>44.29</v>
      </c>
      <c r="G13" s="29"/>
      <c r="H13" s="23">
        <f t="shared" si="0"/>
        <v>0</v>
      </c>
      <c r="I13" s="23">
        <f t="shared" si="1"/>
        <v>0</v>
      </c>
    </row>
    <row r="14" spans="1:9" x14ac:dyDescent="0.25">
      <c r="A14" s="1" t="s">
        <v>66</v>
      </c>
      <c r="B14" s="1"/>
      <c r="C14" s="21"/>
      <c r="D14" s="22" t="s">
        <v>141</v>
      </c>
      <c r="E14" s="1" t="s">
        <v>41</v>
      </c>
      <c r="F14" s="30">
        <f>2*5</f>
        <v>10</v>
      </c>
      <c r="G14" s="29"/>
      <c r="H14" s="23">
        <f t="shared" si="0"/>
        <v>0</v>
      </c>
      <c r="I14" s="23">
        <f t="shared" si="1"/>
        <v>0</v>
      </c>
    </row>
    <row r="15" spans="1:9" x14ac:dyDescent="0.25">
      <c r="A15" s="1" t="s">
        <v>67</v>
      </c>
      <c r="B15" s="1"/>
      <c r="C15" s="21"/>
      <c r="D15" s="22" t="s">
        <v>110</v>
      </c>
      <c r="E15" s="1" t="s">
        <v>29</v>
      </c>
      <c r="F15" s="30">
        <f>15*2</f>
        <v>30</v>
      </c>
      <c r="G15" s="29"/>
      <c r="H15" s="23">
        <f t="shared" si="0"/>
        <v>0</v>
      </c>
      <c r="I15" s="23">
        <f t="shared" si="1"/>
        <v>0</v>
      </c>
    </row>
    <row r="16" spans="1:9" x14ac:dyDescent="0.25">
      <c r="A16" s="81" t="s">
        <v>34</v>
      </c>
      <c r="B16" s="81"/>
      <c r="C16" s="81"/>
      <c r="D16" s="81"/>
      <c r="E16" s="81"/>
      <c r="F16" s="81"/>
      <c r="G16" s="81"/>
      <c r="H16" s="24"/>
      <c r="I16" s="24">
        <f>SUM(I8:I15)</f>
        <v>0</v>
      </c>
    </row>
    <row r="17" spans="1:9" x14ac:dyDescent="0.25">
      <c r="A17" s="44"/>
      <c r="B17" s="44"/>
      <c r="C17" s="44"/>
      <c r="D17" s="44"/>
      <c r="E17" s="44"/>
      <c r="F17" s="58"/>
      <c r="G17" s="44"/>
      <c r="H17" s="44"/>
      <c r="I17" s="44"/>
    </row>
    <row r="18" spans="1:9" x14ac:dyDescent="0.25">
      <c r="A18" s="20" t="s">
        <v>30</v>
      </c>
      <c r="B18" s="98"/>
      <c r="C18" s="98"/>
      <c r="D18" s="66" t="s">
        <v>146</v>
      </c>
      <c r="E18" s="67"/>
      <c r="F18" s="67"/>
      <c r="G18" s="67"/>
      <c r="H18" s="67"/>
      <c r="I18" s="68"/>
    </row>
    <row r="19" spans="1:9" x14ac:dyDescent="0.25">
      <c r="A19" s="1" t="s">
        <v>2</v>
      </c>
      <c r="B19" s="1"/>
      <c r="C19" s="1"/>
      <c r="D19" s="22" t="s">
        <v>118</v>
      </c>
      <c r="E19" s="1" t="s">
        <v>109</v>
      </c>
      <c r="F19" s="40">
        <f>((0.82+4.48+0.45+1.29+38)*0.2*0.5)+(0.3*0.3*0.5)+(2.5*1.8*2)+((PI()*1.15^2)*1.2)</f>
        <v>18.534707541247002</v>
      </c>
      <c r="G19" s="23"/>
      <c r="H19" s="23">
        <f t="shared" ref="H19:H25" si="2">G19*$E$4</f>
        <v>0</v>
      </c>
      <c r="I19" s="23">
        <f t="shared" ref="I19:I25" si="3">H19*F19</f>
        <v>0</v>
      </c>
    </row>
    <row r="20" spans="1:9" x14ac:dyDescent="0.25">
      <c r="A20" s="1" t="s">
        <v>44</v>
      </c>
      <c r="B20" s="1"/>
      <c r="C20" s="1"/>
      <c r="D20" s="22" t="s">
        <v>147</v>
      </c>
      <c r="E20" s="1" t="s">
        <v>109</v>
      </c>
      <c r="F20" s="40">
        <f>0.22*44.29</f>
        <v>9.7438000000000002</v>
      </c>
      <c r="G20" s="23"/>
      <c r="H20" s="23">
        <f t="shared" si="2"/>
        <v>0</v>
      </c>
      <c r="I20" s="23">
        <f t="shared" si="3"/>
        <v>0</v>
      </c>
    </row>
    <row r="21" spans="1:9" x14ac:dyDescent="0.25">
      <c r="A21" s="81" t="s">
        <v>31</v>
      </c>
      <c r="B21" s="81"/>
      <c r="C21" s="81"/>
      <c r="D21" s="81"/>
      <c r="E21" s="81"/>
      <c r="F21" s="81"/>
      <c r="G21" s="81"/>
      <c r="H21" s="24"/>
      <c r="I21" s="24">
        <f>SUM(I19:I20)</f>
        <v>0</v>
      </c>
    </row>
    <row r="22" spans="1:9" x14ac:dyDescent="0.25">
      <c r="A22" s="44"/>
      <c r="B22" s="44"/>
      <c r="C22" s="44"/>
      <c r="D22" s="44"/>
      <c r="E22" s="44"/>
      <c r="F22" s="58"/>
      <c r="G22" s="44"/>
      <c r="H22" s="44"/>
      <c r="I22" s="44"/>
    </row>
    <row r="23" spans="1:9" x14ac:dyDescent="0.25">
      <c r="A23" s="53" t="s">
        <v>32</v>
      </c>
      <c r="B23" s="98"/>
      <c r="C23" s="98"/>
      <c r="D23" s="105" t="s">
        <v>145</v>
      </c>
      <c r="E23" s="105"/>
      <c r="F23" s="105"/>
      <c r="G23" s="105"/>
      <c r="H23" s="105"/>
      <c r="I23" s="105"/>
    </row>
    <row r="24" spans="1:9" x14ac:dyDescent="0.25">
      <c r="A24" s="1" t="s">
        <v>3</v>
      </c>
      <c r="B24" s="1"/>
      <c r="C24" s="1"/>
      <c r="D24" s="22" t="s">
        <v>249</v>
      </c>
      <c r="E24" s="1" t="s">
        <v>29</v>
      </c>
      <c r="F24" s="30">
        <v>60</v>
      </c>
      <c r="G24" s="39"/>
      <c r="H24" s="23">
        <f t="shared" si="2"/>
        <v>0</v>
      </c>
      <c r="I24" s="23">
        <f t="shared" si="3"/>
        <v>0</v>
      </c>
    </row>
    <row r="25" spans="1:9" x14ac:dyDescent="0.25">
      <c r="A25" s="1" t="s">
        <v>276</v>
      </c>
      <c r="B25" s="1"/>
      <c r="C25" s="1"/>
      <c r="D25" s="22" t="s">
        <v>277</v>
      </c>
      <c r="E25" s="1" t="s">
        <v>109</v>
      </c>
      <c r="F25" s="30">
        <v>20</v>
      </c>
      <c r="G25" s="39"/>
      <c r="H25" s="23">
        <f t="shared" si="2"/>
        <v>0</v>
      </c>
      <c r="I25" s="23">
        <f t="shared" si="3"/>
        <v>0</v>
      </c>
    </row>
    <row r="26" spans="1:9" x14ac:dyDescent="0.25">
      <c r="A26" s="81" t="s">
        <v>36</v>
      </c>
      <c r="B26" s="81"/>
      <c r="C26" s="81"/>
      <c r="D26" s="81"/>
      <c r="E26" s="81"/>
      <c r="F26" s="81"/>
      <c r="G26" s="81"/>
      <c r="H26" s="24"/>
      <c r="I26" s="24">
        <f>SUM(I24:I25)</f>
        <v>0</v>
      </c>
    </row>
    <row r="27" spans="1:9" x14ac:dyDescent="0.25">
      <c r="A27" s="44"/>
      <c r="B27" s="44"/>
      <c r="C27" s="44"/>
      <c r="D27" s="44"/>
      <c r="E27" s="44"/>
      <c r="F27" s="58"/>
      <c r="G27" s="44"/>
      <c r="H27" s="44"/>
      <c r="I27" s="44"/>
    </row>
    <row r="28" spans="1:9" x14ac:dyDescent="0.25">
      <c r="A28" s="41" t="s">
        <v>33</v>
      </c>
      <c r="B28" s="98"/>
      <c r="C28" s="98"/>
      <c r="D28" s="66" t="s">
        <v>115</v>
      </c>
      <c r="E28" s="67"/>
      <c r="F28" s="67"/>
      <c r="G28" s="67"/>
      <c r="H28" s="67"/>
      <c r="I28" s="68"/>
    </row>
    <row r="29" spans="1:9" x14ac:dyDescent="0.25">
      <c r="A29" s="1" t="s">
        <v>13</v>
      </c>
      <c r="B29" s="1"/>
      <c r="C29" s="1"/>
      <c r="D29" s="34" t="s">
        <v>169</v>
      </c>
      <c r="E29" s="1" t="s">
        <v>109</v>
      </c>
      <c r="F29" s="40">
        <f>(((5.15*8.6)-(4.85*8.3))*0.4*0.15)+((4.85+4.9+2.1)*0.15*0.4)+((0.3*0.15)*9*2.8)+(9*(1.2*0.5*0.4))</f>
        <v>4.2470999999999997</v>
      </c>
      <c r="G29" s="23"/>
      <c r="H29" s="23">
        <f t="shared" ref="H29:H37" si="4">G29*$E$4</f>
        <v>0</v>
      </c>
      <c r="I29" s="23">
        <f t="shared" ref="I29:I37" si="5">H29*F29</f>
        <v>0</v>
      </c>
    </row>
    <row r="30" spans="1:9" x14ac:dyDescent="0.25">
      <c r="A30" s="1" t="s">
        <v>14</v>
      </c>
      <c r="B30" s="1"/>
      <c r="C30" s="1"/>
      <c r="D30" s="22" t="s">
        <v>76</v>
      </c>
      <c r="E30" s="1" t="s">
        <v>29</v>
      </c>
      <c r="F30" s="40">
        <f>((8.6*4)+(5.15*4)+(4.85*2)+(2.1*2)+(4.9*2))*0.4+((0.3*2)+(0.15*2)*2.1*9)</f>
        <v>37.75</v>
      </c>
      <c r="G30" s="23"/>
      <c r="H30" s="23">
        <f t="shared" si="4"/>
        <v>0</v>
      </c>
      <c r="I30" s="23">
        <f t="shared" si="5"/>
        <v>0</v>
      </c>
    </row>
    <row r="31" spans="1:9" x14ac:dyDescent="0.25">
      <c r="A31" s="1" t="s">
        <v>258</v>
      </c>
      <c r="B31" s="1"/>
      <c r="C31" s="1"/>
      <c r="D31" s="22" t="s">
        <v>77</v>
      </c>
      <c r="E31" s="1" t="s">
        <v>109</v>
      </c>
      <c r="F31" s="40">
        <f>(36.54+3.15)*0.06</f>
        <v>2.3813999999999997</v>
      </c>
      <c r="G31" s="23"/>
      <c r="H31" s="23">
        <f t="shared" si="4"/>
        <v>0</v>
      </c>
      <c r="I31" s="23">
        <f t="shared" si="5"/>
        <v>0</v>
      </c>
    </row>
    <row r="32" spans="1:9" x14ac:dyDescent="0.25">
      <c r="A32" s="1" t="s">
        <v>150</v>
      </c>
      <c r="B32" s="1"/>
      <c r="C32" s="1"/>
      <c r="D32" s="22" t="s">
        <v>168</v>
      </c>
      <c r="E32" s="1" t="s">
        <v>41</v>
      </c>
      <c r="F32" s="40">
        <f>18*3.5</f>
        <v>63</v>
      </c>
      <c r="G32" s="23"/>
      <c r="H32" s="23">
        <f t="shared" si="4"/>
        <v>0</v>
      </c>
      <c r="I32" s="23">
        <f t="shared" si="5"/>
        <v>0</v>
      </c>
    </row>
    <row r="33" spans="1:9" x14ac:dyDescent="0.25">
      <c r="A33" s="1" t="s">
        <v>151</v>
      </c>
      <c r="B33" s="1"/>
      <c r="C33" s="1"/>
      <c r="D33" s="22" t="s">
        <v>125</v>
      </c>
      <c r="E33" s="1" t="s">
        <v>41</v>
      </c>
      <c r="F33" s="30">
        <v>1</v>
      </c>
      <c r="G33" s="26"/>
      <c r="H33" s="23">
        <f t="shared" si="4"/>
        <v>0</v>
      </c>
      <c r="I33" s="23">
        <f t="shared" si="5"/>
        <v>0</v>
      </c>
    </row>
    <row r="34" spans="1:9" x14ac:dyDescent="0.25">
      <c r="A34" s="1" t="s">
        <v>171</v>
      </c>
      <c r="B34" s="1"/>
      <c r="C34" s="1"/>
      <c r="D34" s="22" t="s">
        <v>126</v>
      </c>
      <c r="E34" s="1" t="s">
        <v>41</v>
      </c>
      <c r="F34" s="30">
        <f>2*2.2</f>
        <v>4.4000000000000004</v>
      </c>
      <c r="G34" s="26"/>
      <c r="H34" s="23">
        <f t="shared" si="4"/>
        <v>0</v>
      </c>
      <c r="I34" s="23">
        <f t="shared" si="5"/>
        <v>0</v>
      </c>
    </row>
    <row r="35" spans="1:9" x14ac:dyDescent="0.25">
      <c r="A35" s="1" t="s">
        <v>172</v>
      </c>
      <c r="B35" s="1"/>
      <c r="C35" s="1"/>
      <c r="D35" s="22" t="s">
        <v>127</v>
      </c>
      <c r="E35" s="1" t="s">
        <v>41</v>
      </c>
      <c r="F35" s="30">
        <f>2*1</f>
        <v>2</v>
      </c>
      <c r="G35" s="26"/>
      <c r="H35" s="23">
        <f t="shared" si="4"/>
        <v>0</v>
      </c>
      <c r="I35" s="23">
        <f t="shared" si="5"/>
        <v>0</v>
      </c>
    </row>
    <row r="36" spans="1:9" x14ac:dyDescent="0.25">
      <c r="A36" s="1" t="s">
        <v>173</v>
      </c>
      <c r="B36" s="1"/>
      <c r="C36" s="1"/>
      <c r="D36" s="22" t="s">
        <v>128</v>
      </c>
      <c r="E36" s="1" t="s">
        <v>41</v>
      </c>
      <c r="F36" s="30">
        <f>F33</f>
        <v>1</v>
      </c>
      <c r="G36" s="26"/>
      <c r="H36" s="23">
        <f t="shared" si="4"/>
        <v>0</v>
      </c>
      <c r="I36" s="23">
        <f t="shared" si="5"/>
        <v>0</v>
      </c>
    </row>
    <row r="37" spans="1:9" x14ac:dyDescent="0.25">
      <c r="A37" s="1" t="s">
        <v>174</v>
      </c>
      <c r="B37" s="1"/>
      <c r="C37" s="1"/>
      <c r="D37" s="22" t="s">
        <v>129</v>
      </c>
      <c r="E37" s="1" t="s">
        <v>41</v>
      </c>
      <c r="F37" s="30">
        <f>F34</f>
        <v>4.4000000000000004</v>
      </c>
      <c r="G37" s="26"/>
      <c r="H37" s="23">
        <f t="shared" si="4"/>
        <v>0</v>
      </c>
      <c r="I37" s="23">
        <f t="shared" si="5"/>
        <v>0</v>
      </c>
    </row>
    <row r="38" spans="1:9" x14ac:dyDescent="0.25">
      <c r="A38" s="81" t="s">
        <v>45</v>
      </c>
      <c r="B38" s="81"/>
      <c r="C38" s="81"/>
      <c r="D38" s="81"/>
      <c r="E38" s="81"/>
      <c r="F38" s="81"/>
      <c r="G38" s="81"/>
      <c r="H38" s="24"/>
      <c r="I38" s="24">
        <f>SUM(I29:I37)</f>
        <v>0</v>
      </c>
    </row>
    <row r="39" spans="1:9" x14ac:dyDescent="0.25">
      <c r="A39" s="44"/>
      <c r="B39" s="44"/>
      <c r="C39" s="44"/>
      <c r="D39" s="44"/>
      <c r="E39" s="44"/>
      <c r="F39" s="58"/>
      <c r="G39" s="44"/>
      <c r="H39" s="44"/>
      <c r="I39" s="44"/>
    </row>
    <row r="40" spans="1:9" x14ac:dyDescent="0.25">
      <c r="A40" s="20" t="s">
        <v>35</v>
      </c>
      <c r="B40" s="98"/>
      <c r="C40" s="98"/>
      <c r="D40" s="103" t="s">
        <v>69</v>
      </c>
      <c r="E40" s="104"/>
      <c r="F40" s="104"/>
      <c r="G40" s="104"/>
      <c r="H40" s="104"/>
      <c r="I40" s="104"/>
    </row>
    <row r="41" spans="1:9" x14ac:dyDescent="0.25">
      <c r="A41" s="1" t="s">
        <v>4</v>
      </c>
      <c r="B41" s="1"/>
      <c r="C41" s="1"/>
      <c r="D41" s="34" t="s">
        <v>170</v>
      </c>
      <c r="E41" s="1" t="s">
        <v>29</v>
      </c>
      <c r="F41" s="40">
        <f>((5.15+8.6+5.15+8.6+4.85+2.1+4.9)*0.15)+2*((5.15+8.6+5.15+8.6+4.85+2.1+4.9)*0.4)</f>
        <v>37.382500000000007</v>
      </c>
      <c r="G41" s="23"/>
      <c r="H41" s="23">
        <f>G41*$E$4</f>
        <v>0</v>
      </c>
      <c r="I41" s="23">
        <f>H41*F41</f>
        <v>0</v>
      </c>
    </row>
    <row r="42" spans="1:9" x14ac:dyDescent="0.25">
      <c r="A42" s="1" t="s">
        <v>54</v>
      </c>
      <c r="B42" s="1"/>
      <c r="C42" s="1"/>
      <c r="D42" s="34" t="s">
        <v>119</v>
      </c>
      <c r="E42" s="1" t="s">
        <v>29</v>
      </c>
      <c r="F42" s="40">
        <f>F52</f>
        <v>47.85</v>
      </c>
      <c r="G42" s="23"/>
      <c r="H42" s="23">
        <f>G42*$E$4</f>
        <v>0</v>
      </c>
      <c r="I42" s="23">
        <f t="shared" ref="I42:I43" si="6">H42*F42</f>
        <v>0</v>
      </c>
    </row>
    <row r="43" spans="1:9" x14ac:dyDescent="0.25">
      <c r="A43" s="1" t="s">
        <v>63</v>
      </c>
      <c r="B43" s="1"/>
      <c r="C43" s="1"/>
      <c r="D43" s="34" t="s">
        <v>133</v>
      </c>
      <c r="E43" s="1" t="s">
        <v>29</v>
      </c>
      <c r="F43" s="40">
        <f>3.15+((2.25+1.5+1.5+2.25)*0.5)</f>
        <v>6.9</v>
      </c>
      <c r="G43" s="23"/>
      <c r="H43" s="23">
        <f>G43*$E$4</f>
        <v>0</v>
      </c>
      <c r="I43" s="23">
        <f t="shared" si="6"/>
        <v>0</v>
      </c>
    </row>
    <row r="44" spans="1:9" x14ac:dyDescent="0.25">
      <c r="A44" s="81" t="s">
        <v>60</v>
      </c>
      <c r="B44" s="81"/>
      <c r="C44" s="81"/>
      <c r="D44" s="81"/>
      <c r="E44" s="81"/>
      <c r="F44" s="81"/>
      <c r="G44" s="81"/>
      <c r="H44" s="24"/>
      <c r="I44" s="24">
        <f>SUM(I41:I43)</f>
        <v>0</v>
      </c>
    </row>
    <row r="45" spans="1:9" x14ac:dyDescent="0.25">
      <c r="A45" s="44"/>
      <c r="B45" s="44"/>
      <c r="C45" s="44"/>
      <c r="D45" s="44"/>
      <c r="E45" s="44"/>
      <c r="F45" s="58"/>
      <c r="G45" s="44"/>
      <c r="H45" s="44"/>
      <c r="I45" s="44"/>
    </row>
    <row r="46" spans="1:9" x14ac:dyDescent="0.25">
      <c r="A46" s="25" t="s">
        <v>61</v>
      </c>
      <c r="B46" s="64"/>
      <c r="C46" s="65"/>
      <c r="D46" s="66" t="s">
        <v>116</v>
      </c>
      <c r="E46" s="67"/>
      <c r="F46" s="67"/>
      <c r="G46" s="67"/>
      <c r="H46" s="67"/>
      <c r="I46" s="68"/>
    </row>
    <row r="47" spans="1:9" x14ac:dyDescent="0.25">
      <c r="A47" s="14" t="s">
        <v>46</v>
      </c>
      <c r="B47" s="14"/>
      <c r="C47" s="14"/>
      <c r="D47" s="22" t="s">
        <v>251</v>
      </c>
      <c r="E47" s="1" t="s">
        <v>29</v>
      </c>
      <c r="F47" s="30">
        <f>(8.6+8.6+5.15+5.15+2.25+1.5)*2.8</f>
        <v>87.5</v>
      </c>
      <c r="G47" s="26"/>
      <c r="H47" s="23">
        <f>G47*$E$4</f>
        <v>0</v>
      </c>
      <c r="I47" s="26">
        <f t="shared" ref="I47:I53" si="7">H47*F47</f>
        <v>0</v>
      </c>
    </row>
    <row r="48" spans="1:9" ht="28.5" x14ac:dyDescent="0.25">
      <c r="A48" s="14" t="s">
        <v>47</v>
      </c>
      <c r="B48" s="14"/>
      <c r="C48" s="14"/>
      <c r="D48" s="22" t="s">
        <v>148</v>
      </c>
      <c r="E48" s="1" t="s">
        <v>29</v>
      </c>
      <c r="F48" s="30">
        <f>F47</f>
        <v>87.5</v>
      </c>
      <c r="G48" s="26"/>
      <c r="H48" s="23">
        <f t="shared" ref="H48:H53" si="8">G48*$E$4</f>
        <v>0</v>
      </c>
      <c r="I48" s="26">
        <f t="shared" si="7"/>
        <v>0</v>
      </c>
    </row>
    <row r="49" spans="1:10" x14ac:dyDescent="0.25">
      <c r="A49" s="14" t="s">
        <v>48</v>
      </c>
      <c r="B49" s="14"/>
      <c r="C49" s="14"/>
      <c r="D49" s="22" t="s">
        <v>149</v>
      </c>
      <c r="E49" s="1" t="s">
        <v>29</v>
      </c>
      <c r="F49" s="30">
        <f>F48</f>
        <v>87.5</v>
      </c>
      <c r="G49" s="26"/>
      <c r="H49" s="23">
        <f t="shared" si="8"/>
        <v>0</v>
      </c>
      <c r="I49" s="26">
        <f t="shared" si="7"/>
        <v>0</v>
      </c>
    </row>
    <row r="50" spans="1:10" x14ac:dyDescent="0.25">
      <c r="A50" s="14" t="s">
        <v>53</v>
      </c>
      <c r="B50" s="14"/>
      <c r="C50" s="14"/>
      <c r="D50" s="22" t="s">
        <v>120</v>
      </c>
      <c r="E50" s="1" t="s">
        <v>29</v>
      </c>
      <c r="F50" s="30">
        <f>F49-F52</f>
        <v>39.65</v>
      </c>
      <c r="G50" s="26"/>
      <c r="H50" s="23">
        <f t="shared" si="8"/>
        <v>0</v>
      </c>
      <c r="I50" s="26">
        <f t="shared" si="7"/>
        <v>0</v>
      </c>
    </row>
    <row r="51" spans="1:10" x14ac:dyDescent="0.25">
      <c r="A51" s="14" t="s">
        <v>106</v>
      </c>
      <c r="B51" s="14"/>
      <c r="C51" s="14"/>
      <c r="D51" s="22" t="s">
        <v>135</v>
      </c>
      <c r="E51" s="1" t="s">
        <v>29</v>
      </c>
      <c r="F51" s="30">
        <f>36.54+3.15</f>
        <v>39.69</v>
      </c>
      <c r="G51" s="26"/>
      <c r="H51" s="23">
        <f t="shared" si="8"/>
        <v>0</v>
      </c>
      <c r="I51" s="26">
        <f t="shared" si="7"/>
        <v>0</v>
      </c>
    </row>
    <row r="52" spans="1:10" ht="28.5" x14ac:dyDescent="0.25">
      <c r="A52" s="14" t="s">
        <v>108</v>
      </c>
      <c r="B52" s="14"/>
      <c r="C52" s="14"/>
      <c r="D52" s="22" t="s">
        <v>250</v>
      </c>
      <c r="E52" s="1" t="s">
        <v>29</v>
      </c>
      <c r="F52" s="30">
        <f>1.5*(2.1+2.1+1.5+1.5)+((4.85+6.65+2.25+1.65+8.3+2.6)*1.5)-(1.5*0.8*2)</f>
        <v>47.85</v>
      </c>
      <c r="G52" s="26"/>
      <c r="H52" s="23">
        <f t="shared" si="8"/>
        <v>0</v>
      </c>
      <c r="I52" s="26">
        <f t="shared" si="7"/>
        <v>0</v>
      </c>
    </row>
    <row r="53" spans="1:10" x14ac:dyDescent="0.25">
      <c r="A53" s="14" t="s">
        <v>130</v>
      </c>
      <c r="B53" s="14"/>
      <c r="C53" s="14"/>
      <c r="D53" s="22" t="s">
        <v>78</v>
      </c>
      <c r="E53" s="1" t="s">
        <v>29</v>
      </c>
      <c r="F53" s="30">
        <f>36.54+3.15</f>
        <v>39.69</v>
      </c>
      <c r="G53" s="26"/>
      <c r="H53" s="23">
        <f t="shared" si="8"/>
        <v>0</v>
      </c>
      <c r="I53" s="26">
        <f t="shared" si="7"/>
        <v>0</v>
      </c>
    </row>
    <row r="54" spans="1:10" x14ac:dyDescent="0.25">
      <c r="A54" s="81" t="s">
        <v>49</v>
      </c>
      <c r="B54" s="81"/>
      <c r="C54" s="81"/>
      <c r="D54" s="81"/>
      <c r="E54" s="81"/>
      <c r="F54" s="81"/>
      <c r="G54" s="81"/>
      <c r="H54" s="24"/>
      <c r="I54" s="24">
        <f>SUM(I47:I53)</f>
        <v>0</v>
      </c>
    </row>
    <row r="55" spans="1:10" x14ac:dyDescent="0.25">
      <c r="A55" s="44"/>
      <c r="B55" s="44"/>
      <c r="C55" s="44"/>
      <c r="D55" s="44"/>
      <c r="E55" s="44"/>
      <c r="F55" s="58"/>
      <c r="G55" s="44"/>
      <c r="H55" s="44"/>
      <c r="I55" s="44"/>
    </row>
    <row r="56" spans="1:10" x14ac:dyDescent="0.25">
      <c r="A56" s="25" t="s">
        <v>37</v>
      </c>
      <c r="B56" s="64"/>
      <c r="C56" s="65"/>
      <c r="D56" s="66" t="s">
        <v>117</v>
      </c>
      <c r="E56" s="67"/>
      <c r="F56" s="67"/>
      <c r="G56" s="67"/>
      <c r="H56" s="67"/>
      <c r="I56" s="68"/>
    </row>
    <row r="57" spans="1:10" ht="42.75" x14ac:dyDescent="0.25">
      <c r="A57" s="14" t="s">
        <v>15</v>
      </c>
      <c r="B57" s="1"/>
      <c r="C57" s="14"/>
      <c r="D57" s="22" t="s">
        <v>247</v>
      </c>
      <c r="E57" s="1" t="s">
        <v>95</v>
      </c>
      <c r="F57" s="30">
        <v>1</v>
      </c>
      <c r="G57" s="26"/>
      <c r="H57" s="23">
        <f>G57*$E$4</f>
        <v>0</v>
      </c>
      <c r="I57" s="26">
        <f t="shared" ref="I57:I61" si="9">H57*F57</f>
        <v>0</v>
      </c>
      <c r="J57" s="38"/>
    </row>
    <row r="58" spans="1:10" x14ac:dyDescent="0.25">
      <c r="A58" s="14" t="s">
        <v>50</v>
      </c>
      <c r="B58" s="1"/>
      <c r="C58" s="1"/>
      <c r="D58" s="22" t="s">
        <v>107</v>
      </c>
      <c r="E58" s="1" t="s">
        <v>29</v>
      </c>
      <c r="F58" s="30">
        <f>(0.8*2.1)</f>
        <v>1.6800000000000002</v>
      </c>
      <c r="G58" s="26"/>
      <c r="H58" s="23">
        <f t="shared" ref="H58:H61" si="10">G58*$E$4</f>
        <v>0</v>
      </c>
      <c r="I58" s="26">
        <f t="shared" si="9"/>
        <v>0</v>
      </c>
    </row>
    <row r="59" spans="1:10" x14ac:dyDescent="0.25">
      <c r="A59" s="14" t="s">
        <v>59</v>
      </c>
      <c r="B59" s="1"/>
      <c r="C59" s="1"/>
      <c r="D59" s="22" t="s">
        <v>105</v>
      </c>
      <c r="E59" s="1" t="s">
        <v>29</v>
      </c>
      <c r="F59" s="30">
        <f>(1.8*1.2*2)+(0.6*0.6)</f>
        <v>4.6800000000000006</v>
      </c>
      <c r="G59" s="26"/>
      <c r="H59" s="23">
        <f t="shared" si="10"/>
        <v>0</v>
      </c>
      <c r="I59" s="26">
        <f t="shared" si="9"/>
        <v>0</v>
      </c>
    </row>
    <row r="60" spans="1:10" x14ac:dyDescent="0.25">
      <c r="A60" s="14" t="s">
        <v>138</v>
      </c>
      <c r="B60" s="1"/>
      <c r="C60" s="1"/>
      <c r="D60" s="22" t="s">
        <v>248</v>
      </c>
      <c r="E60" s="1" t="s">
        <v>41</v>
      </c>
      <c r="F60" s="30">
        <f>1.8+1.8+0.6+0.9+0.8</f>
        <v>5.9</v>
      </c>
      <c r="G60" s="26"/>
      <c r="H60" s="23">
        <f t="shared" si="10"/>
        <v>0</v>
      </c>
      <c r="I60" s="26">
        <f t="shared" si="9"/>
        <v>0</v>
      </c>
    </row>
    <row r="61" spans="1:10" ht="28.5" x14ac:dyDescent="0.25">
      <c r="A61" s="14" t="s">
        <v>139</v>
      </c>
      <c r="B61" s="1"/>
      <c r="C61" s="1"/>
      <c r="D61" s="22" t="s">
        <v>121</v>
      </c>
      <c r="E61" s="1" t="s">
        <v>95</v>
      </c>
      <c r="F61" s="30">
        <v>1</v>
      </c>
      <c r="G61" s="26"/>
      <c r="H61" s="23">
        <f t="shared" si="10"/>
        <v>0</v>
      </c>
      <c r="I61" s="26">
        <f t="shared" si="9"/>
        <v>0</v>
      </c>
    </row>
    <row r="62" spans="1:10" x14ac:dyDescent="0.25">
      <c r="A62" s="81" t="s">
        <v>51</v>
      </c>
      <c r="B62" s="81"/>
      <c r="C62" s="81"/>
      <c r="D62" s="81"/>
      <c r="E62" s="81"/>
      <c r="F62" s="81"/>
      <c r="G62" s="81"/>
      <c r="H62" s="24"/>
      <c r="I62" s="24">
        <f>SUM(I57:I61)</f>
        <v>0</v>
      </c>
    </row>
    <row r="64" spans="1:10" x14ac:dyDescent="0.25">
      <c r="A64" s="25" t="s">
        <v>72</v>
      </c>
      <c r="B64" s="64"/>
      <c r="C64" s="65"/>
      <c r="D64" s="66" t="s">
        <v>70</v>
      </c>
      <c r="E64" s="67"/>
      <c r="F64" s="67"/>
      <c r="G64" s="67"/>
      <c r="H64" s="67"/>
      <c r="I64" s="68"/>
    </row>
    <row r="65" spans="1:9" x14ac:dyDescent="0.25">
      <c r="A65" s="28" t="s">
        <v>86</v>
      </c>
      <c r="B65" s="1"/>
      <c r="C65" s="1"/>
      <c r="D65" s="22" t="s">
        <v>122</v>
      </c>
      <c r="E65" s="1" t="s">
        <v>29</v>
      </c>
      <c r="F65" s="40">
        <v>59</v>
      </c>
      <c r="G65" s="31"/>
      <c r="H65" s="29">
        <f t="shared" ref="H65:H71" si="11">G65*$E$4</f>
        <v>0</v>
      </c>
      <c r="I65" s="27">
        <f t="shared" ref="I65:I71" si="12">H65*F65</f>
        <v>0</v>
      </c>
    </row>
    <row r="66" spans="1:9" ht="28.5" x14ac:dyDescent="0.25">
      <c r="A66" s="28" t="s">
        <v>87</v>
      </c>
      <c r="B66" s="1"/>
      <c r="C66" s="1"/>
      <c r="D66" s="22" t="s">
        <v>175</v>
      </c>
      <c r="E66" s="1" t="s">
        <v>29</v>
      </c>
      <c r="F66" s="40">
        <f>F65</f>
        <v>59</v>
      </c>
      <c r="G66" s="31"/>
      <c r="H66" s="29">
        <f t="shared" si="11"/>
        <v>0</v>
      </c>
      <c r="I66" s="27">
        <f t="shared" si="12"/>
        <v>0</v>
      </c>
    </row>
    <row r="67" spans="1:9" x14ac:dyDescent="0.25">
      <c r="A67" s="28" t="s">
        <v>88</v>
      </c>
      <c r="B67" s="1"/>
      <c r="C67" s="1"/>
      <c r="D67" s="22" t="s">
        <v>123</v>
      </c>
      <c r="E67" s="1" t="s">
        <v>41</v>
      </c>
      <c r="F67" s="40">
        <f>9.6+11.68</f>
        <v>21.28</v>
      </c>
      <c r="G67" s="31"/>
      <c r="H67" s="29">
        <f t="shared" si="11"/>
        <v>0</v>
      </c>
      <c r="I67" s="27">
        <f t="shared" si="12"/>
        <v>0</v>
      </c>
    </row>
    <row r="68" spans="1:9" x14ac:dyDescent="0.25">
      <c r="A68" s="28" t="s">
        <v>89</v>
      </c>
      <c r="B68" s="1"/>
      <c r="C68" s="1"/>
      <c r="D68" s="22" t="s">
        <v>124</v>
      </c>
      <c r="E68" s="1" t="s">
        <v>41</v>
      </c>
      <c r="F68" s="40">
        <f>9.6+9.6</f>
        <v>19.2</v>
      </c>
      <c r="G68" s="31"/>
      <c r="H68" s="29">
        <f t="shared" si="11"/>
        <v>0</v>
      </c>
      <c r="I68" s="27">
        <f t="shared" si="12"/>
        <v>0</v>
      </c>
    </row>
    <row r="69" spans="1:9" ht="28.5" x14ac:dyDescent="0.25">
      <c r="A69" s="28" t="s">
        <v>259</v>
      </c>
      <c r="B69" s="1"/>
      <c r="C69" s="1"/>
      <c r="D69" s="22" t="s">
        <v>176</v>
      </c>
      <c r="E69" s="1" t="s">
        <v>41</v>
      </c>
      <c r="F69" s="40">
        <f>9.6</f>
        <v>9.6</v>
      </c>
      <c r="G69" s="31"/>
      <c r="H69" s="29">
        <f t="shared" si="11"/>
        <v>0</v>
      </c>
      <c r="I69" s="27">
        <f t="shared" si="12"/>
        <v>0</v>
      </c>
    </row>
    <row r="70" spans="1:9" x14ac:dyDescent="0.25">
      <c r="A70" s="28" t="s">
        <v>152</v>
      </c>
      <c r="B70" s="1"/>
      <c r="C70" s="1"/>
      <c r="D70" s="22" t="s">
        <v>269</v>
      </c>
      <c r="E70" s="1" t="s">
        <v>29</v>
      </c>
      <c r="F70" s="40">
        <f>F53+(59-44)</f>
        <v>54.69</v>
      </c>
      <c r="G70" s="31"/>
      <c r="H70" s="29">
        <f t="shared" si="11"/>
        <v>0</v>
      </c>
      <c r="I70" s="27">
        <f t="shared" si="12"/>
        <v>0</v>
      </c>
    </row>
    <row r="71" spans="1:9" x14ac:dyDescent="0.25">
      <c r="A71" s="28" t="s">
        <v>271</v>
      </c>
      <c r="B71" s="1"/>
      <c r="C71" s="1"/>
      <c r="D71" s="22" t="s">
        <v>270</v>
      </c>
      <c r="E71" s="1" t="s">
        <v>41</v>
      </c>
      <c r="F71" s="40">
        <f>4.85+6.65+2.25+1.65+2.6+8.3+1.5+1.5+2.25+2.25</f>
        <v>33.799999999999997</v>
      </c>
      <c r="G71" s="31"/>
      <c r="H71" s="29">
        <f t="shared" si="11"/>
        <v>0</v>
      </c>
      <c r="I71" s="27">
        <f t="shared" si="12"/>
        <v>0</v>
      </c>
    </row>
    <row r="72" spans="1:9" x14ac:dyDescent="0.25">
      <c r="A72" s="69" t="s">
        <v>82</v>
      </c>
      <c r="B72" s="70"/>
      <c r="C72" s="70"/>
      <c r="D72" s="70"/>
      <c r="E72" s="70"/>
      <c r="F72" s="70"/>
      <c r="G72" s="71"/>
      <c r="H72" s="24"/>
      <c r="I72" s="24">
        <f>SUM(I65:I71)</f>
        <v>0</v>
      </c>
    </row>
    <row r="73" spans="1:9" x14ac:dyDescent="0.25">
      <c r="A73" s="44"/>
      <c r="B73" s="44"/>
      <c r="C73" s="44"/>
      <c r="D73" s="44"/>
      <c r="E73" s="44"/>
      <c r="F73" s="58"/>
      <c r="G73" s="44"/>
      <c r="H73" s="44"/>
      <c r="I73" s="44"/>
    </row>
    <row r="74" spans="1:9" x14ac:dyDescent="0.25">
      <c r="A74" s="25" t="s">
        <v>73</v>
      </c>
      <c r="B74" s="64"/>
      <c r="C74" s="65"/>
      <c r="D74" s="66" t="s">
        <v>71</v>
      </c>
      <c r="E74" s="67"/>
      <c r="F74" s="67"/>
      <c r="G74" s="67"/>
      <c r="H74" s="67"/>
      <c r="I74" s="68"/>
    </row>
    <row r="75" spans="1:9" x14ac:dyDescent="0.25">
      <c r="A75" s="28" t="s">
        <v>90</v>
      </c>
      <c r="B75" s="1"/>
      <c r="C75" s="1"/>
      <c r="D75" s="22" t="s">
        <v>177</v>
      </c>
      <c r="E75" s="1" t="s">
        <v>95</v>
      </c>
      <c r="F75" s="30">
        <v>3</v>
      </c>
      <c r="G75" s="31"/>
      <c r="H75" s="29">
        <f t="shared" ref="H75:H82" si="13">G75*$E$4</f>
        <v>0</v>
      </c>
      <c r="I75" s="27">
        <f t="shared" ref="I75:I82" si="14">H75*F75</f>
        <v>0</v>
      </c>
    </row>
    <row r="76" spans="1:9" ht="28.5" x14ac:dyDescent="0.25">
      <c r="A76" s="28" t="s">
        <v>98</v>
      </c>
      <c r="B76" s="1"/>
      <c r="C76" s="1"/>
      <c r="D76" s="22" t="s">
        <v>246</v>
      </c>
      <c r="E76" s="1" t="s">
        <v>95</v>
      </c>
      <c r="F76" s="30">
        <v>4</v>
      </c>
      <c r="G76" s="31"/>
      <c r="H76" s="29">
        <f t="shared" si="13"/>
        <v>0</v>
      </c>
      <c r="I76" s="27">
        <f t="shared" si="14"/>
        <v>0</v>
      </c>
    </row>
    <row r="77" spans="1:9" ht="28.5" x14ac:dyDescent="0.25">
      <c r="A77" s="28" t="s">
        <v>99</v>
      </c>
      <c r="B77" s="1"/>
      <c r="C77" s="1"/>
      <c r="D77" s="22" t="s">
        <v>178</v>
      </c>
      <c r="E77" s="1" t="s">
        <v>95</v>
      </c>
      <c r="F77" s="30">
        <v>2</v>
      </c>
      <c r="G77" s="31"/>
      <c r="H77" s="29">
        <f t="shared" si="13"/>
        <v>0</v>
      </c>
      <c r="I77" s="27">
        <f t="shared" si="14"/>
        <v>0</v>
      </c>
    </row>
    <row r="78" spans="1:9" ht="28.5" x14ac:dyDescent="0.25">
      <c r="A78" s="28" t="s">
        <v>100</v>
      </c>
      <c r="B78" s="1"/>
      <c r="C78" s="1"/>
      <c r="D78" s="22" t="s">
        <v>179</v>
      </c>
      <c r="E78" s="1" t="s">
        <v>95</v>
      </c>
      <c r="F78" s="30">
        <v>4</v>
      </c>
      <c r="G78" s="31"/>
      <c r="H78" s="29">
        <f t="shared" si="13"/>
        <v>0</v>
      </c>
      <c r="I78" s="27">
        <f t="shared" si="14"/>
        <v>0</v>
      </c>
    </row>
    <row r="79" spans="1:9" ht="28.5" x14ac:dyDescent="0.25">
      <c r="A79" s="28" t="s">
        <v>101</v>
      </c>
      <c r="B79" s="1"/>
      <c r="C79" s="1"/>
      <c r="D79" s="22" t="s">
        <v>180</v>
      </c>
      <c r="E79" s="1" t="s">
        <v>95</v>
      </c>
      <c r="F79" s="30">
        <v>1</v>
      </c>
      <c r="G79" s="31"/>
      <c r="H79" s="29">
        <f t="shared" si="13"/>
        <v>0</v>
      </c>
      <c r="I79" s="27">
        <f t="shared" si="14"/>
        <v>0</v>
      </c>
    </row>
    <row r="80" spans="1:9" ht="28.5" x14ac:dyDescent="0.25">
      <c r="A80" s="28" t="s">
        <v>102</v>
      </c>
      <c r="B80" s="1"/>
      <c r="C80" s="1"/>
      <c r="D80" s="22" t="s">
        <v>181</v>
      </c>
      <c r="E80" s="1" t="s">
        <v>95</v>
      </c>
      <c r="F80" s="30">
        <v>1</v>
      </c>
      <c r="G80" s="31"/>
      <c r="H80" s="29">
        <f t="shared" si="13"/>
        <v>0</v>
      </c>
      <c r="I80" s="27">
        <f t="shared" si="14"/>
        <v>0</v>
      </c>
    </row>
    <row r="81" spans="1:9" ht="28.5" x14ac:dyDescent="0.25">
      <c r="A81" s="28" t="s">
        <v>103</v>
      </c>
      <c r="B81" s="1"/>
      <c r="C81" s="1"/>
      <c r="D81" s="22" t="s">
        <v>182</v>
      </c>
      <c r="E81" s="1" t="s">
        <v>95</v>
      </c>
      <c r="F81" s="30">
        <v>4</v>
      </c>
      <c r="G81" s="31"/>
      <c r="H81" s="29">
        <f t="shared" si="13"/>
        <v>0</v>
      </c>
      <c r="I81" s="27">
        <f t="shared" si="14"/>
        <v>0</v>
      </c>
    </row>
    <row r="82" spans="1:9" x14ac:dyDescent="0.25">
      <c r="A82" s="28" t="s">
        <v>104</v>
      </c>
      <c r="B82" s="1"/>
      <c r="C82" s="1"/>
      <c r="D82" s="52" t="s">
        <v>183</v>
      </c>
      <c r="E82" s="1" t="s">
        <v>95</v>
      </c>
      <c r="F82" s="30">
        <v>2</v>
      </c>
      <c r="G82" s="31"/>
      <c r="H82" s="29">
        <f t="shared" si="13"/>
        <v>0</v>
      </c>
      <c r="I82" s="27">
        <f t="shared" si="14"/>
        <v>0</v>
      </c>
    </row>
    <row r="83" spans="1:9" x14ac:dyDescent="0.25">
      <c r="A83" s="69" t="s">
        <v>83</v>
      </c>
      <c r="B83" s="70"/>
      <c r="C83" s="70"/>
      <c r="D83" s="70"/>
      <c r="E83" s="70"/>
      <c r="F83" s="70"/>
      <c r="G83" s="71"/>
      <c r="H83" s="24"/>
      <c r="I83" s="24">
        <f>SUM(I75:I82)</f>
        <v>0</v>
      </c>
    </row>
    <row r="84" spans="1:9" x14ac:dyDescent="0.25">
      <c r="A84" s="44"/>
      <c r="B84" s="44"/>
      <c r="C84" s="44"/>
      <c r="D84" s="44"/>
      <c r="E84" s="44"/>
      <c r="F84" s="58"/>
      <c r="G84" s="44"/>
      <c r="H84" s="44"/>
      <c r="I84" s="44"/>
    </row>
    <row r="85" spans="1:9" x14ac:dyDescent="0.25">
      <c r="A85" s="25" t="s">
        <v>74</v>
      </c>
      <c r="B85" s="64"/>
      <c r="C85" s="65"/>
      <c r="D85" s="66" t="s">
        <v>201</v>
      </c>
      <c r="E85" s="67"/>
      <c r="F85" s="67"/>
      <c r="G85" s="67"/>
      <c r="H85" s="67"/>
      <c r="I85" s="68"/>
    </row>
    <row r="86" spans="1:9" x14ac:dyDescent="0.25">
      <c r="A86" s="28" t="s">
        <v>91</v>
      </c>
      <c r="B86" s="1"/>
      <c r="C86" s="1"/>
      <c r="D86" s="22" t="s">
        <v>210</v>
      </c>
      <c r="E86" s="1" t="s">
        <v>95</v>
      </c>
      <c r="F86" s="40">
        <v>1</v>
      </c>
      <c r="G86" s="31"/>
      <c r="H86" s="29">
        <f>G86*$E$4</f>
        <v>0</v>
      </c>
      <c r="I86" s="27">
        <f t="shared" ref="I86:I96" si="15">H86*F86</f>
        <v>0</v>
      </c>
    </row>
    <row r="87" spans="1:9" ht="42.75" x14ac:dyDescent="0.25">
      <c r="A87" s="28" t="s">
        <v>92</v>
      </c>
      <c r="B87" s="1"/>
      <c r="C87" s="1"/>
      <c r="D87" s="22" t="s">
        <v>202</v>
      </c>
      <c r="E87" s="1" t="s">
        <v>95</v>
      </c>
      <c r="F87" s="40">
        <v>2</v>
      </c>
      <c r="G87" s="31"/>
      <c r="H87" s="29">
        <f t="shared" ref="H87:H96" si="16">G87*$E$4</f>
        <v>0</v>
      </c>
      <c r="I87" s="27">
        <f t="shared" si="15"/>
        <v>0</v>
      </c>
    </row>
    <row r="88" spans="1:9" x14ac:dyDescent="0.25">
      <c r="A88" s="28" t="s">
        <v>132</v>
      </c>
      <c r="B88" s="1"/>
      <c r="C88" s="1"/>
      <c r="D88" s="22" t="s">
        <v>257</v>
      </c>
      <c r="E88" s="1" t="s">
        <v>95</v>
      </c>
      <c r="F88" s="40">
        <v>3</v>
      </c>
      <c r="G88" s="31"/>
      <c r="H88" s="29">
        <f t="shared" si="16"/>
        <v>0</v>
      </c>
      <c r="I88" s="27">
        <f t="shared" si="15"/>
        <v>0</v>
      </c>
    </row>
    <row r="89" spans="1:9" ht="29.25" x14ac:dyDescent="0.25">
      <c r="A89" s="28" t="s">
        <v>140</v>
      </c>
      <c r="B89" s="1"/>
      <c r="C89" s="1"/>
      <c r="D89" s="63" t="s">
        <v>255</v>
      </c>
      <c r="E89" s="1" t="s">
        <v>109</v>
      </c>
      <c r="F89" s="40">
        <f>1.5*1*1.5</f>
        <v>2.25</v>
      </c>
      <c r="G89" s="31"/>
      <c r="H89" s="29">
        <f t="shared" si="16"/>
        <v>0</v>
      </c>
      <c r="I89" s="27">
        <f t="shared" si="15"/>
        <v>0</v>
      </c>
    </row>
    <row r="90" spans="1:9" ht="28.5" x14ac:dyDescent="0.25">
      <c r="A90" s="28" t="s">
        <v>153</v>
      </c>
      <c r="B90" s="1"/>
      <c r="C90" s="1"/>
      <c r="D90" s="22" t="s">
        <v>256</v>
      </c>
      <c r="E90" s="1" t="s">
        <v>109</v>
      </c>
      <c r="F90" s="40">
        <v>2</v>
      </c>
      <c r="G90" s="31"/>
      <c r="H90" s="29">
        <f t="shared" si="16"/>
        <v>0</v>
      </c>
      <c r="I90" s="27">
        <f t="shared" si="15"/>
        <v>0</v>
      </c>
    </row>
    <row r="91" spans="1:9" x14ac:dyDescent="0.25">
      <c r="A91" s="28" t="s">
        <v>154</v>
      </c>
      <c r="B91" s="1"/>
      <c r="C91" s="1"/>
      <c r="D91" s="22" t="s">
        <v>264</v>
      </c>
      <c r="E91" s="1" t="s">
        <v>95</v>
      </c>
      <c r="F91" s="40">
        <v>1</v>
      </c>
      <c r="G91" s="31"/>
      <c r="H91" s="29">
        <f t="shared" si="16"/>
        <v>0</v>
      </c>
      <c r="I91" s="27">
        <f t="shared" si="15"/>
        <v>0</v>
      </c>
    </row>
    <row r="92" spans="1:9" x14ac:dyDescent="0.25">
      <c r="A92" s="28" t="s">
        <v>155</v>
      </c>
      <c r="B92" s="1"/>
      <c r="C92" s="1"/>
      <c r="D92" s="22" t="s">
        <v>265</v>
      </c>
      <c r="E92" s="1" t="s">
        <v>95</v>
      </c>
      <c r="F92" s="30">
        <v>1</v>
      </c>
      <c r="G92" s="31"/>
      <c r="H92" s="29">
        <f t="shared" si="16"/>
        <v>0</v>
      </c>
      <c r="I92" s="27">
        <f t="shared" si="15"/>
        <v>0</v>
      </c>
    </row>
    <row r="93" spans="1:9" x14ac:dyDescent="0.25">
      <c r="A93" s="28" t="s">
        <v>156</v>
      </c>
      <c r="B93" s="1"/>
      <c r="C93" s="1"/>
      <c r="D93" s="22" t="s">
        <v>266</v>
      </c>
      <c r="E93" s="1" t="s">
        <v>95</v>
      </c>
      <c r="F93" s="30">
        <v>1</v>
      </c>
      <c r="G93" s="31"/>
      <c r="H93" s="29">
        <f t="shared" si="16"/>
        <v>0</v>
      </c>
      <c r="I93" s="27">
        <f t="shared" si="15"/>
        <v>0</v>
      </c>
    </row>
    <row r="94" spans="1:9" x14ac:dyDescent="0.25">
      <c r="A94" s="28" t="s">
        <v>157</v>
      </c>
      <c r="B94" s="1"/>
      <c r="C94" s="1"/>
      <c r="D94" s="22" t="s">
        <v>211</v>
      </c>
      <c r="E94" s="1" t="s">
        <v>41</v>
      </c>
      <c r="F94" s="30">
        <f>5.19+38</f>
        <v>43.19</v>
      </c>
      <c r="G94" s="31"/>
      <c r="H94" s="29">
        <f t="shared" si="16"/>
        <v>0</v>
      </c>
      <c r="I94" s="27">
        <f t="shared" si="15"/>
        <v>0</v>
      </c>
    </row>
    <row r="95" spans="1:9" x14ac:dyDescent="0.25">
      <c r="A95" s="28" t="s">
        <v>158</v>
      </c>
      <c r="B95" s="14"/>
      <c r="C95" s="1"/>
      <c r="D95" s="22" t="s">
        <v>267</v>
      </c>
      <c r="E95" s="1" t="s">
        <v>41</v>
      </c>
      <c r="F95" s="30">
        <v>8</v>
      </c>
      <c r="G95" s="31"/>
      <c r="H95" s="29">
        <f t="shared" si="16"/>
        <v>0</v>
      </c>
      <c r="I95" s="27">
        <f t="shared" si="15"/>
        <v>0</v>
      </c>
    </row>
    <row r="96" spans="1:9" x14ac:dyDescent="0.25">
      <c r="A96" s="28" t="s">
        <v>159</v>
      </c>
      <c r="B96" s="1"/>
      <c r="C96" s="1"/>
      <c r="D96" s="22" t="s">
        <v>212</v>
      </c>
      <c r="E96" s="1" t="s">
        <v>95</v>
      </c>
      <c r="F96" s="30">
        <v>1</v>
      </c>
      <c r="G96" s="31"/>
      <c r="H96" s="29">
        <f t="shared" si="16"/>
        <v>0</v>
      </c>
      <c r="I96" s="27">
        <f t="shared" si="15"/>
        <v>0</v>
      </c>
    </row>
    <row r="97" spans="1:9" x14ac:dyDescent="0.25">
      <c r="A97" s="69" t="s">
        <v>84</v>
      </c>
      <c r="B97" s="70"/>
      <c r="C97" s="70"/>
      <c r="D97" s="70"/>
      <c r="E97" s="70"/>
      <c r="F97" s="70"/>
      <c r="G97" s="71"/>
      <c r="H97" s="24"/>
      <c r="I97" s="24">
        <f>SUM(I86:I96)</f>
        <v>0</v>
      </c>
    </row>
    <row r="98" spans="1:9" x14ac:dyDescent="0.25">
      <c r="A98" s="44"/>
      <c r="B98" s="44"/>
      <c r="C98" s="44"/>
      <c r="D98" s="44"/>
      <c r="E98" s="44"/>
      <c r="F98" s="58"/>
      <c r="G98" s="44"/>
      <c r="H98" s="44"/>
      <c r="I98" s="44"/>
    </row>
    <row r="99" spans="1:9" x14ac:dyDescent="0.25">
      <c r="A99" s="25" t="s">
        <v>75</v>
      </c>
      <c r="B99" s="64"/>
      <c r="C99" s="65"/>
      <c r="D99" s="66" t="s">
        <v>203</v>
      </c>
      <c r="E99" s="67"/>
      <c r="F99" s="67"/>
      <c r="G99" s="67"/>
      <c r="H99" s="67"/>
      <c r="I99" s="68"/>
    </row>
    <row r="100" spans="1:9" ht="28.5" x14ac:dyDescent="0.25">
      <c r="A100" s="28" t="s">
        <v>93</v>
      </c>
      <c r="B100" s="28"/>
      <c r="C100" s="1"/>
      <c r="D100" s="22" t="s">
        <v>254</v>
      </c>
      <c r="E100" s="1" t="s">
        <v>95</v>
      </c>
      <c r="F100" s="30">
        <v>1</v>
      </c>
      <c r="G100" s="43"/>
      <c r="H100" s="29">
        <f t="shared" ref="H100:H101" si="17">G100*$E$4</f>
        <v>0</v>
      </c>
      <c r="I100" s="27">
        <f t="shared" ref="I100:I101" si="18">H100*F100</f>
        <v>0</v>
      </c>
    </row>
    <row r="101" spans="1:9" ht="28.5" x14ac:dyDescent="0.25">
      <c r="A101" s="28" t="s">
        <v>94</v>
      </c>
      <c r="B101" s="1"/>
      <c r="C101" s="1"/>
      <c r="D101" s="22" t="s">
        <v>217</v>
      </c>
      <c r="E101" s="1" t="s">
        <v>95</v>
      </c>
      <c r="F101" s="30">
        <v>1</v>
      </c>
      <c r="G101" s="31"/>
      <c r="H101" s="29">
        <f t="shared" si="17"/>
        <v>0</v>
      </c>
      <c r="I101" s="27">
        <f t="shared" si="18"/>
        <v>0</v>
      </c>
    </row>
    <row r="102" spans="1:9" x14ac:dyDescent="0.25">
      <c r="A102" s="28" t="s">
        <v>260</v>
      </c>
      <c r="B102" s="1"/>
      <c r="C102" s="1"/>
      <c r="D102" s="22" t="s">
        <v>142</v>
      </c>
      <c r="E102" s="1" t="s">
        <v>95</v>
      </c>
      <c r="F102" s="30">
        <v>2</v>
      </c>
      <c r="G102" s="31"/>
      <c r="H102" s="29">
        <f t="shared" ref="H102:H105" si="19">G102*$E$4</f>
        <v>0</v>
      </c>
      <c r="I102" s="27">
        <f t="shared" ref="I102:I105" si="20">H102*F102</f>
        <v>0</v>
      </c>
    </row>
    <row r="103" spans="1:9" x14ac:dyDescent="0.25">
      <c r="A103" s="28" t="s">
        <v>261</v>
      </c>
      <c r="B103" s="1"/>
      <c r="C103" s="1"/>
      <c r="D103" s="22" t="s">
        <v>143</v>
      </c>
      <c r="E103" s="1" t="s">
        <v>95</v>
      </c>
      <c r="F103" s="30">
        <v>2</v>
      </c>
      <c r="G103" s="31"/>
      <c r="H103" s="29">
        <f t="shared" si="19"/>
        <v>0</v>
      </c>
      <c r="I103" s="27">
        <f t="shared" si="20"/>
        <v>0</v>
      </c>
    </row>
    <row r="104" spans="1:9" x14ac:dyDescent="0.25">
      <c r="A104" s="28" t="s">
        <v>262</v>
      </c>
      <c r="B104" s="1"/>
      <c r="C104" s="1"/>
      <c r="D104" s="22" t="s">
        <v>144</v>
      </c>
      <c r="E104" s="1" t="s">
        <v>95</v>
      </c>
      <c r="F104" s="30">
        <v>2</v>
      </c>
      <c r="G104" s="31"/>
      <c r="H104" s="29">
        <f t="shared" si="19"/>
        <v>0</v>
      </c>
      <c r="I104" s="27">
        <f t="shared" si="20"/>
        <v>0</v>
      </c>
    </row>
    <row r="105" spans="1:9" x14ac:dyDescent="0.25">
      <c r="A105" s="28" t="s">
        <v>263</v>
      </c>
      <c r="B105" s="1"/>
      <c r="C105" s="1"/>
      <c r="D105" s="22" t="s">
        <v>213</v>
      </c>
      <c r="E105" s="1" t="s">
        <v>95</v>
      </c>
      <c r="F105" s="30">
        <v>1</v>
      </c>
      <c r="G105" s="31"/>
      <c r="H105" s="29">
        <f t="shared" si="19"/>
        <v>0</v>
      </c>
      <c r="I105" s="27">
        <f t="shared" si="20"/>
        <v>0</v>
      </c>
    </row>
    <row r="106" spans="1:9" x14ac:dyDescent="0.25">
      <c r="A106" s="69" t="s">
        <v>85</v>
      </c>
      <c r="B106" s="70"/>
      <c r="C106" s="70"/>
      <c r="D106" s="70"/>
      <c r="E106" s="70"/>
      <c r="F106" s="70"/>
      <c r="G106" s="71"/>
      <c r="H106" s="24"/>
      <c r="I106" s="24">
        <f>SUM(I100:I105)</f>
        <v>0</v>
      </c>
    </row>
    <row r="107" spans="1:9" x14ac:dyDescent="0.25">
      <c r="A107" s="44"/>
      <c r="B107" s="44"/>
      <c r="C107" s="44"/>
      <c r="D107" s="44"/>
      <c r="E107" s="44"/>
      <c r="F107" s="58"/>
      <c r="G107" s="44"/>
      <c r="H107" s="44"/>
      <c r="I107" s="44"/>
    </row>
    <row r="108" spans="1:9" x14ac:dyDescent="0.25">
      <c r="A108" s="25" t="s">
        <v>160</v>
      </c>
      <c r="B108" s="64"/>
      <c r="C108" s="65"/>
      <c r="D108" s="66" t="s">
        <v>79</v>
      </c>
      <c r="E108" s="67"/>
      <c r="F108" s="67"/>
      <c r="G108" s="67"/>
      <c r="H108" s="67"/>
      <c r="I108" s="68"/>
    </row>
    <row r="109" spans="1:9" x14ac:dyDescent="0.25">
      <c r="A109" s="28" t="s">
        <v>161</v>
      </c>
      <c r="B109" s="1"/>
      <c r="C109" s="1"/>
      <c r="D109" s="22" t="s">
        <v>252</v>
      </c>
      <c r="E109" s="1" t="s">
        <v>29</v>
      </c>
      <c r="F109" s="40">
        <f>F50</f>
        <v>39.65</v>
      </c>
      <c r="G109" s="31"/>
      <c r="H109" s="29">
        <f>G109*$E$4</f>
        <v>0</v>
      </c>
      <c r="I109" s="27">
        <f>H109*F109</f>
        <v>0</v>
      </c>
    </row>
    <row r="110" spans="1:9" x14ac:dyDescent="0.25">
      <c r="A110" s="28" t="s">
        <v>162</v>
      </c>
      <c r="B110" s="1"/>
      <c r="C110" s="1"/>
      <c r="D110" s="22" t="s">
        <v>80</v>
      </c>
      <c r="E110" s="1" t="s">
        <v>29</v>
      </c>
      <c r="F110" s="30">
        <f>F109</f>
        <v>39.65</v>
      </c>
      <c r="G110" s="31"/>
      <c r="H110" s="29">
        <f>G110*$E$4</f>
        <v>0</v>
      </c>
      <c r="I110" s="27">
        <f t="shared" ref="I110:I111" si="21">H110*F110</f>
        <v>0</v>
      </c>
    </row>
    <row r="111" spans="1:9" x14ac:dyDescent="0.25">
      <c r="A111" s="28" t="s">
        <v>163</v>
      </c>
      <c r="B111" s="1"/>
      <c r="C111" s="1"/>
      <c r="D111" s="22" t="s">
        <v>131</v>
      </c>
      <c r="E111" s="1" t="s">
        <v>29</v>
      </c>
      <c r="F111" s="30">
        <f>F110</f>
        <v>39.65</v>
      </c>
      <c r="G111" s="31"/>
      <c r="H111" s="29">
        <f>G111*$E$4</f>
        <v>0</v>
      </c>
      <c r="I111" s="27">
        <f t="shared" si="21"/>
        <v>0</v>
      </c>
    </row>
    <row r="112" spans="1:9" x14ac:dyDescent="0.25">
      <c r="A112" s="69" t="s">
        <v>164</v>
      </c>
      <c r="B112" s="70"/>
      <c r="C112" s="70"/>
      <c r="D112" s="70"/>
      <c r="E112" s="70"/>
      <c r="F112" s="70"/>
      <c r="G112" s="71"/>
      <c r="H112" s="24"/>
      <c r="I112" s="24">
        <f>SUM(I109:I111)</f>
        <v>0</v>
      </c>
    </row>
    <row r="113" spans="1:9" x14ac:dyDescent="0.25">
      <c r="A113" s="44"/>
      <c r="B113" s="44"/>
      <c r="C113" s="44"/>
      <c r="D113" s="44"/>
      <c r="E113" s="44"/>
      <c r="F113" s="58"/>
      <c r="G113" s="44"/>
      <c r="H113" s="44"/>
      <c r="I113" s="44"/>
    </row>
    <row r="114" spans="1:9" x14ac:dyDescent="0.25">
      <c r="A114" s="25">
        <v>13</v>
      </c>
      <c r="B114" s="64"/>
      <c r="C114" s="65"/>
      <c r="D114" s="66" t="s">
        <v>38</v>
      </c>
      <c r="E114" s="67"/>
      <c r="F114" s="67"/>
      <c r="G114" s="67"/>
      <c r="H114" s="67"/>
      <c r="I114" s="68"/>
    </row>
    <row r="115" spans="1:9" x14ac:dyDescent="0.25">
      <c r="A115" s="28" t="s">
        <v>204</v>
      </c>
      <c r="B115" s="1"/>
      <c r="C115" s="1"/>
      <c r="D115" s="22" t="s">
        <v>253</v>
      </c>
      <c r="E115" s="1" t="s">
        <v>29</v>
      </c>
      <c r="F115" s="40">
        <f>3</f>
        <v>3</v>
      </c>
      <c r="G115" s="31"/>
      <c r="H115" s="29">
        <f t="shared" ref="H115:H119" si="22">G115*$E$4</f>
        <v>0</v>
      </c>
      <c r="I115" s="27">
        <f>H115*F115</f>
        <v>0</v>
      </c>
    </row>
    <row r="116" spans="1:9" x14ac:dyDescent="0.25">
      <c r="A116" s="28" t="s">
        <v>205</v>
      </c>
      <c r="B116" s="1"/>
      <c r="C116" s="1"/>
      <c r="D116" s="22" t="s">
        <v>165</v>
      </c>
      <c r="E116" s="1" t="s">
        <v>95</v>
      </c>
      <c r="F116" s="30">
        <v>1</v>
      </c>
      <c r="G116" s="31"/>
      <c r="H116" s="29">
        <f t="shared" si="22"/>
        <v>0</v>
      </c>
      <c r="I116" s="27">
        <f t="shared" ref="I116:I119" si="23">H116*F116</f>
        <v>0</v>
      </c>
    </row>
    <row r="117" spans="1:9" x14ac:dyDescent="0.25">
      <c r="A117" s="28" t="s">
        <v>206</v>
      </c>
      <c r="B117" s="1"/>
      <c r="C117" s="1"/>
      <c r="D117" s="22" t="s">
        <v>134</v>
      </c>
      <c r="E117" s="1" t="s">
        <v>29</v>
      </c>
      <c r="F117" s="30">
        <f>F59</f>
        <v>4.6800000000000006</v>
      </c>
      <c r="G117" s="31"/>
      <c r="H117" s="29">
        <f t="shared" si="22"/>
        <v>0</v>
      </c>
      <c r="I117" s="27">
        <f t="shared" si="23"/>
        <v>0</v>
      </c>
    </row>
    <row r="118" spans="1:9" x14ac:dyDescent="0.25">
      <c r="A118" s="28" t="s">
        <v>207</v>
      </c>
      <c r="B118" s="1"/>
      <c r="C118" s="1"/>
      <c r="D118" s="22" t="s">
        <v>81</v>
      </c>
      <c r="E118" s="1" t="s">
        <v>29</v>
      </c>
      <c r="F118" s="30">
        <f>F9</f>
        <v>44.29</v>
      </c>
      <c r="G118" s="31"/>
      <c r="H118" s="29">
        <f t="shared" si="22"/>
        <v>0</v>
      </c>
      <c r="I118" s="27">
        <f t="shared" si="23"/>
        <v>0</v>
      </c>
    </row>
    <row r="119" spans="1:9" x14ac:dyDescent="0.25">
      <c r="A119" s="28" t="s">
        <v>208</v>
      </c>
      <c r="B119" s="1"/>
      <c r="C119" s="1"/>
      <c r="D119" s="22" t="s">
        <v>272</v>
      </c>
      <c r="E119" s="1" t="s">
        <v>29</v>
      </c>
      <c r="F119" s="30">
        <v>20</v>
      </c>
      <c r="G119" s="31"/>
      <c r="H119" s="29">
        <f t="shared" si="22"/>
        <v>0</v>
      </c>
      <c r="I119" s="27">
        <f t="shared" si="23"/>
        <v>0</v>
      </c>
    </row>
    <row r="120" spans="1:9" x14ac:dyDescent="0.25">
      <c r="A120" s="69" t="s">
        <v>209</v>
      </c>
      <c r="B120" s="70"/>
      <c r="C120" s="70"/>
      <c r="D120" s="70"/>
      <c r="E120" s="70"/>
      <c r="F120" s="70"/>
      <c r="G120" s="71"/>
      <c r="H120" s="24"/>
      <c r="I120" s="24">
        <f>SUM(I115:I119)</f>
        <v>0</v>
      </c>
    </row>
    <row r="121" spans="1:9" x14ac:dyDescent="0.25">
      <c r="A121" s="44"/>
      <c r="B121" s="44"/>
      <c r="C121" s="44"/>
      <c r="D121" s="44"/>
      <c r="E121" s="44"/>
      <c r="F121" s="58"/>
      <c r="G121" s="44"/>
      <c r="H121" s="44"/>
      <c r="I121" s="44"/>
    </row>
    <row r="122" spans="1:9" x14ac:dyDescent="0.25">
      <c r="A122" s="69" t="s">
        <v>97</v>
      </c>
      <c r="B122" s="70"/>
      <c r="C122" s="70"/>
      <c r="D122" s="70"/>
      <c r="E122" s="70"/>
      <c r="F122" s="70"/>
      <c r="G122" s="70"/>
      <c r="H122" s="71"/>
      <c r="I122" s="24">
        <f>SUM(I16,I26,I38,I44,I54,I62,I72,I83,I97,I112,I120,I106,I21)</f>
        <v>0</v>
      </c>
    </row>
    <row r="123" spans="1:9" x14ac:dyDescent="0.25">
      <c r="A123" s="75" t="s">
        <v>221</v>
      </c>
      <c r="B123" s="76"/>
      <c r="C123" s="76"/>
      <c r="D123" s="76"/>
      <c r="E123" s="76"/>
      <c r="F123" s="76"/>
      <c r="G123" s="76"/>
      <c r="H123" s="76"/>
      <c r="I123" s="77"/>
    </row>
    <row r="124" spans="1:9" x14ac:dyDescent="0.25">
      <c r="A124" s="78"/>
      <c r="B124" s="79"/>
      <c r="C124" s="79"/>
      <c r="D124" s="79"/>
      <c r="E124" s="79"/>
      <c r="F124" s="79"/>
      <c r="G124" s="79"/>
      <c r="H124" s="79"/>
      <c r="I124" s="80"/>
    </row>
    <row r="125" spans="1:9" x14ac:dyDescent="0.25">
      <c r="A125" s="42"/>
      <c r="B125" s="42"/>
      <c r="C125" s="42"/>
      <c r="D125" s="42"/>
      <c r="E125" s="42"/>
      <c r="F125" s="46"/>
      <c r="G125" s="42"/>
      <c r="H125" s="42"/>
      <c r="I125" s="42"/>
    </row>
    <row r="126" spans="1:9" ht="15.75" x14ac:dyDescent="0.25">
      <c r="A126" s="72" t="s">
        <v>52</v>
      </c>
      <c r="B126" s="72"/>
      <c r="C126" s="72"/>
      <c r="D126" s="72"/>
      <c r="E126" s="72"/>
      <c r="F126" s="72"/>
      <c r="G126" s="72"/>
      <c r="H126" s="72"/>
      <c r="I126" s="72"/>
    </row>
    <row r="127" spans="1:9" ht="15.75" x14ac:dyDescent="0.25">
      <c r="A127" s="73" t="s">
        <v>136</v>
      </c>
      <c r="B127" s="73"/>
      <c r="C127" s="73"/>
      <c r="D127" s="73"/>
      <c r="E127" s="73"/>
      <c r="F127" s="73"/>
      <c r="G127" s="73"/>
      <c r="H127" s="73"/>
      <c r="I127" s="73"/>
    </row>
    <row r="128" spans="1:9" ht="15.75" x14ac:dyDescent="0.25">
      <c r="A128" s="74" t="s">
        <v>137</v>
      </c>
      <c r="B128" s="74"/>
      <c r="C128" s="74"/>
      <c r="D128" s="74"/>
      <c r="E128" s="74"/>
      <c r="F128" s="74"/>
      <c r="G128" s="74"/>
      <c r="H128" s="74"/>
      <c r="I128" s="74"/>
    </row>
    <row r="132" spans="8:9" x14ac:dyDescent="0.25">
      <c r="H132" s="37"/>
      <c r="I132" s="37"/>
    </row>
    <row r="133" spans="8:9" x14ac:dyDescent="0.25">
      <c r="I133" s="37"/>
    </row>
  </sheetData>
  <mergeCells count="63">
    <mergeCell ref="B23:C23"/>
    <mergeCell ref="D23:I23"/>
    <mergeCell ref="A21:G21"/>
    <mergeCell ref="B7:C7"/>
    <mergeCell ref="F5:F6"/>
    <mergeCell ref="G5:G6"/>
    <mergeCell ref="D18:I18"/>
    <mergeCell ref="H5:H6"/>
    <mergeCell ref="B46:C46"/>
    <mergeCell ref="D46:I46"/>
    <mergeCell ref="A5:A6"/>
    <mergeCell ref="B5:B6"/>
    <mergeCell ref="C5:C6"/>
    <mergeCell ref="D5:D6"/>
    <mergeCell ref="E5:E6"/>
    <mergeCell ref="A26:G26"/>
    <mergeCell ref="B40:C40"/>
    <mergeCell ref="D40:I40"/>
    <mergeCell ref="A44:G44"/>
    <mergeCell ref="A16:G16"/>
    <mergeCell ref="B28:C28"/>
    <mergeCell ref="D28:I28"/>
    <mergeCell ref="A38:G38"/>
    <mergeCell ref="I5:I6"/>
    <mergeCell ref="A62:G62"/>
    <mergeCell ref="B56:C56"/>
    <mergeCell ref="A1:I1"/>
    <mergeCell ref="A2:D2"/>
    <mergeCell ref="E2:F2"/>
    <mergeCell ref="H2:I2"/>
    <mergeCell ref="A3:D3"/>
    <mergeCell ref="E3:F3"/>
    <mergeCell ref="G3:G4"/>
    <mergeCell ref="H3:I4"/>
    <mergeCell ref="A4:D4"/>
    <mergeCell ref="E4:F4"/>
    <mergeCell ref="D7:I7"/>
    <mergeCell ref="B18:C18"/>
    <mergeCell ref="D56:I56"/>
    <mergeCell ref="A54:G54"/>
    <mergeCell ref="A126:I126"/>
    <mergeCell ref="A127:I127"/>
    <mergeCell ref="A128:I128"/>
    <mergeCell ref="B85:C85"/>
    <mergeCell ref="D85:I85"/>
    <mergeCell ref="A122:H122"/>
    <mergeCell ref="A123:I124"/>
    <mergeCell ref="B114:C114"/>
    <mergeCell ref="D114:I114"/>
    <mergeCell ref="A120:G120"/>
    <mergeCell ref="B108:C108"/>
    <mergeCell ref="D108:I108"/>
    <mergeCell ref="A112:G112"/>
    <mergeCell ref="A106:G106"/>
    <mergeCell ref="B99:C99"/>
    <mergeCell ref="D99:I99"/>
    <mergeCell ref="B64:C64"/>
    <mergeCell ref="D64:I64"/>
    <mergeCell ref="A72:G72"/>
    <mergeCell ref="A97:G97"/>
    <mergeCell ref="B74:C74"/>
    <mergeCell ref="D74:I74"/>
    <mergeCell ref="A83:G83"/>
  </mergeCells>
  <printOptions horizontalCentered="1"/>
  <pageMargins left="0.70866141732283472" right="0.70866141732283472" top="1.3385826771653544" bottom="0.74803149606299213" header="0.31496062992125984" footer="0.31496062992125984"/>
  <pageSetup paperSize="9" scale="73" fitToHeight="0" orientation="landscape" r:id="rId1"/>
  <headerFooter>
    <oddHeader>&amp;L                    
&amp;G&amp;C&amp;"-,Negrito"
SECRETARIA MUNICIPAL DA EDUCAÇÃO
PREFEITURA DO MUNICÍPIO DE LAGES&amp;R&amp;G</oddHeader>
    <oddFooter>&amp;C&amp;F&amp;R&amp;P/&amp;N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5" sqref="C5"/>
    </sheetView>
  </sheetViews>
  <sheetFormatPr defaultRowHeight="15" x14ac:dyDescent="0.25"/>
  <sheetData>
    <row r="1" spans="1:3" x14ac:dyDescent="0.25">
      <c r="A1">
        <f>7.42*8.19</f>
        <v>60.769799999999996</v>
      </c>
      <c r="C1">
        <f>A1</f>
        <v>60.769799999999996</v>
      </c>
    </row>
    <row r="2" spans="1:3" x14ac:dyDescent="0.25">
      <c r="A2">
        <f>5.42*2.94</f>
        <v>15.934799999999999</v>
      </c>
      <c r="C2">
        <f>3.0874*2.09</f>
        <v>6.4526659999999998</v>
      </c>
    </row>
    <row r="3" spans="1:3" x14ac:dyDescent="0.25">
      <c r="A3">
        <v>4</v>
      </c>
      <c r="C3">
        <f>4.9*1.65</f>
        <v>8.0850000000000009</v>
      </c>
    </row>
    <row r="4" spans="1:3" x14ac:dyDescent="0.25">
      <c r="A4">
        <v>18.68</v>
      </c>
      <c r="C4">
        <f>SUM(C1:C3)</f>
        <v>75.307466000000005</v>
      </c>
    </row>
    <row r="5" spans="1:3" x14ac:dyDescent="0.25">
      <c r="A5">
        <v>46.89</v>
      </c>
    </row>
    <row r="6" spans="1:3" x14ac:dyDescent="0.25">
      <c r="A6">
        <f>34.25</f>
        <v>34.25</v>
      </c>
    </row>
    <row r="7" spans="1:3" x14ac:dyDescent="0.25">
      <c r="A7">
        <v>3</v>
      </c>
    </row>
    <row r="8" spans="1:3" x14ac:dyDescent="0.25">
      <c r="A8">
        <v>29.39</v>
      </c>
    </row>
    <row r="9" spans="1:3" x14ac:dyDescent="0.25">
      <c r="A9">
        <f>SUM(A1:A8)</f>
        <v>212.91460000000001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3"/>
  <sheetViews>
    <sheetView view="pageLayout" zoomScaleNormal="100" workbookViewId="0">
      <selection activeCell="N8" sqref="N8:N20"/>
    </sheetView>
  </sheetViews>
  <sheetFormatPr defaultColWidth="9.140625" defaultRowHeight="11.25" x14ac:dyDescent="0.2"/>
  <cols>
    <col min="1" max="1" width="3.85546875" style="8" customWidth="1"/>
    <col min="2" max="2" width="60.5703125" style="9" customWidth="1"/>
    <col min="3" max="3" width="14.28515625" style="10" customWidth="1"/>
    <col min="4" max="4" width="6.5703125" style="8" customWidth="1"/>
    <col min="5" max="5" width="13.7109375" style="11" customWidth="1"/>
    <col min="6" max="6" width="7.140625" style="11" customWidth="1"/>
    <col min="7" max="7" width="12.7109375" style="2" customWidth="1"/>
    <col min="8" max="8" width="9.7109375" style="2" customWidth="1"/>
    <col min="9" max="9" width="13.28515625" style="2" customWidth="1"/>
    <col min="10" max="10" width="7" style="2" customWidth="1"/>
    <col min="11" max="11" width="13.85546875" style="2" customWidth="1"/>
    <col min="12" max="12" width="7" style="2" customWidth="1"/>
    <col min="13" max="13" width="13.85546875" style="2" customWidth="1"/>
    <col min="14" max="14" width="7" style="2" customWidth="1"/>
    <col min="15" max="15" width="14.42578125" style="2" customWidth="1"/>
    <col min="16" max="16" width="10" style="2" bestFit="1" customWidth="1"/>
    <col min="17" max="18" width="9.140625" style="2"/>
    <col min="19" max="19" width="21" style="2" customWidth="1"/>
    <col min="20" max="16384" width="9.140625" style="2"/>
  </cols>
  <sheetData>
    <row r="1" spans="1:16" ht="20.25" x14ac:dyDescent="0.2">
      <c r="A1" s="82" t="s">
        <v>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6" ht="15" customHeight="1" x14ac:dyDescent="0.2">
      <c r="A2" s="132" t="s">
        <v>68</v>
      </c>
      <c r="B2" s="132"/>
      <c r="C2" s="132"/>
      <c r="D2" s="132"/>
      <c r="E2" s="132"/>
      <c r="F2" s="132"/>
      <c r="G2" s="132"/>
      <c r="H2" s="115" t="s">
        <v>16</v>
      </c>
      <c r="I2" s="116"/>
      <c r="J2" s="115" t="s">
        <v>17</v>
      </c>
      <c r="K2" s="116"/>
      <c r="L2" s="86" t="s">
        <v>18</v>
      </c>
      <c r="M2" s="117"/>
      <c r="N2" s="117"/>
      <c r="O2" s="87"/>
    </row>
    <row r="3" spans="1:16" ht="15" customHeight="1" x14ac:dyDescent="0.2">
      <c r="A3" s="132" t="s">
        <v>274</v>
      </c>
      <c r="B3" s="132"/>
      <c r="C3" s="132"/>
      <c r="D3" s="132"/>
      <c r="E3" s="132"/>
      <c r="F3" s="132"/>
      <c r="G3" s="132"/>
      <c r="H3" s="130">
        <f>'ORÇAMENTO '!E3</f>
        <v>0</v>
      </c>
      <c r="I3" s="131"/>
      <c r="J3" s="126"/>
      <c r="K3" s="127"/>
      <c r="L3" s="118">
        <f>'ORÇAMENTO '!H3</f>
        <v>0</v>
      </c>
      <c r="M3" s="119"/>
      <c r="N3" s="119"/>
      <c r="O3" s="120"/>
    </row>
    <row r="4" spans="1:16" ht="15" customHeight="1" x14ac:dyDescent="0.2">
      <c r="A4" s="132" t="s">
        <v>273</v>
      </c>
      <c r="B4" s="132"/>
      <c r="C4" s="132"/>
      <c r="D4" s="132"/>
      <c r="E4" s="132"/>
      <c r="F4" s="132"/>
      <c r="G4" s="132"/>
      <c r="H4" s="86"/>
      <c r="I4" s="87"/>
      <c r="J4" s="128"/>
      <c r="K4" s="129"/>
      <c r="L4" s="121"/>
      <c r="M4" s="122"/>
      <c r="N4" s="122"/>
      <c r="O4" s="123"/>
    </row>
    <row r="5" spans="1:16" ht="15" customHeight="1" x14ac:dyDescent="0.2">
      <c r="A5" s="47"/>
      <c r="B5" s="48"/>
      <c r="C5" s="48"/>
      <c r="D5" s="48"/>
      <c r="E5" s="48"/>
      <c r="F5" s="49"/>
      <c r="G5" s="49"/>
      <c r="H5" s="50"/>
      <c r="I5" s="50"/>
      <c r="J5" s="51"/>
      <c r="K5" s="51"/>
      <c r="L5" s="51"/>
      <c r="M5" s="51"/>
      <c r="N5" s="51"/>
      <c r="O5" s="51"/>
    </row>
    <row r="6" spans="1:16" ht="12" x14ac:dyDescent="0.2">
      <c r="A6" s="124" t="s">
        <v>0</v>
      </c>
      <c r="B6" s="124"/>
      <c r="C6" s="125" t="s">
        <v>6</v>
      </c>
      <c r="D6" s="114" t="s">
        <v>7</v>
      </c>
      <c r="E6" s="114"/>
      <c r="F6" s="114" t="s">
        <v>8</v>
      </c>
      <c r="G6" s="114"/>
      <c r="H6" s="114" t="s">
        <v>9</v>
      </c>
      <c r="I6" s="114"/>
      <c r="J6" s="114" t="s">
        <v>55</v>
      </c>
      <c r="K6" s="114"/>
      <c r="L6" s="114" t="s">
        <v>56</v>
      </c>
      <c r="M6" s="114"/>
      <c r="N6" s="114" t="s">
        <v>166</v>
      </c>
      <c r="O6" s="114"/>
    </row>
    <row r="7" spans="1:16" ht="12" x14ac:dyDescent="0.2">
      <c r="A7" s="124"/>
      <c r="B7" s="124"/>
      <c r="C7" s="125"/>
      <c r="D7" s="4" t="s">
        <v>10</v>
      </c>
      <c r="E7" s="4" t="s">
        <v>11</v>
      </c>
      <c r="F7" s="4"/>
      <c r="G7" s="4" t="s">
        <v>11</v>
      </c>
      <c r="H7" s="4" t="s">
        <v>10</v>
      </c>
      <c r="I7" s="4" t="s">
        <v>11</v>
      </c>
      <c r="J7" s="4" t="s">
        <v>10</v>
      </c>
      <c r="K7" s="4" t="s">
        <v>11</v>
      </c>
      <c r="L7" s="59" t="s">
        <v>10</v>
      </c>
      <c r="M7" s="59" t="s">
        <v>11</v>
      </c>
      <c r="N7" s="4" t="s">
        <v>10</v>
      </c>
      <c r="O7" s="4" t="s">
        <v>11</v>
      </c>
    </row>
    <row r="8" spans="1:16" ht="12" x14ac:dyDescent="0.2">
      <c r="A8" s="4">
        <v>1</v>
      </c>
      <c r="B8" s="18" t="str">
        <f>'ORÇAMENTO '!D7</f>
        <v>SERVIÇOS PRELIMINARES</v>
      </c>
      <c r="C8" s="15">
        <f>'ORÇAMENTO '!I16</f>
        <v>0</v>
      </c>
      <c r="D8" s="16"/>
      <c r="E8" s="17">
        <f t="shared" ref="E8:E20" si="0">D8*C8</f>
        <v>0</v>
      </c>
      <c r="F8" s="16"/>
      <c r="G8" s="17">
        <f>F8*C8</f>
        <v>0</v>
      </c>
      <c r="H8" s="16"/>
      <c r="I8" s="17">
        <f>H8*C8</f>
        <v>0</v>
      </c>
      <c r="J8" s="16"/>
      <c r="K8" s="17">
        <f>J8*C8</f>
        <v>0</v>
      </c>
      <c r="L8" s="16"/>
      <c r="M8" s="17">
        <f>L8*C8</f>
        <v>0</v>
      </c>
      <c r="N8" s="16"/>
      <c r="O8" s="17">
        <f>N8*C8</f>
        <v>0</v>
      </c>
      <c r="P8" s="61"/>
    </row>
    <row r="9" spans="1:16" ht="12" x14ac:dyDescent="0.2">
      <c r="A9" s="4">
        <v>2</v>
      </c>
      <c r="B9" s="36" t="str">
        <f>'ORÇAMENTO '!D18</f>
        <v>MOVIMENTAÇÃO DE TERRAS E TRANSPORTE</v>
      </c>
      <c r="C9" s="15">
        <f>'ORÇAMENTO '!I21</f>
        <v>0</v>
      </c>
      <c r="D9" s="16"/>
      <c r="E9" s="17">
        <f t="shared" si="0"/>
        <v>0</v>
      </c>
      <c r="F9" s="16"/>
      <c r="G9" s="17">
        <f t="shared" ref="G9:G20" si="1">F9*C9</f>
        <v>0</v>
      </c>
      <c r="H9" s="16"/>
      <c r="I9" s="17">
        <f t="shared" ref="I9:I20" si="2">H9*C9</f>
        <v>0</v>
      </c>
      <c r="J9" s="16"/>
      <c r="K9" s="17">
        <f t="shared" ref="K9:K20" si="3">J9*C9</f>
        <v>0</v>
      </c>
      <c r="L9" s="16"/>
      <c r="M9" s="17">
        <f t="shared" ref="M9:M20" si="4">L9*C9</f>
        <v>0</v>
      </c>
      <c r="N9" s="16"/>
      <c r="O9" s="17">
        <f t="shared" ref="O9:O20" si="5">N9*C9</f>
        <v>0</v>
      </c>
      <c r="P9" s="61"/>
    </row>
    <row r="10" spans="1:16" ht="13.5" customHeight="1" x14ac:dyDescent="0.2">
      <c r="A10" s="4">
        <v>3</v>
      </c>
      <c r="B10" s="36" t="str">
        <f>'ORÇAMENTO '!D23</f>
        <v>DEMOLIÇÃO</v>
      </c>
      <c r="C10" s="15">
        <f>'ORÇAMENTO '!I26</f>
        <v>0</v>
      </c>
      <c r="D10" s="16"/>
      <c r="E10" s="17">
        <f t="shared" si="0"/>
        <v>0</v>
      </c>
      <c r="F10" s="16"/>
      <c r="G10" s="17">
        <f t="shared" si="1"/>
        <v>0</v>
      </c>
      <c r="H10" s="16"/>
      <c r="I10" s="17">
        <f t="shared" si="2"/>
        <v>0</v>
      </c>
      <c r="J10" s="16"/>
      <c r="K10" s="17">
        <f t="shared" si="3"/>
        <v>0</v>
      </c>
      <c r="L10" s="16"/>
      <c r="M10" s="17">
        <f t="shared" si="4"/>
        <v>0</v>
      </c>
      <c r="N10" s="16"/>
      <c r="O10" s="17">
        <f t="shared" si="5"/>
        <v>0</v>
      </c>
      <c r="P10" s="61"/>
    </row>
    <row r="11" spans="1:16" ht="12" x14ac:dyDescent="0.2">
      <c r="A11" s="4">
        <v>4</v>
      </c>
      <c r="B11" s="36" t="str">
        <f>'ORÇAMENTO '!D28</f>
        <v xml:space="preserve">SERVIÇOS EM CONCRETO </v>
      </c>
      <c r="C11" s="15">
        <f>'ORÇAMENTO '!I38</f>
        <v>0</v>
      </c>
      <c r="D11" s="16"/>
      <c r="E11" s="17">
        <f t="shared" si="0"/>
        <v>0</v>
      </c>
      <c r="F11" s="16"/>
      <c r="G11" s="17">
        <f t="shared" si="1"/>
        <v>0</v>
      </c>
      <c r="H11" s="16"/>
      <c r="I11" s="17">
        <f t="shared" si="2"/>
        <v>0</v>
      </c>
      <c r="J11" s="16"/>
      <c r="K11" s="17">
        <f t="shared" si="3"/>
        <v>0</v>
      </c>
      <c r="L11" s="16"/>
      <c r="M11" s="17">
        <f t="shared" si="4"/>
        <v>0</v>
      </c>
      <c r="N11" s="16"/>
      <c r="O11" s="17">
        <f t="shared" si="5"/>
        <v>0</v>
      </c>
      <c r="P11" s="61"/>
    </row>
    <row r="12" spans="1:16" ht="14.25" customHeight="1" x14ac:dyDescent="0.2">
      <c r="A12" s="4">
        <v>5</v>
      </c>
      <c r="B12" s="5" t="str">
        <f>'ORÇAMENTO '!D40</f>
        <v>IMPERMEABILIZAÇÃO</v>
      </c>
      <c r="C12" s="15">
        <f>'ORÇAMENTO '!I44</f>
        <v>0</v>
      </c>
      <c r="D12" s="16"/>
      <c r="E12" s="17">
        <f t="shared" si="0"/>
        <v>0</v>
      </c>
      <c r="F12" s="16"/>
      <c r="G12" s="17">
        <f t="shared" si="1"/>
        <v>0</v>
      </c>
      <c r="H12" s="16"/>
      <c r="I12" s="17">
        <f t="shared" si="2"/>
        <v>0</v>
      </c>
      <c r="J12" s="16"/>
      <c r="K12" s="17">
        <f t="shared" si="3"/>
        <v>0</v>
      </c>
      <c r="L12" s="16"/>
      <c r="M12" s="17">
        <f t="shared" si="4"/>
        <v>0</v>
      </c>
      <c r="N12" s="16"/>
      <c r="O12" s="17">
        <f t="shared" si="5"/>
        <v>0</v>
      </c>
      <c r="P12" s="61"/>
    </row>
    <row r="13" spans="1:16" ht="14.25" customHeight="1" x14ac:dyDescent="0.2">
      <c r="A13" s="54">
        <v>6</v>
      </c>
      <c r="B13" s="5" t="str">
        <f>'ORÇAMENTO '!D46</f>
        <v>SISTEMA DE VEDAÇÃO E REVESTIMENTOS</v>
      </c>
      <c r="C13" s="15">
        <f>'ORÇAMENTO '!I54</f>
        <v>0</v>
      </c>
      <c r="D13" s="16"/>
      <c r="E13" s="17">
        <f t="shared" si="0"/>
        <v>0</v>
      </c>
      <c r="F13" s="16"/>
      <c r="G13" s="17">
        <f t="shared" si="1"/>
        <v>0</v>
      </c>
      <c r="H13" s="16"/>
      <c r="I13" s="17">
        <f t="shared" si="2"/>
        <v>0</v>
      </c>
      <c r="J13" s="16"/>
      <c r="K13" s="17">
        <f t="shared" si="3"/>
        <v>0</v>
      </c>
      <c r="L13" s="16"/>
      <c r="M13" s="17">
        <f t="shared" si="4"/>
        <v>0</v>
      </c>
      <c r="N13" s="16"/>
      <c r="O13" s="17">
        <f t="shared" si="5"/>
        <v>0</v>
      </c>
      <c r="P13" s="61"/>
    </row>
    <row r="14" spans="1:16" ht="14.25" customHeight="1" x14ac:dyDescent="0.2">
      <c r="A14" s="54">
        <v>7</v>
      </c>
      <c r="B14" s="5" t="str">
        <f>'ORÇAMENTO '!D56</f>
        <v>ESQUADRIAS</v>
      </c>
      <c r="C14" s="15">
        <f>'ORÇAMENTO '!I62</f>
        <v>0</v>
      </c>
      <c r="D14" s="16"/>
      <c r="E14" s="17">
        <f t="shared" si="0"/>
        <v>0</v>
      </c>
      <c r="F14" s="16"/>
      <c r="G14" s="17">
        <f t="shared" si="1"/>
        <v>0</v>
      </c>
      <c r="H14" s="16"/>
      <c r="I14" s="17">
        <f t="shared" si="2"/>
        <v>0</v>
      </c>
      <c r="J14" s="16"/>
      <c r="K14" s="17">
        <f t="shared" si="3"/>
        <v>0</v>
      </c>
      <c r="L14" s="16"/>
      <c r="M14" s="17">
        <f t="shared" si="4"/>
        <v>0</v>
      </c>
      <c r="N14" s="16"/>
      <c r="O14" s="17">
        <f t="shared" si="5"/>
        <v>0</v>
      </c>
      <c r="P14" s="61"/>
    </row>
    <row r="15" spans="1:16" ht="14.25" customHeight="1" x14ac:dyDescent="0.2">
      <c r="A15" s="54">
        <v>8</v>
      </c>
      <c r="B15" s="5" t="str">
        <f>'ORÇAMENTO '!D64</f>
        <v>COBERTURA</v>
      </c>
      <c r="C15" s="15">
        <f>'ORÇAMENTO '!I72</f>
        <v>0</v>
      </c>
      <c r="D15" s="16"/>
      <c r="E15" s="17">
        <f t="shared" si="0"/>
        <v>0</v>
      </c>
      <c r="F15" s="16"/>
      <c r="G15" s="17">
        <f t="shared" si="1"/>
        <v>0</v>
      </c>
      <c r="H15" s="16"/>
      <c r="I15" s="17">
        <f t="shared" si="2"/>
        <v>0</v>
      </c>
      <c r="J15" s="16"/>
      <c r="K15" s="17">
        <f t="shared" si="3"/>
        <v>0</v>
      </c>
      <c r="L15" s="16"/>
      <c r="M15" s="17">
        <f t="shared" si="4"/>
        <v>0</v>
      </c>
      <c r="N15" s="16"/>
      <c r="O15" s="17">
        <f t="shared" si="5"/>
        <v>0</v>
      </c>
      <c r="P15" s="61"/>
    </row>
    <row r="16" spans="1:16" ht="14.25" customHeight="1" x14ac:dyDescent="0.2">
      <c r="A16" s="54">
        <v>9</v>
      </c>
      <c r="B16" s="5" t="str">
        <f>'ORÇAMENTO '!D74</f>
        <v>ELÉTRICA</v>
      </c>
      <c r="C16" s="15">
        <f>'ORÇAMENTO '!I83</f>
        <v>0</v>
      </c>
      <c r="D16" s="16"/>
      <c r="E16" s="17">
        <f t="shared" si="0"/>
        <v>0</v>
      </c>
      <c r="F16" s="16"/>
      <c r="G16" s="17">
        <f t="shared" si="1"/>
        <v>0</v>
      </c>
      <c r="H16" s="16"/>
      <c r="I16" s="17">
        <f t="shared" si="2"/>
        <v>0</v>
      </c>
      <c r="J16" s="16"/>
      <c r="K16" s="17">
        <f t="shared" si="3"/>
        <v>0</v>
      </c>
      <c r="L16" s="16"/>
      <c r="M16" s="17">
        <f t="shared" si="4"/>
        <v>0</v>
      </c>
      <c r="N16" s="16"/>
      <c r="O16" s="17">
        <f t="shared" si="5"/>
        <v>0</v>
      </c>
      <c r="P16" s="61"/>
    </row>
    <row r="17" spans="1:22" ht="12" x14ac:dyDescent="0.2">
      <c r="A17" s="54">
        <v>10</v>
      </c>
      <c r="B17" s="36" t="str">
        <f>'ORÇAMENTO '!D85</f>
        <v>INSTALAÇÕES HIDROSSANITÁRIAS</v>
      </c>
      <c r="C17" s="15">
        <f>'ORÇAMENTO '!I97</f>
        <v>0</v>
      </c>
      <c r="D17" s="16"/>
      <c r="E17" s="17">
        <f t="shared" si="0"/>
        <v>0</v>
      </c>
      <c r="F17" s="16"/>
      <c r="G17" s="17">
        <f t="shared" si="1"/>
        <v>0</v>
      </c>
      <c r="H17" s="16"/>
      <c r="I17" s="17">
        <f t="shared" si="2"/>
        <v>0</v>
      </c>
      <c r="J17" s="16"/>
      <c r="K17" s="17">
        <f t="shared" si="3"/>
        <v>0</v>
      </c>
      <c r="L17" s="16"/>
      <c r="M17" s="17">
        <f t="shared" si="4"/>
        <v>0</v>
      </c>
      <c r="N17" s="16"/>
      <c r="O17" s="17">
        <f t="shared" si="5"/>
        <v>0</v>
      </c>
      <c r="P17" s="61"/>
    </row>
    <row r="18" spans="1:22" ht="12" x14ac:dyDescent="0.2">
      <c r="A18" s="59">
        <v>11</v>
      </c>
      <c r="B18" s="36" t="s">
        <v>218</v>
      </c>
      <c r="C18" s="15">
        <f>'ORÇAMENTO '!I106</f>
        <v>0</v>
      </c>
      <c r="D18" s="16"/>
      <c r="E18" s="17">
        <f t="shared" si="0"/>
        <v>0</v>
      </c>
      <c r="F18" s="16"/>
      <c r="G18" s="17">
        <f t="shared" si="1"/>
        <v>0</v>
      </c>
      <c r="H18" s="16"/>
      <c r="I18" s="17">
        <f t="shared" si="2"/>
        <v>0</v>
      </c>
      <c r="J18" s="16"/>
      <c r="K18" s="17">
        <f t="shared" si="3"/>
        <v>0</v>
      </c>
      <c r="L18" s="16"/>
      <c r="M18" s="17">
        <f t="shared" si="4"/>
        <v>0</v>
      </c>
      <c r="N18" s="16"/>
      <c r="O18" s="17">
        <f t="shared" si="5"/>
        <v>0</v>
      </c>
      <c r="P18" s="61"/>
    </row>
    <row r="19" spans="1:22" ht="12" x14ac:dyDescent="0.2">
      <c r="A19" s="54">
        <v>12</v>
      </c>
      <c r="B19" s="36" t="str">
        <f>'ORÇAMENTO '!D108</f>
        <v>PINTURA E ACABAMENTOS</v>
      </c>
      <c r="C19" s="15">
        <f>'ORÇAMENTO '!I112</f>
        <v>0</v>
      </c>
      <c r="D19" s="16"/>
      <c r="E19" s="17">
        <f t="shared" si="0"/>
        <v>0</v>
      </c>
      <c r="F19" s="16"/>
      <c r="G19" s="17">
        <f t="shared" si="1"/>
        <v>0</v>
      </c>
      <c r="H19" s="16"/>
      <c r="I19" s="17">
        <f t="shared" si="2"/>
        <v>0</v>
      </c>
      <c r="J19" s="16"/>
      <c r="K19" s="17">
        <f t="shared" si="3"/>
        <v>0</v>
      </c>
      <c r="L19" s="16"/>
      <c r="M19" s="17">
        <f t="shared" si="4"/>
        <v>0</v>
      </c>
      <c r="N19" s="16"/>
      <c r="O19" s="17">
        <f t="shared" si="5"/>
        <v>0</v>
      </c>
      <c r="P19" s="61"/>
    </row>
    <row r="20" spans="1:22" ht="12" customHeight="1" x14ac:dyDescent="0.2">
      <c r="A20" s="54">
        <v>13</v>
      </c>
      <c r="B20" s="5" t="str">
        <f>'ORÇAMENTO '!D114</f>
        <v>SERVIÇOS DIVERSOS</v>
      </c>
      <c r="C20" s="15">
        <f>'ORÇAMENTO '!I120</f>
        <v>0</v>
      </c>
      <c r="D20" s="16"/>
      <c r="E20" s="17">
        <f t="shared" si="0"/>
        <v>0</v>
      </c>
      <c r="F20" s="16"/>
      <c r="G20" s="17">
        <f t="shared" si="1"/>
        <v>0</v>
      </c>
      <c r="H20" s="16"/>
      <c r="I20" s="17">
        <f t="shared" si="2"/>
        <v>0</v>
      </c>
      <c r="J20" s="16"/>
      <c r="K20" s="17">
        <f t="shared" si="3"/>
        <v>0</v>
      </c>
      <c r="L20" s="16"/>
      <c r="M20" s="17">
        <f t="shared" si="4"/>
        <v>0</v>
      </c>
      <c r="N20" s="16"/>
      <c r="O20" s="17">
        <f t="shared" si="5"/>
        <v>0</v>
      </c>
      <c r="P20" s="61"/>
    </row>
    <row r="21" spans="1:22" ht="12" x14ac:dyDescent="0.2">
      <c r="A21" s="110" t="s">
        <v>275</v>
      </c>
      <c r="B21" s="111"/>
      <c r="C21" s="35">
        <f>SUM(C8:C20)</f>
        <v>0</v>
      </c>
      <c r="D21" s="33" t="e">
        <f>E21/$C$21</f>
        <v>#DIV/0!</v>
      </c>
      <c r="E21" s="32">
        <f>SUM(E8:E20)</f>
        <v>0</v>
      </c>
      <c r="F21" s="33" t="e">
        <f>G21/$C$21</f>
        <v>#DIV/0!</v>
      </c>
      <c r="G21" s="32">
        <f>SUM(G8:G20)</f>
        <v>0</v>
      </c>
      <c r="H21" s="33" t="e">
        <f>I21/$C$21</f>
        <v>#DIV/0!</v>
      </c>
      <c r="I21" s="32">
        <f>SUM(I8:I20)</f>
        <v>0</v>
      </c>
      <c r="J21" s="33" t="e">
        <f>K21/$C$21</f>
        <v>#DIV/0!</v>
      </c>
      <c r="K21" s="32">
        <f>SUM(K8:K20)</f>
        <v>0</v>
      </c>
      <c r="L21" s="33" t="e">
        <f>M21/$C$21</f>
        <v>#DIV/0!</v>
      </c>
      <c r="M21" s="32">
        <f>SUM(M8:M20)</f>
        <v>0</v>
      </c>
      <c r="N21" s="33" t="e">
        <f>O21/$C$21</f>
        <v>#DIV/0!</v>
      </c>
      <c r="O21" s="32">
        <f>SUM(O8:O20)</f>
        <v>0</v>
      </c>
    </row>
    <row r="22" spans="1:22" ht="12" x14ac:dyDescent="0.2">
      <c r="A22" s="112"/>
      <c r="B22" s="113"/>
      <c r="C22" s="32" t="s">
        <v>12</v>
      </c>
      <c r="D22" s="33" t="e">
        <f>D21</f>
        <v>#DIV/0!</v>
      </c>
      <c r="E22" s="32">
        <f>E21</f>
        <v>0</v>
      </c>
      <c r="F22" s="33" t="e">
        <f>F21+D22</f>
        <v>#DIV/0!</v>
      </c>
      <c r="G22" s="32">
        <f>E22+G21</f>
        <v>0</v>
      </c>
      <c r="H22" s="33" t="e">
        <f t="shared" ref="H22:M22" si="6">H21+F22</f>
        <v>#DIV/0!</v>
      </c>
      <c r="I22" s="32">
        <f t="shared" si="6"/>
        <v>0</v>
      </c>
      <c r="J22" s="33" t="e">
        <f t="shared" si="6"/>
        <v>#DIV/0!</v>
      </c>
      <c r="K22" s="32">
        <f t="shared" si="6"/>
        <v>0</v>
      </c>
      <c r="L22" s="33" t="e">
        <f t="shared" si="6"/>
        <v>#DIV/0!</v>
      </c>
      <c r="M22" s="32">
        <f t="shared" si="6"/>
        <v>0</v>
      </c>
      <c r="N22" s="33" t="e">
        <f>N21+L22</f>
        <v>#DIV/0!</v>
      </c>
      <c r="O22" s="32">
        <f>O21+M22</f>
        <v>0</v>
      </c>
    </row>
    <row r="23" spans="1:22" x14ac:dyDescent="0.2">
      <c r="A23" s="2"/>
      <c r="B23" s="2"/>
      <c r="C23" s="2"/>
      <c r="D23" s="2"/>
      <c r="E23" s="2"/>
      <c r="F23" s="2"/>
    </row>
    <row r="24" spans="1:22" x14ac:dyDescent="0.2">
      <c r="A24" s="2"/>
      <c r="B24" s="2"/>
      <c r="C24" s="2"/>
      <c r="D24" s="2"/>
      <c r="E24" s="2"/>
      <c r="F24" s="2"/>
    </row>
    <row r="25" spans="1:22" ht="15" customHeight="1" x14ac:dyDescent="0.2">
      <c r="A25" s="2"/>
      <c r="B25" s="2"/>
      <c r="C25" s="2"/>
      <c r="D25" s="2"/>
      <c r="E25" s="2"/>
      <c r="F25" s="2"/>
    </row>
    <row r="26" spans="1:22" s="3" customForma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2">
      <c r="A27" s="2"/>
      <c r="B27" s="2"/>
      <c r="C27" s="2"/>
      <c r="D27" s="2"/>
      <c r="E27" s="2"/>
      <c r="F27" s="2"/>
    </row>
    <row r="28" spans="1:22" x14ac:dyDescent="0.2">
      <c r="A28" s="2"/>
      <c r="B28" s="2"/>
      <c r="C28" s="2"/>
      <c r="D28" s="2"/>
      <c r="E28" s="2"/>
      <c r="F28" s="2"/>
    </row>
    <row r="29" spans="1:22" x14ac:dyDescent="0.2">
      <c r="A29" s="2"/>
      <c r="B29" s="2"/>
      <c r="C29" s="2"/>
      <c r="D29" s="2"/>
      <c r="E29" s="2"/>
      <c r="F29" s="2"/>
    </row>
    <row r="30" spans="1:22" ht="11.25" customHeight="1" x14ac:dyDescent="0.2">
      <c r="A30" s="2"/>
      <c r="B30" s="2"/>
      <c r="C30" s="2"/>
      <c r="D30" s="2"/>
      <c r="E30" s="2"/>
      <c r="F30" s="2"/>
    </row>
    <row r="31" spans="1:22" x14ac:dyDescent="0.2">
      <c r="A31" s="2"/>
      <c r="B31" s="6"/>
      <c r="C31" s="7"/>
      <c r="D31" s="2"/>
      <c r="E31" s="2"/>
      <c r="F31" s="2"/>
    </row>
    <row r="32" spans="1:22" x14ac:dyDescent="0.2">
      <c r="A32" s="2"/>
      <c r="B32" s="2"/>
      <c r="C32" s="2"/>
      <c r="D32" s="2"/>
      <c r="E32" s="2"/>
      <c r="F32" s="2"/>
    </row>
    <row r="33" spans="1:22" x14ac:dyDescent="0.2">
      <c r="A33" s="2"/>
      <c r="B33" s="2"/>
      <c r="C33" s="2"/>
      <c r="D33" s="2"/>
      <c r="E33" s="2"/>
      <c r="F33" s="2"/>
    </row>
    <row r="34" spans="1:22" x14ac:dyDescent="0.2">
      <c r="A34" s="2"/>
      <c r="B34" s="2"/>
      <c r="C34" s="2"/>
      <c r="D34" s="2"/>
      <c r="E34" s="2"/>
      <c r="F34" s="2"/>
    </row>
    <row r="35" spans="1:22" ht="15" customHeight="1" x14ac:dyDescent="0.2">
      <c r="A35" s="2"/>
      <c r="B35" s="2"/>
      <c r="C35" s="2"/>
      <c r="D35" s="2"/>
      <c r="E35" s="2"/>
      <c r="F35" s="2"/>
    </row>
    <row r="36" spans="1:22" s="3" customForma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">
      <c r="A37" s="2"/>
      <c r="B37" s="2"/>
      <c r="C37" s="2"/>
      <c r="D37" s="2"/>
      <c r="E37" s="2"/>
      <c r="F37" s="2"/>
    </row>
    <row r="38" spans="1:22" x14ac:dyDescent="0.2">
      <c r="A38" s="2"/>
      <c r="B38" s="2"/>
      <c r="C38" s="2"/>
      <c r="D38" s="2"/>
      <c r="E38" s="2"/>
      <c r="F38" s="2"/>
    </row>
    <row r="39" spans="1:22" x14ac:dyDescent="0.2">
      <c r="A39" s="2"/>
      <c r="B39" s="2"/>
      <c r="C39" s="2"/>
      <c r="D39" s="2"/>
      <c r="E39" s="2"/>
      <c r="F39" s="2"/>
    </row>
    <row r="40" spans="1:22" ht="11.25" customHeight="1" x14ac:dyDescent="0.2">
      <c r="A40" s="2"/>
      <c r="B40" s="2"/>
      <c r="C40" s="2"/>
      <c r="D40" s="2"/>
      <c r="E40" s="2"/>
      <c r="F40" s="2"/>
    </row>
    <row r="41" spans="1:22" x14ac:dyDescent="0.2">
      <c r="A41" s="2"/>
      <c r="B41" s="2"/>
      <c r="C41" s="2"/>
      <c r="D41" s="2"/>
      <c r="E41" s="2"/>
      <c r="F41" s="2"/>
    </row>
    <row r="42" spans="1:22" ht="13.5" customHeight="1" x14ac:dyDescent="0.2">
      <c r="A42" s="2"/>
      <c r="B42" s="2"/>
      <c r="C42" s="2"/>
      <c r="D42" s="2"/>
      <c r="E42" s="2"/>
      <c r="F42" s="2"/>
    </row>
    <row r="43" spans="1:22" x14ac:dyDescent="0.2">
      <c r="A43" s="2"/>
      <c r="B43" s="2"/>
      <c r="C43" s="2"/>
      <c r="D43" s="2"/>
      <c r="E43" s="2"/>
      <c r="F43" s="2"/>
    </row>
    <row r="44" spans="1:22" s="3" customForma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">
      <c r="A45" s="2"/>
      <c r="B45" s="2"/>
      <c r="C45" s="2"/>
      <c r="D45" s="2"/>
      <c r="E45" s="2"/>
      <c r="F45" s="2"/>
    </row>
    <row r="46" spans="1:22" x14ac:dyDescent="0.2">
      <c r="A46" s="2"/>
      <c r="B46" s="2"/>
      <c r="C46" s="2"/>
      <c r="D46" s="2"/>
      <c r="E46" s="2"/>
      <c r="F46" s="2"/>
    </row>
    <row r="47" spans="1:22" x14ac:dyDescent="0.2">
      <c r="A47" s="2"/>
      <c r="B47" s="2"/>
      <c r="C47" s="2"/>
      <c r="D47" s="2"/>
      <c r="E47" s="2"/>
      <c r="F47" s="2"/>
    </row>
    <row r="48" spans="1:22" x14ac:dyDescent="0.2">
      <c r="A48" s="2"/>
      <c r="B48" s="2"/>
      <c r="C48" s="2"/>
      <c r="D48" s="2"/>
      <c r="E48" s="2"/>
      <c r="F48" s="2"/>
    </row>
    <row r="49" spans="1:22" x14ac:dyDescent="0.2">
      <c r="A49" s="2"/>
      <c r="B49" s="2"/>
      <c r="C49" s="2"/>
      <c r="D49" s="2"/>
      <c r="E49" s="2"/>
      <c r="F49" s="2"/>
    </row>
    <row r="50" spans="1:22" s="3" customForma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2">
      <c r="A51" s="2"/>
      <c r="B51" s="2"/>
      <c r="C51" s="2"/>
      <c r="D51" s="2"/>
      <c r="E51" s="2"/>
      <c r="F51" s="2"/>
    </row>
    <row r="52" spans="1:22" x14ac:dyDescent="0.2">
      <c r="A52" s="2"/>
      <c r="B52" s="2"/>
      <c r="C52" s="2"/>
      <c r="D52" s="2"/>
      <c r="E52" s="2"/>
      <c r="F52" s="2"/>
    </row>
    <row r="53" spans="1:22" x14ac:dyDescent="0.2">
      <c r="A53" s="2"/>
      <c r="B53" s="2"/>
      <c r="C53" s="2"/>
      <c r="D53" s="2"/>
      <c r="E53" s="2"/>
      <c r="F53" s="2"/>
    </row>
    <row r="54" spans="1:22" x14ac:dyDescent="0.2">
      <c r="A54" s="2"/>
      <c r="B54" s="2"/>
      <c r="C54" s="2"/>
      <c r="D54" s="2"/>
      <c r="E54" s="2"/>
      <c r="F54" s="2"/>
    </row>
    <row r="55" spans="1:22" x14ac:dyDescent="0.2">
      <c r="A55" s="2"/>
      <c r="B55" s="2"/>
      <c r="C55" s="2"/>
      <c r="D55" s="2"/>
      <c r="E55" s="2"/>
      <c r="F55" s="2"/>
    </row>
    <row r="56" spans="1:22" x14ac:dyDescent="0.2">
      <c r="A56" s="2"/>
      <c r="B56" s="2"/>
      <c r="C56" s="2"/>
      <c r="D56" s="2"/>
      <c r="E56" s="2"/>
      <c r="F56" s="2"/>
    </row>
    <row r="57" spans="1:22" x14ac:dyDescent="0.2">
      <c r="A57" s="2"/>
      <c r="B57" s="2"/>
      <c r="C57" s="2"/>
      <c r="D57" s="2"/>
      <c r="E57" s="2"/>
      <c r="F57" s="2"/>
    </row>
    <row r="58" spans="1:22" x14ac:dyDescent="0.2">
      <c r="A58" s="2"/>
      <c r="B58" s="2"/>
      <c r="C58" s="2"/>
      <c r="D58" s="2"/>
      <c r="E58" s="2"/>
      <c r="F58" s="2"/>
    </row>
    <row r="59" spans="1:22" x14ac:dyDescent="0.2">
      <c r="A59" s="2"/>
      <c r="B59" s="2"/>
      <c r="C59" s="2"/>
      <c r="D59" s="2"/>
      <c r="E59" s="2"/>
      <c r="F59" s="2"/>
    </row>
    <row r="60" spans="1:22" x14ac:dyDescent="0.2">
      <c r="A60" s="2"/>
      <c r="B60" s="2"/>
      <c r="C60" s="2"/>
      <c r="D60" s="2"/>
      <c r="E60" s="2"/>
      <c r="F60" s="2"/>
    </row>
    <row r="61" spans="1:22" ht="14.25" customHeight="1" x14ac:dyDescent="0.2"/>
    <row r="63" spans="1:22" ht="13.5" customHeight="1" x14ac:dyDescent="0.2"/>
    <row r="68" spans="1:28" ht="14.25" customHeight="1" x14ac:dyDescent="0.2">
      <c r="A68" s="2"/>
    </row>
    <row r="74" spans="1:28" s="8" customFormat="1" ht="36.75" customHeight="1" x14ac:dyDescent="0.2">
      <c r="B74" s="9"/>
      <c r="C74" s="10"/>
      <c r="E74" s="11"/>
      <c r="F74" s="1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s="8" customFormat="1" ht="27" customHeight="1" x14ac:dyDescent="0.2">
      <c r="B75" s="9"/>
      <c r="C75" s="10"/>
      <c r="E75" s="11"/>
      <c r="F75" s="1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90" spans="1:28" ht="24.75" customHeight="1" x14ac:dyDescent="0.2">
      <c r="A90" s="2"/>
    </row>
    <row r="91" spans="1:28" ht="27.75" customHeight="1" x14ac:dyDescent="0.2"/>
    <row r="94" spans="1:28" ht="15.75" customHeight="1" x14ac:dyDescent="0.2"/>
    <row r="96" spans="1:28" s="3" customFormat="1" x14ac:dyDescent="0.2">
      <c r="A96" s="8"/>
      <c r="B96" s="9"/>
      <c r="C96" s="10"/>
      <c r="D96" s="8"/>
      <c r="E96" s="11"/>
      <c r="F96" s="1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s="12" customFormat="1" x14ac:dyDescent="0.2">
      <c r="A97" s="8"/>
      <c r="B97" s="9"/>
      <c r="C97" s="10"/>
      <c r="D97" s="8"/>
      <c r="E97" s="11"/>
      <c r="F97" s="1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s="12" customFormat="1" ht="11.25" customHeight="1" x14ac:dyDescent="0.2">
      <c r="A98" s="8"/>
      <c r="B98" s="9"/>
      <c r="C98" s="10"/>
      <c r="D98" s="8"/>
      <c r="E98" s="11"/>
      <c r="F98" s="1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s="12" customFormat="1" x14ac:dyDescent="0.2">
      <c r="A99" s="8"/>
      <c r="B99" s="9"/>
      <c r="C99" s="10"/>
      <c r="D99" s="8"/>
      <c r="E99" s="11"/>
      <c r="F99" s="1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s="12" customFormat="1" ht="24.75" customHeight="1" x14ac:dyDescent="0.2">
      <c r="A100" s="8"/>
      <c r="B100" s="9"/>
      <c r="C100" s="10"/>
      <c r="D100" s="8"/>
      <c r="E100" s="11"/>
      <c r="F100" s="1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s="12" customFormat="1" x14ac:dyDescent="0.2">
      <c r="A101" s="8"/>
      <c r="B101" s="9"/>
      <c r="C101" s="10"/>
      <c r="D101" s="8"/>
      <c r="E101" s="11"/>
      <c r="F101" s="1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s="12" customFormat="1" x14ac:dyDescent="0.2">
      <c r="A102" s="8"/>
      <c r="B102" s="9"/>
      <c r="C102" s="10"/>
      <c r="D102" s="8"/>
      <c r="E102" s="11"/>
      <c r="F102" s="1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s="12" customFormat="1" x14ac:dyDescent="0.2">
      <c r="A103" s="8"/>
      <c r="B103" s="9"/>
      <c r="C103" s="10"/>
      <c r="D103" s="8"/>
      <c r="E103" s="11"/>
      <c r="F103" s="1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s="12" customFormat="1" x14ac:dyDescent="0.2">
      <c r="A104" s="8"/>
      <c r="B104" s="9"/>
      <c r="C104" s="10"/>
      <c r="D104" s="8"/>
      <c r="E104" s="11"/>
      <c r="F104" s="1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s="12" customFormat="1" x14ac:dyDescent="0.2">
      <c r="A105" s="8"/>
      <c r="B105" s="9"/>
      <c r="C105" s="10"/>
      <c r="D105" s="8"/>
      <c r="E105" s="11"/>
      <c r="F105" s="1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s="12" customFormat="1" x14ac:dyDescent="0.2">
      <c r="A106" s="8"/>
      <c r="B106" s="9"/>
      <c r="C106" s="10"/>
      <c r="D106" s="8"/>
      <c r="E106" s="11"/>
      <c r="F106" s="1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s="12" customFormat="1" ht="13.5" customHeight="1" x14ac:dyDescent="0.2">
      <c r="A107" s="8"/>
      <c r="B107" s="9"/>
      <c r="C107" s="10"/>
      <c r="D107" s="8"/>
      <c r="E107" s="11"/>
      <c r="F107" s="1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s="12" customFormat="1" x14ac:dyDescent="0.2">
      <c r="A108" s="8"/>
      <c r="B108" s="9"/>
      <c r="C108" s="10"/>
      <c r="D108" s="8"/>
      <c r="E108" s="11"/>
      <c r="F108" s="1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s="12" customFormat="1" x14ac:dyDescent="0.2">
      <c r="A109" s="8"/>
      <c r="B109" s="9"/>
      <c r="C109" s="10"/>
      <c r="D109" s="8"/>
      <c r="E109" s="11"/>
      <c r="F109" s="1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s="12" customFormat="1" x14ac:dyDescent="0.2">
      <c r="A110" s="8"/>
      <c r="B110" s="9"/>
      <c r="C110" s="10"/>
      <c r="D110" s="8"/>
      <c r="E110" s="11"/>
      <c r="F110" s="1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s="12" customFormat="1" x14ac:dyDescent="0.2">
      <c r="A111" s="8"/>
      <c r="B111" s="9"/>
      <c r="C111" s="10"/>
      <c r="D111" s="8"/>
      <c r="E111" s="11"/>
      <c r="F111" s="1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s="12" customFormat="1" x14ac:dyDescent="0.2">
      <c r="A112" s="8"/>
      <c r="B112" s="9"/>
      <c r="C112" s="10"/>
      <c r="D112" s="8"/>
      <c r="E112" s="11"/>
      <c r="F112" s="1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s="12" customFormat="1" x14ac:dyDescent="0.2">
      <c r="A113" s="8"/>
      <c r="B113" s="9"/>
      <c r="C113" s="10"/>
      <c r="D113" s="8"/>
      <c r="E113" s="11"/>
      <c r="F113" s="1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s="12" customFormat="1" x14ac:dyDescent="0.2">
      <c r="A114" s="8"/>
      <c r="B114" s="9"/>
      <c r="C114" s="10"/>
      <c r="D114" s="8"/>
      <c r="E114" s="11"/>
      <c r="F114" s="1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s="12" customFormat="1" x14ac:dyDescent="0.2">
      <c r="A115" s="8"/>
      <c r="B115" s="9"/>
      <c r="C115" s="10"/>
      <c r="D115" s="8"/>
      <c r="E115" s="11"/>
      <c r="F115" s="1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s="12" customFormat="1" x14ac:dyDescent="0.2">
      <c r="A116" s="8"/>
      <c r="B116" s="9"/>
      <c r="C116" s="10"/>
      <c r="D116" s="8"/>
      <c r="E116" s="11"/>
      <c r="F116" s="1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s="12" customFormat="1" ht="13.5" customHeight="1" x14ac:dyDescent="0.2">
      <c r="A117" s="8"/>
      <c r="B117" s="9"/>
      <c r="C117" s="10"/>
      <c r="D117" s="8"/>
      <c r="E117" s="11"/>
      <c r="F117" s="1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s="13" customFormat="1" x14ac:dyDescent="0.2">
      <c r="A118" s="8"/>
      <c r="B118" s="9"/>
      <c r="C118" s="10"/>
      <c r="D118" s="8"/>
      <c r="E118" s="11"/>
      <c r="F118" s="1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s="12" customFormat="1" x14ac:dyDescent="0.2">
      <c r="A119" s="8"/>
      <c r="B119" s="9"/>
      <c r="C119" s="10"/>
      <c r="D119" s="8"/>
      <c r="E119" s="11"/>
      <c r="F119" s="1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s="12" customFormat="1" x14ac:dyDescent="0.2">
      <c r="A120" s="8"/>
      <c r="B120" s="9"/>
      <c r="C120" s="10"/>
      <c r="D120" s="8"/>
      <c r="E120" s="11"/>
      <c r="F120" s="1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s="12" customFormat="1" x14ac:dyDescent="0.2">
      <c r="A121" s="8"/>
      <c r="B121" s="9"/>
      <c r="C121" s="10"/>
      <c r="D121" s="8"/>
      <c r="E121" s="11"/>
      <c r="F121" s="1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s="12" customFormat="1" x14ac:dyDescent="0.2">
      <c r="A122" s="8"/>
      <c r="B122" s="9"/>
      <c r="C122" s="10"/>
      <c r="D122" s="8"/>
      <c r="E122" s="11"/>
      <c r="F122" s="1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s="12" customFormat="1" x14ac:dyDescent="0.2">
      <c r="A123" s="8"/>
      <c r="B123" s="9"/>
      <c r="C123" s="10"/>
      <c r="D123" s="8"/>
      <c r="E123" s="11"/>
      <c r="F123" s="1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s="12" customFormat="1" x14ac:dyDescent="0.2">
      <c r="A124" s="8"/>
      <c r="B124" s="9"/>
      <c r="C124" s="10"/>
      <c r="D124" s="8"/>
      <c r="E124" s="11"/>
      <c r="F124" s="1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s="12" customFormat="1" x14ac:dyDescent="0.2">
      <c r="A125" s="8"/>
      <c r="B125" s="9"/>
      <c r="C125" s="10"/>
      <c r="D125" s="8"/>
      <c r="E125" s="11"/>
      <c r="F125" s="1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s="12" customFormat="1" x14ac:dyDescent="0.2">
      <c r="A126" s="8"/>
      <c r="B126" s="9"/>
      <c r="C126" s="10"/>
      <c r="D126" s="8"/>
      <c r="E126" s="11"/>
      <c r="F126" s="1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s="12" customFormat="1" x14ac:dyDescent="0.2">
      <c r="A127" s="8"/>
      <c r="B127" s="9"/>
      <c r="C127" s="10"/>
      <c r="D127" s="8"/>
      <c r="E127" s="11"/>
      <c r="F127" s="1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s="12" customFormat="1" x14ac:dyDescent="0.2">
      <c r="A128" s="8"/>
      <c r="B128" s="9"/>
      <c r="C128" s="10"/>
      <c r="D128" s="8"/>
      <c r="E128" s="11"/>
      <c r="F128" s="1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s="12" customFormat="1" x14ac:dyDescent="0.2">
      <c r="A129" s="8"/>
      <c r="B129" s="9"/>
      <c r="C129" s="10"/>
      <c r="D129" s="8"/>
      <c r="E129" s="11"/>
      <c r="F129" s="1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s="12" customFormat="1" x14ac:dyDescent="0.2">
      <c r="A130" s="8"/>
      <c r="B130" s="9"/>
      <c r="C130" s="10"/>
      <c r="D130" s="8"/>
      <c r="E130" s="11"/>
      <c r="F130" s="1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s="12" customFormat="1" x14ac:dyDescent="0.2">
      <c r="A131" s="8"/>
      <c r="B131" s="9"/>
      <c r="C131" s="10"/>
      <c r="D131" s="8"/>
      <c r="E131" s="11"/>
      <c r="F131" s="1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s="12" customFormat="1" x14ac:dyDescent="0.2">
      <c r="A132" s="8"/>
      <c r="B132" s="9"/>
      <c r="C132" s="10"/>
      <c r="D132" s="8"/>
      <c r="E132" s="11"/>
      <c r="F132" s="1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s="12" customFormat="1" x14ac:dyDescent="0.2">
      <c r="A133" s="8"/>
      <c r="B133" s="9"/>
      <c r="C133" s="10"/>
      <c r="D133" s="8"/>
      <c r="E133" s="11"/>
      <c r="F133" s="1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s="12" customFormat="1" x14ac:dyDescent="0.2">
      <c r="A134" s="8"/>
      <c r="B134" s="9"/>
      <c r="C134" s="10"/>
      <c r="D134" s="8"/>
      <c r="E134" s="11"/>
      <c r="F134" s="1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s="12" customFormat="1" x14ac:dyDescent="0.2">
      <c r="A135" s="8"/>
      <c r="B135" s="9"/>
      <c r="C135" s="10"/>
      <c r="D135" s="8"/>
      <c r="E135" s="11"/>
      <c r="F135" s="1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s="12" customFormat="1" x14ac:dyDescent="0.2">
      <c r="A136" s="8"/>
      <c r="B136" s="9"/>
      <c r="C136" s="10"/>
      <c r="D136" s="8"/>
      <c r="E136" s="11"/>
      <c r="F136" s="1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s="12" customFormat="1" x14ac:dyDescent="0.2">
      <c r="A137" s="8"/>
      <c r="B137" s="9"/>
      <c r="C137" s="10"/>
      <c r="D137" s="8"/>
      <c r="E137" s="11"/>
      <c r="F137" s="1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s="12" customFormat="1" x14ac:dyDescent="0.2">
      <c r="A138" s="8"/>
      <c r="B138" s="9"/>
      <c r="C138" s="10"/>
      <c r="D138" s="8"/>
      <c r="E138" s="11"/>
      <c r="F138" s="1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s="12" customFormat="1" x14ac:dyDescent="0.2">
      <c r="A139" s="8"/>
      <c r="B139" s="9"/>
      <c r="C139" s="10"/>
      <c r="D139" s="8"/>
      <c r="E139" s="11"/>
      <c r="F139" s="1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5" spans="1:28" s="3" customFormat="1" x14ac:dyDescent="0.2">
      <c r="A145" s="8"/>
      <c r="B145" s="9"/>
      <c r="C145" s="10"/>
      <c r="D145" s="8"/>
      <c r="E145" s="11"/>
      <c r="F145" s="1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s="3" customFormat="1" x14ac:dyDescent="0.2">
      <c r="A146" s="8"/>
      <c r="B146" s="9"/>
      <c r="C146" s="10"/>
      <c r="D146" s="8"/>
      <c r="E146" s="11"/>
      <c r="F146" s="1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s="3" customFormat="1" x14ac:dyDescent="0.2">
      <c r="A147" s="8"/>
      <c r="B147" s="9"/>
      <c r="C147" s="10"/>
      <c r="D147" s="8"/>
      <c r="E147" s="11"/>
      <c r="F147" s="1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s="3" customFormat="1" x14ac:dyDescent="0.2">
      <c r="A148" s="8"/>
      <c r="B148" s="9"/>
      <c r="C148" s="10"/>
      <c r="D148" s="8"/>
      <c r="E148" s="11"/>
      <c r="F148" s="1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s="3" customFormat="1" x14ac:dyDescent="0.2">
      <c r="A149" s="8"/>
      <c r="B149" s="9"/>
      <c r="C149" s="10"/>
      <c r="D149" s="8"/>
      <c r="E149" s="11"/>
      <c r="F149" s="1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s="3" customFormat="1" x14ac:dyDescent="0.2">
      <c r="A150" s="8"/>
      <c r="B150" s="9"/>
      <c r="C150" s="10"/>
      <c r="D150" s="8"/>
      <c r="E150" s="11"/>
      <c r="F150" s="1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s="3" customFormat="1" x14ac:dyDescent="0.2">
      <c r="A151" s="8"/>
      <c r="B151" s="9"/>
      <c r="C151" s="10"/>
      <c r="D151" s="8"/>
      <c r="E151" s="11"/>
      <c r="F151" s="1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s="3" customFormat="1" x14ac:dyDescent="0.2">
      <c r="A152" s="8"/>
      <c r="B152" s="9"/>
      <c r="C152" s="10"/>
      <c r="D152" s="8"/>
      <c r="E152" s="11"/>
      <c r="F152" s="1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s="3" customFormat="1" x14ac:dyDescent="0.2">
      <c r="A153" s="8"/>
      <c r="B153" s="9"/>
      <c r="C153" s="10"/>
      <c r="D153" s="8"/>
      <c r="E153" s="11"/>
      <c r="F153" s="1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</sheetData>
  <mergeCells count="20">
    <mergeCell ref="A1:O1"/>
    <mergeCell ref="J2:K2"/>
    <mergeCell ref="J3:K4"/>
    <mergeCell ref="H3:I3"/>
    <mergeCell ref="H4:I4"/>
    <mergeCell ref="A2:G2"/>
    <mergeCell ref="A3:G3"/>
    <mergeCell ref="A4:G4"/>
    <mergeCell ref="A21:B22"/>
    <mergeCell ref="J6:K6"/>
    <mergeCell ref="N6:O6"/>
    <mergeCell ref="H2:I2"/>
    <mergeCell ref="H6:I6"/>
    <mergeCell ref="L6:M6"/>
    <mergeCell ref="L2:O2"/>
    <mergeCell ref="L3:O4"/>
    <mergeCell ref="A6:B7"/>
    <mergeCell ref="C6:C7"/>
    <mergeCell ref="D6:E6"/>
    <mergeCell ref="F6:G6"/>
  </mergeCells>
  <printOptions horizontalCentered="1"/>
  <pageMargins left="0.23622047244094491" right="0.23622047244094491" top="1.7322834645669292" bottom="0.74803149606299213" header="0.31496062992125984" footer="0.31496062992125984"/>
  <pageSetup paperSize="9" scale="69" orientation="landscape" r:id="rId1"/>
  <headerFooter>
    <oddHeader>&amp;L
&amp;G&amp;C&amp;"-,Negrito"
PREFEITURA DE LAGES
SECRETARIA MUNICIPAL DA EDUCAÇÃO&amp;R&amp;G</oddHeader>
    <oddFooter>&amp;C&amp;F&amp;R&amp;N/&amp;P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opLeftCell="A22" workbookViewId="0">
      <selection activeCell="B45" sqref="B45"/>
    </sheetView>
  </sheetViews>
  <sheetFormatPr defaultRowHeight="15" x14ac:dyDescent="0.25"/>
  <cols>
    <col min="1" max="1" width="12.5703125" bestFit="1" customWidth="1"/>
    <col min="3" max="3" width="10.28515625" bestFit="1" customWidth="1"/>
    <col min="5" max="5" width="10.42578125" bestFit="1" customWidth="1"/>
    <col min="6" max="6" width="10.28515625" bestFit="1" customWidth="1"/>
  </cols>
  <sheetData>
    <row r="1" spans="1:23" x14ac:dyDescent="0.25">
      <c r="A1">
        <v>60.79</v>
      </c>
      <c r="E1">
        <v>5.2</v>
      </c>
      <c r="F1" t="s">
        <v>167</v>
      </c>
    </row>
    <row r="2" spans="1:23" x14ac:dyDescent="0.25">
      <c r="A2">
        <v>6.45</v>
      </c>
    </row>
    <row r="3" spans="1:23" x14ac:dyDescent="0.25">
      <c r="A3">
        <v>8.1</v>
      </c>
      <c r="O3">
        <v>60.78</v>
      </c>
      <c r="Q3">
        <f>3.09*2.15</f>
        <v>6.6434999999999995</v>
      </c>
      <c r="U3">
        <f>2.85+2.85+3.09+3.09</f>
        <v>11.879999999999999</v>
      </c>
    </row>
    <row r="4" spans="1:23" x14ac:dyDescent="0.25">
      <c r="E4">
        <f>15.37+6.4</f>
        <v>21.77</v>
      </c>
      <c r="O4">
        <v>8.75</v>
      </c>
      <c r="Q4">
        <f>1.79*2.79</f>
        <v>4.9941000000000004</v>
      </c>
      <c r="U4">
        <f>4.5+4.5+4.8+4.8</f>
        <v>18.600000000000001</v>
      </c>
    </row>
    <row r="5" spans="1:23" x14ac:dyDescent="0.25">
      <c r="E5">
        <f>3+10.5+5.4+1.7+4.2+7.8+2.8</f>
        <v>35.399999999999991</v>
      </c>
      <c r="O5">
        <v>20.93</v>
      </c>
      <c r="Q5">
        <f>Q3-Q4</f>
        <v>1.6493999999999991</v>
      </c>
    </row>
    <row r="6" spans="1:23" x14ac:dyDescent="0.25">
      <c r="A6">
        <f>SUM(A1:A5)</f>
        <v>75.339999999999989</v>
      </c>
      <c r="E6">
        <f>(E5+E4)*0.6</f>
        <v>34.301999999999992</v>
      </c>
      <c r="G6">
        <v>36</v>
      </c>
      <c r="O6">
        <v>10.36</v>
      </c>
    </row>
    <row r="7" spans="1:23" x14ac:dyDescent="0.25">
      <c r="O7">
        <v>8.81</v>
      </c>
    </row>
    <row r="8" spans="1:23" x14ac:dyDescent="0.25">
      <c r="O8">
        <v>4.6399999999999997</v>
      </c>
    </row>
    <row r="9" spans="1:23" x14ac:dyDescent="0.25">
      <c r="O9">
        <f>O3-(SUM(O4:O8))</f>
        <v>7.2899999999999991</v>
      </c>
      <c r="Q9">
        <f>O9+Q5</f>
        <v>8.9393999999999991</v>
      </c>
    </row>
    <row r="10" spans="1:23" x14ac:dyDescent="0.25">
      <c r="A10">
        <v>3</v>
      </c>
      <c r="B10">
        <v>39.94</v>
      </c>
      <c r="C10">
        <f>B10*A10</f>
        <v>119.82</v>
      </c>
      <c r="L10">
        <v>53.49</v>
      </c>
      <c r="Q10" s="56">
        <f>Q9*0.4</f>
        <v>3.5757599999999998</v>
      </c>
    </row>
    <row r="11" spans="1:23" x14ac:dyDescent="0.25">
      <c r="A11">
        <v>1</v>
      </c>
      <c r="B11">
        <v>446.92</v>
      </c>
      <c r="C11">
        <f t="shared" ref="C11:C17" si="0">B11*A11</f>
        <v>446.92</v>
      </c>
      <c r="L11">
        <f>Q4</f>
        <v>4.9941000000000004</v>
      </c>
    </row>
    <row r="12" spans="1:23" x14ac:dyDescent="0.25">
      <c r="A12">
        <v>80</v>
      </c>
      <c r="B12">
        <v>9.6199999999999992</v>
      </c>
      <c r="C12">
        <f t="shared" si="0"/>
        <v>769.59999999999991</v>
      </c>
      <c r="L12">
        <f>L11+L10</f>
        <v>58.484100000000005</v>
      </c>
      <c r="Q12" s="56">
        <f>17*(0.3*0.15*3)</f>
        <v>2.2949999999999999</v>
      </c>
    </row>
    <row r="13" spans="1:23" x14ac:dyDescent="0.25">
      <c r="A13">
        <v>23</v>
      </c>
      <c r="B13">
        <v>3.01</v>
      </c>
      <c r="C13">
        <f t="shared" si="0"/>
        <v>69.22999999999999</v>
      </c>
      <c r="E13">
        <v>2745</v>
      </c>
      <c r="L13">
        <f>L12*0.06</f>
        <v>3.5090460000000001</v>
      </c>
      <c r="T13">
        <f>7.4186*8.1927</f>
        <v>60.77836422</v>
      </c>
    </row>
    <row r="14" spans="1:23" x14ac:dyDescent="0.25">
      <c r="A14">
        <v>2.4</v>
      </c>
      <c r="B14">
        <v>21.75</v>
      </c>
      <c r="C14">
        <f t="shared" si="0"/>
        <v>52.199999999999996</v>
      </c>
      <c r="P14">
        <f>13*1.2*0.5*0.4</f>
        <v>3.12</v>
      </c>
      <c r="T14">
        <f>T13-((2.4686*4.1974)+(2.4687*3.5452)+(4.5*4.6502)+(3.0925*2.725)+(3.0925*1.5))</f>
        <v>7.6729148400000042</v>
      </c>
      <c r="W14">
        <f>T14</f>
        <v>7.6729148400000042</v>
      </c>
    </row>
    <row r="15" spans="1:23" x14ac:dyDescent="0.25">
      <c r="A15">
        <v>36.799999999999997</v>
      </c>
      <c r="B15">
        <v>2.5499999999999998</v>
      </c>
      <c r="C15">
        <f t="shared" si="0"/>
        <v>93.839999999999989</v>
      </c>
      <c r="P15">
        <f>4*0.6*0.6*0.4</f>
        <v>0.57599999999999996</v>
      </c>
      <c r="T15">
        <f>T14*0.4</f>
        <v>3.0691659360000019</v>
      </c>
      <c r="W15">
        <f>W14+((7.41+7.11+8.05+7.89+3.09+3.09+3.09+3.09+4.19+2.46+2.46+2.46+4.5+4.5+4.65+4.65+3.54+3.54)*0.4)</f>
        <v>39.58091484000002</v>
      </c>
    </row>
    <row r="16" spans="1:23" x14ac:dyDescent="0.25">
      <c r="A16">
        <v>12</v>
      </c>
      <c r="B16">
        <v>12.64</v>
      </c>
      <c r="C16">
        <f t="shared" si="0"/>
        <v>151.68</v>
      </c>
      <c r="P16" s="56">
        <f>P15+P14</f>
        <v>3.6960000000000002</v>
      </c>
    </row>
    <row r="17" spans="1:23" x14ac:dyDescent="0.25">
      <c r="A17">
        <v>0.06</v>
      </c>
      <c r="B17">
        <v>73.849999999999994</v>
      </c>
      <c r="C17">
        <f t="shared" si="0"/>
        <v>4.4309999999999992</v>
      </c>
      <c r="T17">
        <f>12*1.2*0.5*0.4</f>
        <v>2.88</v>
      </c>
      <c r="W17">
        <f>((2.0865*3.0883)-(1.7865*2.7884))+((3.0883+2.0865+1.7865+1.7865+2.78+2.78)*0.4)</f>
        <v>7.1853813499999992</v>
      </c>
    </row>
    <row r="18" spans="1:23" x14ac:dyDescent="0.25">
      <c r="C18" s="55">
        <f>SUM(C10:C17)</f>
        <v>1707.721</v>
      </c>
      <c r="Q18">
        <f>P16+Q12+Q10</f>
        <v>9.5667599999999986</v>
      </c>
      <c r="T18">
        <f>4*0.6*0.6</f>
        <v>1.44</v>
      </c>
      <c r="W18">
        <f>W17+W15</f>
        <v>46.76629619000002</v>
      </c>
    </row>
    <row r="19" spans="1:23" x14ac:dyDescent="0.25">
      <c r="T19">
        <f>16*2.8*0.4*0.15</f>
        <v>2.6879999999999997</v>
      </c>
    </row>
    <row r="20" spans="1:23" x14ac:dyDescent="0.25">
      <c r="A20">
        <v>17.059999999999999</v>
      </c>
      <c r="B20">
        <v>114.22</v>
      </c>
      <c r="C20">
        <v>8</v>
      </c>
      <c r="D20">
        <f>A20*C20</f>
        <v>136.47999999999999</v>
      </c>
      <c r="Q20">
        <v>10.25</v>
      </c>
    </row>
    <row r="21" spans="1:23" x14ac:dyDescent="0.25">
      <c r="A21">
        <v>23.98</v>
      </c>
      <c r="B21">
        <v>114.22</v>
      </c>
      <c r="C21">
        <v>8</v>
      </c>
      <c r="D21">
        <f t="shared" ref="D21:D24" si="1">A21*C21</f>
        <v>191.84</v>
      </c>
      <c r="T21">
        <f>T19+T17+T15+T18</f>
        <v>10.077165936000002</v>
      </c>
    </row>
    <row r="22" spans="1:23" x14ac:dyDescent="0.25">
      <c r="A22">
        <v>24.52</v>
      </c>
      <c r="B22">
        <v>114.22</v>
      </c>
      <c r="C22">
        <v>26</v>
      </c>
      <c r="D22">
        <f t="shared" si="1"/>
        <v>637.52</v>
      </c>
      <c r="F22" s="57">
        <f>C18+D26</f>
        <v>3123.4459999999999</v>
      </c>
      <c r="H22">
        <v>3123.45</v>
      </c>
    </row>
    <row r="23" spans="1:23" x14ac:dyDescent="0.25">
      <c r="A23">
        <v>24.14</v>
      </c>
      <c r="B23">
        <v>114.22</v>
      </c>
      <c r="C23">
        <v>6</v>
      </c>
      <c r="D23">
        <f t="shared" si="1"/>
        <v>144.84</v>
      </c>
    </row>
    <row r="24" spans="1:23" x14ac:dyDescent="0.25">
      <c r="A24">
        <v>18.05</v>
      </c>
      <c r="B24">
        <v>114.22</v>
      </c>
      <c r="C24">
        <v>16.899999999999999</v>
      </c>
      <c r="D24">
        <f t="shared" si="1"/>
        <v>305.04499999999996</v>
      </c>
      <c r="R24" t="s">
        <v>223</v>
      </c>
      <c r="S24">
        <v>7.42</v>
      </c>
    </row>
    <row r="25" spans="1:23" x14ac:dyDescent="0.25">
      <c r="R25">
        <v>0.4</v>
      </c>
      <c r="S25">
        <v>8.19</v>
      </c>
      <c r="W25">
        <v>1.5</v>
      </c>
    </row>
    <row r="26" spans="1:23" x14ac:dyDescent="0.25">
      <c r="D26">
        <f>SUM(D20:D24)</f>
        <v>1415.7249999999999</v>
      </c>
      <c r="S26">
        <v>1.5</v>
      </c>
      <c r="W26">
        <f>2.85+2.85+3.09+3.09+4.5+4.5+4.8+1.5+3.09+3.09+1.5</f>
        <v>34.86</v>
      </c>
    </row>
    <row r="27" spans="1:23" x14ac:dyDescent="0.25">
      <c r="S27">
        <v>2.85</v>
      </c>
      <c r="W27">
        <f>2.62+2.62+3.7+3.7</f>
        <v>12.64</v>
      </c>
    </row>
    <row r="28" spans="1:23" x14ac:dyDescent="0.25">
      <c r="S28">
        <v>2.4700000000000002</v>
      </c>
    </row>
    <row r="29" spans="1:23" x14ac:dyDescent="0.25">
      <c r="A29" t="s">
        <v>184</v>
      </c>
      <c r="B29" t="s">
        <v>58</v>
      </c>
      <c r="C29" t="s">
        <v>57</v>
      </c>
      <c r="E29" t="s">
        <v>199</v>
      </c>
      <c r="F29" t="s">
        <v>200</v>
      </c>
      <c r="I29" t="s">
        <v>215</v>
      </c>
      <c r="L29" t="s">
        <v>219</v>
      </c>
      <c r="N29" t="s">
        <v>220</v>
      </c>
      <c r="S29">
        <v>3.09</v>
      </c>
      <c r="W29">
        <f>7</f>
        <v>7</v>
      </c>
    </row>
    <row r="30" spans="1:23" x14ac:dyDescent="0.25">
      <c r="A30" t="s">
        <v>185</v>
      </c>
      <c r="B30">
        <f>9.76+10.25+3.83+1.78+3.64+1.75+7.38+9.05+1.6</f>
        <v>49.04</v>
      </c>
      <c r="C30" s="45">
        <f>B30*2.8</f>
        <v>137.31199999999998</v>
      </c>
      <c r="E30">
        <f>0.8*2.1</f>
        <v>1.6800000000000002</v>
      </c>
      <c r="F30">
        <f>1.8*1.1</f>
        <v>1.9800000000000002</v>
      </c>
      <c r="I30" t="s">
        <v>190</v>
      </c>
      <c r="J30" s="45">
        <f>C35</f>
        <v>71.736000000000004</v>
      </c>
      <c r="L30">
        <v>21.6</v>
      </c>
      <c r="N30">
        <f>4.5+4.5+4.8+4.8</f>
        <v>18.600000000000001</v>
      </c>
      <c r="S30">
        <v>3.09</v>
      </c>
      <c r="W30">
        <f>SUM(W25:W29)</f>
        <v>56</v>
      </c>
    </row>
    <row r="31" spans="1:23" x14ac:dyDescent="0.25">
      <c r="A31" t="s">
        <v>186</v>
      </c>
      <c r="B31">
        <f>(2.2*2)</f>
        <v>4.4000000000000004</v>
      </c>
      <c r="C31" s="45">
        <f>B31*2</f>
        <v>8.8000000000000007</v>
      </c>
      <c r="E31">
        <v>23</v>
      </c>
      <c r="F31">
        <v>16</v>
      </c>
      <c r="I31" t="s">
        <v>191</v>
      </c>
      <c r="J31" s="45">
        <f>C36</f>
        <v>66.36</v>
      </c>
      <c r="L31">
        <v>4.6399999999999997</v>
      </c>
      <c r="N31">
        <f>2.85+2.85+3.1+3.1</f>
        <v>11.9</v>
      </c>
      <c r="S31">
        <v>3.09</v>
      </c>
      <c r="W31">
        <f>W30*1.5</f>
        <v>84</v>
      </c>
    </row>
    <row r="32" spans="1:23" x14ac:dyDescent="0.25">
      <c r="A32" t="s">
        <v>187</v>
      </c>
      <c r="B32">
        <f>13+2.62+4.35+4.8+8.2</f>
        <v>32.97</v>
      </c>
      <c r="C32" s="45">
        <f>B32*2.8</f>
        <v>92.315999999999988</v>
      </c>
      <c r="E32">
        <f>E31*E30</f>
        <v>38.64</v>
      </c>
      <c r="F32">
        <f>F31*F30</f>
        <v>31.680000000000003</v>
      </c>
      <c r="I32" t="s">
        <v>216</v>
      </c>
      <c r="J32" s="45">
        <f>C37</f>
        <v>46.76</v>
      </c>
      <c r="L32">
        <v>8.81</v>
      </c>
      <c r="N32">
        <f>2.62+2.62+3.7+3.7</f>
        <v>12.64</v>
      </c>
      <c r="S32">
        <v>3.09</v>
      </c>
    </row>
    <row r="33" spans="1:21" x14ac:dyDescent="0.25">
      <c r="A33" t="s">
        <v>188</v>
      </c>
      <c r="B33">
        <f>(1.56*2)+(2*2)+(2.76*2)+(1.5*2)+(1.2*2)+(3.33*2)</f>
        <v>24.7</v>
      </c>
      <c r="C33" s="45">
        <f>B33*(2.8-1.5)</f>
        <v>32.109999999999992</v>
      </c>
      <c r="I33" t="s">
        <v>214</v>
      </c>
      <c r="J33" s="45">
        <f>C44</f>
        <v>111.52399999999999</v>
      </c>
      <c r="L33">
        <v>9.69</v>
      </c>
      <c r="N33">
        <f>6.85+6.85+5+5</f>
        <v>23.7</v>
      </c>
      <c r="S33">
        <v>4.2</v>
      </c>
    </row>
    <row r="34" spans="1:21" x14ac:dyDescent="0.25">
      <c r="A34" t="s">
        <v>189</v>
      </c>
      <c r="B34">
        <f>(1.5*2)+(2.76*2)</f>
        <v>8.52</v>
      </c>
      <c r="C34" s="45">
        <f t="shared" ref="C34:C44" si="2">B34*2.8</f>
        <v>23.855999999999998</v>
      </c>
      <c r="E34" t="s">
        <v>198</v>
      </c>
      <c r="F34">
        <f>E32+F32</f>
        <v>70.320000000000007</v>
      </c>
      <c r="I34" t="s">
        <v>197</v>
      </c>
      <c r="J34" s="45">
        <f>C43</f>
        <v>48.44</v>
      </c>
      <c r="L34">
        <v>34.25</v>
      </c>
      <c r="N34">
        <f>4.9+4.9+7.95+7.95</f>
        <v>25.7</v>
      </c>
      <c r="S34">
        <v>4.2</v>
      </c>
    </row>
    <row r="35" spans="1:21" x14ac:dyDescent="0.25">
      <c r="A35" t="s">
        <v>190</v>
      </c>
      <c r="B35">
        <f>(7.91*2)+(4.9*2)</f>
        <v>25.62</v>
      </c>
      <c r="C35" s="45">
        <f t="shared" si="2"/>
        <v>71.736000000000004</v>
      </c>
      <c r="J35" s="45">
        <f>SUM(J30:J34)</f>
        <v>344.82</v>
      </c>
      <c r="L35">
        <v>38.950000000000003</v>
      </c>
      <c r="N35">
        <f>4.45+4.45+4.2+4.2</f>
        <v>17.3</v>
      </c>
      <c r="S35">
        <v>2.4700000000000002</v>
      </c>
    </row>
    <row r="36" spans="1:21" x14ac:dyDescent="0.25">
      <c r="A36" t="s">
        <v>191</v>
      </c>
      <c r="B36">
        <f>10+(6.85*2)</f>
        <v>23.7</v>
      </c>
      <c r="C36" s="45">
        <f t="shared" si="2"/>
        <v>66.36</v>
      </c>
      <c r="J36">
        <f>J35*0.5</f>
        <v>172.41</v>
      </c>
      <c r="L36">
        <v>2.98</v>
      </c>
      <c r="N36">
        <f>5.42+5.42+2.94+2.94</f>
        <v>16.72</v>
      </c>
      <c r="S36">
        <v>2.4700000000000002</v>
      </c>
    </row>
    <row r="37" spans="1:21" x14ac:dyDescent="0.25">
      <c r="A37" t="s">
        <v>192</v>
      </c>
      <c r="B37">
        <f>(5.42*2)+(2.93*2)</f>
        <v>16.7</v>
      </c>
      <c r="C37" s="45">
        <f t="shared" si="2"/>
        <v>46.76</v>
      </c>
      <c r="L37">
        <v>4.1500000000000004</v>
      </c>
      <c r="N37">
        <f>SUM(N30:N36)</f>
        <v>126.56</v>
      </c>
      <c r="S37">
        <v>2.4700000000000002</v>
      </c>
      <c r="U37">
        <f>(2.0865*3.0883)-(1.7865*2.7884)</f>
        <v>1.4622613499999995</v>
      </c>
    </row>
    <row r="38" spans="1:21" x14ac:dyDescent="0.25">
      <c r="A38" t="s">
        <v>193</v>
      </c>
      <c r="B38">
        <f>(2.63*2)+(3.7*2)</f>
        <v>12.66</v>
      </c>
      <c r="C38" s="45">
        <f t="shared" si="2"/>
        <v>35.448</v>
      </c>
      <c r="L38">
        <v>15.92</v>
      </c>
      <c r="N38">
        <f>N37-((0.8*6)+(3))</f>
        <v>118.76</v>
      </c>
      <c r="S38">
        <v>4.5</v>
      </c>
      <c r="U38">
        <f>(7.4186*8.1927)-((1.5*3.0925)+(2.85*3.09825)+(2.4686*4.1974)+(2.4687*3.5452)+(4.5*4.6352))</f>
        <v>7.3374648399999955</v>
      </c>
    </row>
    <row r="39" spans="1:21" x14ac:dyDescent="0.25">
      <c r="A39" t="s">
        <v>194</v>
      </c>
      <c r="B39">
        <f>(3.46*2)+(1.8*2)</f>
        <v>10.52</v>
      </c>
      <c r="C39" s="45">
        <f t="shared" si="2"/>
        <v>29.455999999999996</v>
      </c>
      <c r="L39">
        <f>1.5*2</f>
        <v>3</v>
      </c>
      <c r="S39">
        <v>4.5</v>
      </c>
      <c r="U39">
        <f>U38+U37</f>
        <v>8.7997261899999941</v>
      </c>
    </row>
    <row r="40" spans="1:21" x14ac:dyDescent="0.25">
      <c r="A40" t="s">
        <v>195</v>
      </c>
      <c r="B40">
        <f>(2.85*2)+(3.09*2)</f>
        <v>11.879999999999999</v>
      </c>
      <c r="C40" s="45">
        <f t="shared" si="2"/>
        <v>33.263999999999996</v>
      </c>
      <c r="L40">
        <f>4.82*1.8</f>
        <v>8.6760000000000002</v>
      </c>
      <c r="S40">
        <v>4.6399999999999997</v>
      </c>
      <c r="U40">
        <f>U39*0.15</f>
        <v>1.3199589284999991</v>
      </c>
    </row>
    <row r="41" spans="1:21" x14ac:dyDescent="0.25">
      <c r="A41" t="s">
        <v>245</v>
      </c>
      <c r="B41">
        <f>(1.5*2)+(3.09*2)</f>
        <v>9.18</v>
      </c>
      <c r="C41" s="45">
        <f t="shared" si="2"/>
        <v>25.703999999999997</v>
      </c>
      <c r="L41">
        <f>1.2*3.33</f>
        <v>3.996</v>
      </c>
      <c r="S41">
        <v>4.6399999999999997</v>
      </c>
      <c r="U41">
        <f>U40+S51</f>
        <v>37.419958928500009</v>
      </c>
    </row>
    <row r="42" spans="1:21" x14ac:dyDescent="0.25">
      <c r="A42" t="s">
        <v>196</v>
      </c>
      <c r="B42">
        <f>(4.8*2)+(4.5*2)</f>
        <v>18.600000000000001</v>
      </c>
      <c r="C42" s="45">
        <f t="shared" si="2"/>
        <v>52.08</v>
      </c>
      <c r="L42">
        <f>4.45*4.2</f>
        <v>18.690000000000001</v>
      </c>
      <c r="S42">
        <v>3.54</v>
      </c>
    </row>
    <row r="43" spans="1:21" x14ac:dyDescent="0.25">
      <c r="A43" t="s">
        <v>197</v>
      </c>
      <c r="B43">
        <f>(4.45*2)+(4.2*2)</f>
        <v>17.3</v>
      </c>
      <c r="C43" s="45">
        <f t="shared" si="2"/>
        <v>48.44</v>
      </c>
      <c r="L43">
        <f>SUM(L30:L42)</f>
        <v>175.352</v>
      </c>
      <c r="S43">
        <v>3.54</v>
      </c>
    </row>
    <row r="44" spans="1:21" x14ac:dyDescent="0.25">
      <c r="A44" t="s">
        <v>214</v>
      </c>
      <c r="B44">
        <f>6.13+0.77+1.5+2.72+0.82+3.09+1.12+1.7+1.7+3.63+3.86+8.19+4.6</f>
        <v>39.83</v>
      </c>
      <c r="C44" s="45">
        <f t="shared" si="2"/>
        <v>111.52399999999999</v>
      </c>
      <c r="S44">
        <v>2.08</v>
      </c>
    </row>
    <row r="45" spans="1:21" x14ac:dyDescent="0.25">
      <c r="A45" t="s">
        <v>222</v>
      </c>
      <c r="B45">
        <f>13.09+1.3+8.72</f>
        <v>23.11</v>
      </c>
      <c r="C45" s="45"/>
      <c r="E45">
        <f>C45-((2*0.8)+3)</f>
        <v>-4.5999999999999996</v>
      </c>
      <c r="S45">
        <v>3.09</v>
      </c>
    </row>
    <row r="46" spans="1:21" x14ac:dyDescent="0.25">
      <c r="S46">
        <v>2.78</v>
      </c>
    </row>
    <row r="47" spans="1:21" x14ac:dyDescent="0.25">
      <c r="S47">
        <v>2.78</v>
      </c>
    </row>
    <row r="48" spans="1:21" x14ac:dyDescent="0.25">
      <c r="B48" t="s">
        <v>198</v>
      </c>
      <c r="C48" s="45">
        <f>SUM(C30:C44)</f>
        <v>815.16600000000005</v>
      </c>
      <c r="G48">
        <v>0.5</v>
      </c>
      <c r="S48">
        <v>1.78</v>
      </c>
    </row>
    <row r="49" spans="1:19" x14ac:dyDescent="0.25">
      <c r="C49" s="60">
        <f>C48-F34</f>
        <v>744.846</v>
      </c>
      <c r="D49" s="45"/>
      <c r="G49">
        <v>1.2</v>
      </c>
      <c r="S49">
        <v>1.78</v>
      </c>
    </row>
    <row r="50" spans="1:19" x14ac:dyDescent="0.25">
      <c r="C50" s="45">
        <f>C49+60</f>
        <v>804.846</v>
      </c>
      <c r="G50">
        <v>0.5</v>
      </c>
      <c r="S50">
        <f>SUM(S24:S49)</f>
        <v>90.250000000000014</v>
      </c>
    </row>
    <row r="51" spans="1:19" x14ac:dyDescent="0.25">
      <c r="C51">
        <f>C50+((10.27+15.5+1.95+1.15)*2)</f>
        <v>862.58600000000001</v>
      </c>
      <c r="G51">
        <f>G48*G49*G50</f>
        <v>0.3</v>
      </c>
      <c r="S51">
        <f>S50*R25</f>
        <v>36.100000000000009</v>
      </c>
    </row>
    <row r="52" spans="1:19" x14ac:dyDescent="0.25">
      <c r="G52">
        <f>13*G51</f>
        <v>3.9</v>
      </c>
      <c r="J52">
        <f>7.51+7.22+2.9+4.05+5.23</f>
        <v>26.91</v>
      </c>
    </row>
    <row r="53" spans="1:19" x14ac:dyDescent="0.25">
      <c r="G53">
        <f>0.6*0.6*0.5*4</f>
        <v>0.72</v>
      </c>
      <c r="J53">
        <f>J52*0.15*2</f>
        <v>8.0730000000000004</v>
      </c>
    </row>
    <row r="54" spans="1:19" x14ac:dyDescent="0.25">
      <c r="G54">
        <f>G53+G52</f>
        <v>4.62</v>
      </c>
      <c r="J54" s="38">
        <f>J53+G54+J50</f>
        <v>12.693000000000001</v>
      </c>
    </row>
    <row r="55" spans="1:19" x14ac:dyDescent="0.25">
      <c r="J55">
        <f>U38*0.4</f>
        <v>2.9349859359999986</v>
      </c>
    </row>
    <row r="56" spans="1:19" x14ac:dyDescent="0.25">
      <c r="A56">
        <v>67.239999999999995</v>
      </c>
      <c r="J56">
        <f>J55+J54</f>
        <v>15.627985936</v>
      </c>
    </row>
    <row r="57" spans="1:19" x14ac:dyDescent="0.25">
      <c r="A57">
        <v>8</v>
      </c>
      <c r="J57">
        <f>U37*0.4</f>
        <v>0.58490453999999981</v>
      </c>
    </row>
    <row r="58" spans="1:19" x14ac:dyDescent="0.25">
      <c r="J58" s="62">
        <f>J57+J56</f>
        <v>16.212890475999998</v>
      </c>
    </row>
    <row r="59" spans="1:19" x14ac:dyDescent="0.25">
      <c r="A59">
        <f>A58+A57+A56</f>
        <v>75.239999999999995</v>
      </c>
    </row>
    <row r="60" spans="1:19" x14ac:dyDescent="0.25">
      <c r="J60">
        <f>14*0.1*0.35</f>
        <v>0.49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workbookViewId="0">
      <selection activeCell="D15" sqref="D15"/>
    </sheetView>
  </sheetViews>
  <sheetFormatPr defaultRowHeight="15" x14ac:dyDescent="0.25"/>
  <sheetData>
    <row r="1" spans="1:18" x14ac:dyDescent="0.25">
      <c r="A1" t="s">
        <v>224</v>
      </c>
      <c r="F1" t="s">
        <v>231</v>
      </c>
      <c r="J1" t="s">
        <v>236</v>
      </c>
      <c r="K1" t="s">
        <v>240</v>
      </c>
      <c r="L1">
        <f>8.19+4.8</f>
        <v>12.989999999999998</v>
      </c>
      <c r="M1">
        <v>1.5</v>
      </c>
      <c r="N1">
        <f>L1*M1</f>
        <v>19.484999999999999</v>
      </c>
      <c r="Q1" t="s">
        <v>243</v>
      </c>
      <c r="R1">
        <v>2.62</v>
      </c>
    </row>
    <row r="2" spans="1:18" x14ac:dyDescent="0.25">
      <c r="A2" t="s">
        <v>225</v>
      </c>
      <c r="B2">
        <v>13</v>
      </c>
      <c r="C2">
        <f>1.2*0.5*0.5</f>
        <v>0.3</v>
      </c>
      <c r="D2">
        <f>B2*C2</f>
        <v>3.9</v>
      </c>
      <c r="F2">
        <f>0.49+2.9+7.22+7.5+4.03+1.58+2.68</f>
        <v>26.4</v>
      </c>
      <c r="G2">
        <f>F2*0.15*1.5</f>
        <v>5.9399999999999995</v>
      </c>
      <c r="K2" t="s">
        <v>238</v>
      </c>
      <c r="L2">
        <f>4.5+4.5+4.8+4.8</f>
        <v>18.600000000000001</v>
      </c>
      <c r="M2">
        <f>M1</f>
        <v>1.5</v>
      </c>
      <c r="N2">
        <f t="shared" ref="N2:N4" si="0">L2*M2</f>
        <v>27.900000000000002</v>
      </c>
      <c r="R2">
        <v>4.3499999999999996</v>
      </c>
    </row>
    <row r="3" spans="1:18" x14ac:dyDescent="0.25">
      <c r="A3" t="s">
        <v>226</v>
      </c>
      <c r="B3">
        <v>4</v>
      </c>
      <c r="C3">
        <f>0.6*0.6*0.5</f>
        <v>0.18</v>
      </c>
      <c r="D3">
        <f>B3*C3</f>
        <v>0.72</v>
      </c>
      <c r="F3">
        <f>3*(0.6*0.6*0.6)</f>
        <v>0.64800000000000002</v>
      </c>
      <c r="K3" t="s">
        <v>239</v>
      </c>
      <c r="L3">
        <f>2.94+2.09+2.94+2.09</f>
        <v>10.059999999999999</v>
      </c>
      <c r="M3">
        <f>M2</f>
        <v>1.5</v>
      </c>
      <c r="N3">
        <f t="shared" si="0"/>
        <v>15.089999999999998</v>
      </c>
      <c r="R3">
        <v>4.8</v>
      </c>
    </row>
    <row r="4" spans="1:18" x14ac:dyDescent="0.25">
      <c r="F4" t="s">
        <v>230</v>
      </c>
      <c r="G4">
        <f>F3+G2</f>
        <v>6.5879999999999992</v>
      </c>
      <c r="K4" t="s">
        <v>237</v>
      </c>
      <c r="L4">
        <f>3.09+3.09+2.85+2.85</f>
        <v>11.879999999999999</v>
      </c>
      <c r="M4">
        <f>M3</f>
        <v>1.5</v>
      </c>
      <c r="N4">
        <f t="shared" si="0"/>
        <v>17.82</v>
      </c>
      <c r="R4">
        <v>8.19</v>
      </c>
    </row>
    <row r="5" spans="1:18" x14ac:dyDescent="0.25">
      <c r="A5" t="s">
        <v>227</v>
      </c>
      <c r="B5">
        <v>17</v>
      </c>
      <c r="C5">
        <f>(0.15*0.3*2.8)</f>
        <v>0.126</v>
      </c>
      <c r="D5">
        <f>C5*B5</f>
        <v>2.1419999999999999</v>
      </c>
      <c r="R5">
        <v>2.62</v>
      </c>
    </row>
    <row r="6" spans="1:18" x14ac:dyDescent="0.25">
      <c r="F6" t="s">
        <v>232</v>
      </c>
      <c r="G6">
        <f>13+6.24+2.32</f>
        <v>21.560000000000002</v>
      </c>
      <c r="R6">
        <v>3.7</v>
      </c>
    </row>
    <row r="7" spans="1:18" x14ac:dyDescent="0.25">
      <c r="A7" t="s">
        <v>229</v>
      </c>
      <c r="B7">
        <f>3.09+3.09+1.79+1.79</f>
        <v>9.76</v>
      </c>
      <c r="C7">
        <f>0.15*0.4</f>
        <v>0.06</v>
      </c>
      <c r="G7">
        <f>G6*0.15*1</f>
        <v>3.2340000000000004</v>
      </c>
      <c r="M7" t="s">
        <v>228</v>
      </c>
      <c r="N7">
        <f>SUM(N1:N4)</f>
        <v>80.295000000000002</v>
      </c>
    </row>
    <row r="8" spans="1:18" x14ac:dyDescent="0.25">
      <c r="B8">
        <f>8.19+8.19+7.12+7.12</f>
        <v>30.62</v>
      </c>
      <c r="R8">
        <v>4.5</v>
      </c>
    </row>
    <row r="9" spans="1:18" x14ac:dyDescent="0.25">
      <c r="B9">
        <f>2.47+7.89+3.09+4.5</f>
        <v>17.95</v>
      </c>
      <c r="R9">
        <v>4.8</v>
      </c>
    </row>
    <row r="10" spans="1:18" x14ac:dyDescent="0.25">
      <c r="A10" t="s">
        <v>230</v>
      </c>
      <c r="B10">
        <f>SUM(B7:B9)</f>
        <v>58.33</v>
      </c>
      <c r="D10">
        <f>B10*C7</f>
        <v>3.4997999999999996</v>
      </c>
      <c r="J10" t="s">
        <v>241</v>
      </c>
      <c r="K10" t="s">
        <v>242</v>
      </c>
      <c r="L10">
        <f>7.42+8.19+4.2+3.54+2.46+2.46+2.46+2.46+3.54+4.2+4.65+3.09+4.5+2.85+1.5+4.5+3.09+3.09+3.09+4.65+3.08+2.08+1.78+2.78+1.78+2.78</f>
        <v>90.220000000000013</v>
      </c>
      <c r="M10">
        <f>L10*0.4</f>
        <v>36.088000000000008</v>
      </c>
      <c r="R10">
        <v>4.8</v>
      </c>
    </row>
    <row r="11" spans="1:18" x14ac:dyDescent="0.25">
      <c r="M11">
        <f>K23</f>
        <v>2.9196758319999989</v>
      </c>
      <c r="R11">
        <v>2.85</v>
      </c>
    </row>
    <row r="12" spans="1:18" x14ac:dyDescent="0.25">
      <c r="A12">
        <f>D10+D5+D3+D2</f>
        <v>10.261799999999999</v>
      </c>
      <c r="R12">
        <v>3.09</v>
      </c>
    </row>
    <row r="13" spans="1:18" x14ac:dyDescent="0.25">
      <c r="M13">
        <f>M11+M10</f>
        <v>39.007675832000004</v>
      </c>
      <c r="R13">
        <v>3.09</v>
      </c>
    </row>
    <row r="14" spans="1:18" x14ac:dyDescent="0.25">
      <c r="R14">
        <v>2.85</v>
      </c>
    </row>
    <row r="15" spans="1:18" x14ac:dyDescent="0.25">
      <c r="C15" t="s">
        <v>228</v>
      </c>
      <c r="D15">
        <f>D5+D3+D2+D10+G4+G7</f>
        <v>20.083800000000004</v>
      </c>
      <c r="K15">
        <f>7.4186*8.1927</f>
        <v>60.77836422</v>
      </c>
      <c r="R15">
        <v>3.09</v>
      </c>
    </row>
    <row r="16" spans="1:18" x14ac:dyDescent="0.25">
      <c r="K16">
        <f>3.54*2.4687</f>
        <v>8.739198</v>
      </c>
      <c r="R16">
        <v>3.09</v>
      </c>
    </row>
    <row r="17" spans="1:18" x14ac:dyDescent="0.25">
      <c r="K17">
        <f>2.4686*4.1974</f>
        <v>10.36170164</v>
      </c>
      <c r="R17">
        <v>1.5</v>
      </c>
    </row>
    <row r="18" spans="1:18" x14ac:dyDescent="0.25">
      <c r="F18" t="s">
        <v>235</v>
      </c>
      <c r="K18">
        <f>4.5*4.6502</f>
        <v>20.925899999999999</v>
      </c>
      <c r="R18">
        <v>1.5</v>
      </c>
    </row>
    <row r="19" spans="1:18" x14ac:dyDescent="0.25">
      <c r="A19" t="s">
        <v>233</v>
      </c>
      <c r="B19">
        <v>6.22</v>
      </c>
      <c r="F19">
        <v>30.6</v>
      </c>
      <c r="K19">
        <f>3.0925*2.85</f>
        <v>8.813625</v>
      </c>
      <c r="R19">
        <v>0.8</v>
      </c>
    </row>
    <row r="20" spans="1:18" x14ac:dyDescent="0.25">
      <c r="B20">
        <v>8.75</v>
      </c>
      <c r="F20">
        <v>8.64</v>
      </c>
      <c r="K20">
        <f>3.0925*1.5</f>
        <v>4.6387499999999999</v>
      </c>
      <c r="R20">
        <v>0.8</v>
      </c>
    </row>
    <row r="21" spans="1:18" x14ac:dyDescent="0.25">
      <c r="B21">
        <v>20.92</v>
      </c>
      <c r="F21">
        <v>6.56</v>
      </c>
      <c r="K21">
        <f>K15-(K16+K17+K18+K19+K20)</f>
        <v>7.2991895799999966</v>
      </c>
      <c r="R21">
        <v>4.9000000000000004</v>
      </c>
    </row>
    <row r="22" spans="1:18" x14ac:dyDescent="0.25">
      <c r="B22">
        <v>10.36</v>
      </c>
      <c r="F22">
        <v>24.49</v>
      </c>
    </row>
    <row r="23" spans="1:18" x14ac:dyDescent="0.25">
      <c r="B23">
        <v>8.81</v>
      </c>
      <c r="F23">
        <v>3</v>
      </c>
      <c r="K23">
        <f>K21*0.4</f>
        <v>2.9196758319999989</v>
      </c>
    </row>
    <row r="24" spans="1:18" x14ac:dyDescent="0.25">
      <c r="B24">
        <v>4.63</v>
      </c>
      <c r="F24">
        <v>15.71</v>
      </c>
    </row>
    <row r="25" spans="1:18" x14ac:dyDescent="0.25">
      <c r="B25">
        <v>4.9800000000000004</v>
      </c>
      <c r="F25">
        <v>4</v>
      </c>
    </row>
    <row r="26" spans="1:18" x14ac:dyDescent="0.25">
      <c r="A26" t="s">
        <v>228</v>
      </c>
      <c r="B26">
        <f>SUM(B19:B25)</f>
        <v>64.67</v>
      </c>
      <c r="F26">
        <v>18.68</v>
      </c>
      <c r="R26">
        <v>1.5</v>
      </c>
    </row>
    <row r="27" spans="1:18" x14ac:dyDescent="0.25">
      <c r="A27" t="s">
        <v>234</v>
      </c>
      <c r="B27">
        <v>0.2</v>
      </c>
      <c r="R27">
        <v>1.5</v>
      </c>
    </row>
    <row r="28" spans="1:18" x14ac:dyDescent="0.25">
      <c r="B28">
        <f>B26*B27</f>
        <v>12.934000000000001</v>
      </c>
      <c r="F28">
        <f>SUM(F19:F26)</f>
        <v>111.68</v>
      </c>
    </row>
    <row r="29" spans="1:18" x14ac:dyDescent="0.25">
      <c r="J29" t="s">
        <v>244</v>
      </c>
      <c r="K29">
        <v>2.98</v>
      </c>
      <c r="R29">
        <v>2.77</v>
      </c>
    </row>
    <row r="30" spans="1:18" x14ac:dyDescent="0.25">
      <c r="K30">
        <v>4.1500000000000004</v>
      </c>
    </row>
    <row r="31" spans="1:18" x14ac:dyDescent="0.25">
      <c r="K31">
        <f>2*1.5</f>
        <v>3</v>
      </c>
    </row>
    <row r="32" spans="1:18" x14ac:dyDescent="0.25">
      <c r="K32">
        <f>38.95</f>
        <v>38.950000000000003</v>
      </c>
    </row>
    <row r="33" spans="11:21" x14ac:dyDescent="0.25">
      <c r="K33">
        <f>34.25</f>
        <v>34.25</v>
      </c>
      <c r="R33">
        <v>2</v>
      </c>
    </row>
    <row r="34" spans="11:21" x14ac:dyDescent="0.25">
      <c r="K34">
        <v>21.6</v>
      </c>
    </row>
    <row r="35" spans="11:21" x14ac:dyDescent="0.25">
      <c r="K35">
        <v>9.69</v>
      </c>
    </row>
    <row r="36" spans="11:21" x14ac:dyDescent="0.25">
      <c r="K36">
        <v>8.81</v>
      </c>
      <c r="R36">
        <v>3.08</v>
      </c>
    </row>
    <row r="37" spans="11:21" x14ac:dyDescent="0.25">
      <c r="K37">
        <v>4.6399999999999997</v>
      </c>
      <c r="R37">
        <v>2.09</v>
      </c>
    </row>
    <row r="38" spans="11:21" x14ac:dyDescent="0.25">
      <c r="K38">
        <v>15.92</v>
      </c>
      <c r="R38">
        <v>2.94</v>
      </c>
    </row>
    <row r="39" spans="11:21" x14ac:dyDescent="0.25">
      <c r="K39">
        <f>1.2*3.33</f>
        <v>3.996</v>
      </c>
      <c r="R39">
        <v>2.09</v>
      </c>
    </row>
    <row r="40" spans="11:21" x14ac:dyDescent="0.25">
      <c r="K40">
        <f>4.2*4.45</f>
        <v>18.690000000000001</v>
      </c>
      <c r="R40">
        <v>0.8</v>
      </c>
    </row>
    <row r="41" spans="11:21" x14ac:dyDescent="0.25">
      <c r="K41">
        <f>SUM(K29:K40)</f>
        <v>166.67599999999999</v>
      </c>
      <c r="R41">
        <v>0.8</v>
      </c>
    </row>
    <row r="42" spans="11:21" x14ac:dyDescent="0.25">
      <c r="K42">
        <f>K41+6</f>
        <v>172.67599999999999</v>
      </c>
      <c r="Q42" t="s">
        <v>230</v>
      </c>
      <c r="R42">
        <f>SUM(R1:R41)</f>
        <v>87.509999999999991</v>
      </c>
      <c r="S42">
        <f>R42*2.8</f>
        <v>245.02799999999996</v>
      </c>
      <c r="U42">
        <f>S42-((4*0.8*2.1)+(0.9*2.1)+(0.6*0.6)+(1.5*2.1)+(3*1.8*1.2)+(0.8*1.2)+(1.5*1.2))</f>
        <v>223.66799999999995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ORÇAMENTO </vt:lpstr>
      <vt:lpstr>Plan3</vt:lpstr>
      <vt:lpstr>CRONOGRAMA</vt:lpstr>
      <vt:lpstr>Plan1</vt:lpstr>
      <vt:lpstr>Plan2</vt:lpstr>
      <vt:lpstr>CRONOGRAMA!Area_de_impressao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Francieli Reis</dc:creator>
  <cp:lastModifiedBy>Gabriele Sganzerla Ferreira</cp:lastModifiedBy>
  <cp:lastPrinted>2022-06-08T17:52:02Z</cp:lastPrinted>
  <dcterms:created xsi:type="dcterms:W3CDTF">2017-01-30T11:28:28Z</dcterms:created>
  <dcterms:modified xsi:type="dcterms:W3CDTF">2022-07-19T14:42:43Z</dcterms:modified>
</cp:coreProperties>
</file>